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fundamentainvestments-my.sharepoint.com/personal/sebastianl_fundamentainvestments_onmicrosoft_com/Documents/FAM/Research/BRASIL/NATURA/"/>
    </mc:Choice>
  </mc:AlternateContent>
  <xr:revisionPtr revIDLastSave="94" documentId="14_{101B5560-6AB9-4FE7-91D0-660B31C1CF7B}" xr6:coauthVersionLast="47" xr6:coauthVersionMax="47" xr10:uidLastSave="{74CF7AAD-E752-4A3E-99E6-CF66DBBC79DF}"/>
  <bookViews>
    <workbookView xWindow="28680" yWindow="-120" windowWidth="29040" windowHeight="15720" firstSheet="4" activeTab="9" xr2:uid="{BBEA42AF-FFA8-43AF-9F09-EB5A74E052E0}"/>
  </bookViews>
  <sheets>
    <sheet name="2011" sheetId="7" state="hidden" r:id="rId1"/>
    <sheet name="2012" sheetId="6" state="hidden" r:id="rId2"/>
    <sheet name="2013" sheetId="5" state="hidden" r:id="rId3"/>
    <sheet name="2014" sheetId="4" state="hidden" r:id="rId4"/>
    <sheet name="VP" sheetId="11" r:id="rId5"/>
    <sheet name="WACC" sheetId="13" r:id="rId6"/>
    <sheet name="Resumo" sheetId="12" r:id="rId7"/>
    <sheet name="FAT" sheetId="8" r:id="rId8"/>
    <sheet name="Sheet2" sheetId="23" r:id="rId9"/>
    <sheet name="PROJ" sheetId="9" r:id="rId10"/>
    <sheet name="JUROS" sheetId="20" r:id="rId11"/>
    <sheet name="Debt" sheetId="14" r:id="rId12"/>
    <sheet name="Avon IS" sheetId="16" r:id="rId13"/>
    <sheet name="Avon Bce" sheetId="15" r:id="rId14"/>
    <sheet name="comps" sheetId="17" r:id="rId15"/>
    <sheet name="MACRO" sheetId="10" r:id="rId16"/>
    <sheet name="ESG" sheetId="21" r:id="rId17"/>
    <sheet name="Notas" sheetId="18" r:id="rId18"/>
  </sheets>
  <externalReferences>
    <externalReference r:id="rId19"/>
    <externalReference r:id="rId20"/>
    <externalReference r:id="rId21"/>
    <externalReference r:id="rId22"/>
    <externalReference r:id="rId2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90" i="9" l="1"/>
  <c r="AX89" i="9"/>
  <c r="AY88" i="9"/>
  <c r="AX88" i="9"/>
  <c r="AV88" i="9"/>
  <c r="AY90" i="9" s="1"/>
  <c r="O6" i="23"/>
  <c r="AV213" i="8"/>
  <c r="AW213" i="8" s="1"/>
  <c r="AX213" i="8" s="1"/>
  <c r="BP243" i="8"/>
  <c r="AT186" i="8"/>
  <c r="P18" i="23"/>
  <c r="N20" i="23"/>
  <c r="AU107" i="9"/>
  <c r="AV107" i="9" s="1"/>
  <c r="AW107" i="9" s="1"/>
  <c r="AX107" i="9" s="1"/>
  <c r="AU138" i="9"/>
  <c r="AV138" i="9" s="1"/>
  <c r="AW138" i="9" s="1"/>
  <c r="AX138" i="9" s="1"/>
  <c r="AU137" i="9"/>
  <c r="AV137" i="9" s="1"/>
  <c r="AW137" i="9" s="1"/>
  <c r="AX137" i="9" s="1"/>
  <c r="BO137" i="9" s="1"/>
  <c r="BP137" i="9" s="1"/>
  <c r="BQ137" i="9" s="1"/>
  <c r="BR137" i="9" s="1"/>
  <c r="BS137" i="9" s="1"/>
  <c r="AU136" i="9"/>
  <c r="AV136" i="9" s="1"/>
  <c r="AW136" i="9" s="1"/>
  <c r="AX136" i="9" s="1"/>
  <c r="BO136" i="9" s="1"/>
  <c r="BP136" i="9" s="1"/>
  <c r="BQ136" i="9" s="1"/>
  <c r="BN137" i="9"/>
  <c r="BM137" i="9"/>
  <c r="BN136" i="9"/>
  <c r="BM136" i="9"/>
  <c r="W139" i="8"/>
  <c r="X139" i="8"/>
  <c r="Y139" i="8"/>
  <c r="Z139" i="8"/>
  <c r="AA139" i="8"/>
  <c r="AB139" i="8"/>
  <c r="AC139" i="8"/>
  <c r="AD139" i="8"/>
  <c r="AE139" i="8"/>
  <c r="AF139" i="8"/>
  <c r="AG139" i="8"/>
  <c r="AH139" i="8"/>
  <c r="AI139" i="8"/>
  <c r="AJ139" i="8"/>
  <c r="AK139" i="8"/>
  <c r="AL139" i="8"/>
  <c r="AM139" i="8"/>
  <c r="AN139" i="8"/>
  <c r="AO139" i="8"/>
  <c r="AP139" i="8"/>
  <c r="AQ139" i="8"/>
  <c r="AR139" i="8"/>
  <c r="AS139" i="8"/>
  <c r="AT139" i="8"/>
  <c r="AU139" i="8"/>
  <c r="AV139" i="8"/>
  <c r="AW139" i="8"/>
  <c r="AX139" i="8"/>
  <c r="BJ139" i="8"/>
  <c r="BK139" i="8"/>
  <c r="BL139" i="8"/>
  <c r="BM139" i="8"/>
  <c r="BN139" i="8"/>
  <c r="BO139" i="8"/>
  <c r="BP139" i="8"/>
  <c r="BQ139" i="8"/>
  <c r="BR139" i="8"/>
  <c r="BS139" i="8"/>
  <c r="BT139" i="8"/>
  <c r="BU139" i="8"/>
  <c r="AY89" i="9" l="1"/>
  <c r="BR136" i="9"/>
  <c r="BS136" i="9" l="1"/>
  <c r="AR96" i="8" l="1"/>
  <c r="AS96" i="8" s="1"/>
  <c r="AR100" i="8"/>
  <c r="AR101" i="8"/>
  <c r="AT113" i="8"/>
  <c r="AT112" i="8"/>
  <c r="AT110" i="8" s="1"/>
  <c r="BO100" i="8"/>
  <c r="BP100" i="8"/>
  <c r="AT100" i="8" s="1"/>
  <c r="BP96" i="8"/>
  <c r="AX96" i="8" s="1"/>
  <c r="BO96" i="8"/>
  <c r="AT97" i="8"/>
  <c r="AT105" i="8" s="1"/>
  <c r="C94" i="8"/>
  <c r="AT211" i="8"/>
  <c r="BK260" i="9"/>
  <c r="BK254" i="9"/>
  <c r="BL254" i="9"/>
  <c r="BK243" i="9"/>
  <c r="BK256" i="9" s="1"/>
  <c r="BK257" i="9" s="1"/>
  <c r="BL260" i="9"/>
  <c r="BL243" i="9"/>
  <c r="BL256" i="9" s="1"/>
  <c r="AT81" i="9"/>
  <c r="AT79" i="9"/>
  <c r="AT77" i="9"/>
  <c r="AT76" i="9"/>
  <c r="AT70" i="9"/>
  <c r="AT66" i="9"/>
  <c r="AT57" i="9"/>
  <c r="AT71" i="9" s="1"/>
  <c r="AT54" i="9"/>
  <c r="AT165" i="9"/>
  <c r="AT164" i="9"/>
  <c r="AT163" i="9"/>
  <c r="AT162" i="9"/>
  <c r="AT161" i="9"/>
  <c r="AT160" i="9"/>
  <c r="AT157" i="9"/>
  <c r="AT156" i="9"/>
  <c r="AT155" i="9"/>
  <c r="AT149" i="9"/>
  <c r="AT148" i="9"/>
  <c r="AT147" i="9"/>
  <c r="AT30" i="9"/>
  <c r="AT111" i="8" l="1"/>
  <c r="AT96" i="8"/>
  <c r="AU96" i="8"/>
  <c r="AV96" i="8"/>
  <c r="AW96" i="8"/>
  <c r="AR106" i="8"/>
  <c r="BL257" i="9"/>
  <c r="AT153" i="9"/>
  <c r="AT146" i="9"/>
  <c r="AT145" i="9" s="1"/>
  <c r="AT159" i="9"/>
  <c r="AT152" i="9" l="1"/>
  <c r="AT45" i="9" l="1"/>
  <c r="BN266" i="9"/>
  <c r="BN267" i="9" s="1"/>
  <c r="BS251" i="9"/>
  <c r="BR251" i="9"/>
  <c r="BQ251" i="9"/>
  <c r="BP251" i="9"/>
  <c r="BN260" i="9"/>
  <c r="BM260" i="9"/>
  <c r="BM243" i="9"/>
  <c r="BN243" i="9"/>
  <c r="AA39" i="12"/>
  <c r="AA38" i="12"/>
  <c r="AA29" i="12"/>
  <c r="BH238" i="9"/>
  <c r="BG238" i="9"/>
  <c r="BD238" i="9"/>
  <c r="AX238" i="9"/>
  <c r="AW238" i="9"/>
  <c r="AV238" i="9"/>
  <c r="AU238" i="9"/>
  <c r="AT238" i="9"/>
  <c r="AS238" i="9"/>
  <c r="AR238" i="9"/>
  <c r="AQ238" i="9"/>
  <c r="AP238" i="9"/>
  <c r="AO238" i="9"/>
  <c r="AN238" i="9"/>
  <c r="AM238" i="9"/>
  <c r="AX222" i="9"/>
  <c r="AW222" i="9"/>
  <c r="AV222" i="9"/>
  <c r="AU222" i="9"/>
  <c r="AS222" i="9"/>
  <c r="AR222" i="9"/>
  <c r="AQ222" i="9"/>
  <c r="AP222" i="9"/>
  <c r="AO222" i="9"/>
  <c r="AN222" i="9"/>
  <c r="AM222" i="9"/>
  <c r="AT222" i="9"/>
  <c r="AT19" i="9"/>
  <c r="AT15" i="9"/>
  <c r="Y21" i="12"/>
  <c r="X21" i="12"/>
  <c r="Y18" i="12"/>
  <c r="X18" i="12"/>
  <c r="Y28" i="12"/>
  <c r="X28" i="12"/>
  <c r="Y36" i="12"/>
  <c r="Y37" i="12" s="1"/>
  <c r="X37" i="12"/>
  <c r="X36" i="12"/>
  <c r="R13" i="12"/>
  <c r="BM256" i="9" l="1"/>
  <c r="BM257" i="9" s="1"/>
  <c r="BN256" i="9"/>
  <c r="BN257" i="9" s="1"/>
  <c r="BO265" i="9"/>
  <c r="BO266" i="9"/>
  <c r="BO253" i="9" s="1"/>
  <c r="BO267" i="9" l="1"/>
  <c r="BP266" i="9"/>
  <c r="BP253" i="9" s="1"/>
  <c r="BP265" i="9"/>
  <c r="BQ266" i="9"/>
  <c r="BQ253" i="9" s="1"/>
  <c r="BQ265" i="9" l="1"/>
  <c r="BR265" i="9" s="1"/>
  <c r="BP267" i="9"/>
  <c r="BR266" i="9"/>
  <c r="BR253" i="9" s="1"/>
  <c r="BQ267" i="9" l="1"/>
  <c r="BS266" i="9"/>
  <c r="BR267" i="9"/>
  <c r="BS265" i="9"/>
  <c r="BS267" i="9" l="1"/>
  <c r="K18" i="23" l="1"/>
  <c r="M19" i="23"/>
  <c r="M18" i="23"/>
  <c r="H15" i="23"/>
  <c r="K15" i="23"/>
  <c r="N15" i="23" s="1"/>
  <c r="K14" i="23"/>
  <c r="H14" i="23"/>
  <c r="K12" i="23"/>
  <c r="G18" i="23"/>
  <c r="H18" i="23"/>
  <c r="H12" i="23" s="1"/>
  <c r="J18" i="23"/>
  <c r="J19" i="23" s="1"/>
  <c r="M23" i="23"/>
  <c r="M8" i="23"/>
  <c r="K6" i="23"/>
  <c r="K3" i="23" s="1"/>
  <c r="M27" i="23"/>
  <c r="N27" i="23" s="1"/>
  <c r="L20" i="23"/>
  <c r="M20" i="23" s="1"/>
  <c r="K25" i="23"/>
  <c r="J25" i="23"/>
  <c r="K22" i="23"/>
  <c r="J22" i="23"/>
  <c r="K10" i="23"/>
  <c r="J10" i="23"/>
  <c r="H24" i="23"/>
  <c r="H21" i="23"/>
  <c r="H9" i="23"/>
  <c r="K24" i="23"/>
  <c r="K21" i="23"/>
  <c r="K9" i="23"/>
  <c r="J6" i="23"/>
  <c r="G6" i="23"/>
  <c r="H6" i="23"/>
  <c r="AT213" i="8"/>
  <c r="BQ218" i="8"/>
  <c r="AT215" i="8"/>
  <c r="AT209" i="8"/>
  <c r="AT208" i="8"/>
  <c r="AT141" i="8"/>
  <c r="AT142" i="8" s="1"/>
  <c r="AY222" i="8"/>
  <c r="AY223" i="8"/>
  <c r="AY225" i="8"/>
  <c r="AY226" i="8" s="1"/>
  <c r="AY227" i="8" s="1"/>
  <c r="AY228" i="8" s="1"/>
  <c r="BC218" i="8"/>
  <c r="BC48" i="8"/>
  <c r="BC44" i="8"/>
  <c r="BC40" i="8"/>
  <c r="C21" i="11" a="1"/>
  <c r="C21" i="11" s="1"/>
  <c r="V163" i="8"/>
  <c r="U163" i="8"/>
  <c r="T163" i="8"/>
  <c r="S163" i="8"/>
  <c r="AW176" i="8"/>
  <c r="AV176" i="8"/>
  <c r="AU176" i="8"/>
  <c r="AL144" i="8"/>
  <c r="AR354" i="9"/>
  <c r="AS354" i="9"/>
  <c r="BS163" i="9"/>
  <c r="BR163" i="9"/>
  <c r="BQ163" i="9"/>
  <c r="BP163" i="9"/>
  <c r="BS156" i="9"/>
  <c r="BR156" i="9"/>
  <c r="BQ156" i="9"/>
  <c r="BP156" i="9"/>
  <c r="AW81" i="8"/>
  <c r="AR112" i="8"/>
  <c r="AS112" i="8"/>
  <c r="AR113" i="8"/>
  <c r="AS113" i="8"/>
  <c r="AS100" i="8"/>
  <c r="AU100" i="8" s="1"/>
  <c r="AS93" i="8"/>
  <c r="AR93" i="8"/>
  <c r="AS97" i="8"/>
  <c r="AR97" i="8"/>
  <c r="AX81" i="8"/>
  <c r="AW227" i="9"/>
  <c r="AV227" i="9"/>
  <c r="AU227" i="9"/>
  <c r="AQ191" i="8"/>
  <c r="AR186" i="8"/>
  <c r="AQ186" i="8"/>
  <c r="AO186" i="8"/>
  <c r="AN186" i="8"/>
  <c r="AM186" i="8"/>
  <c r="AS186" i="8"/>
  <c r="AS183" i="8"/>
  <c r="AU183" i="8" s="1"/>
  <c r="AR183" i="8"/>
  <c r="AQ183" i="8"/>
  <c r="AN183" i="8"/>
  <c r="AM183" i="8"/>
  <c r="AS181" i="8"/>
  <c r="AR181" i="8"/>
  <c r="AQ181" i="8"/>
  <c r="AN181" i="8"/>
  <c r="AM181" i="8"/>
  <c r="AO183" i="8"/>
  <c r="AP183" i="8" s="1"/>
  <c r="AO181" i="8"/>
  <c r="V149" i="8"/>
  <c r="V186" i="8" s="1"/>
  <c r="U149" i="8"/>
  <c r="U186" i="8" s="1"/>
  <c r="T149" i="8"/>
  <c r="T186" i="8" s="1"/>
  <c r="S149" i="8"/>
  <c r="S186" i="8" s="1"/>
  <c r="R149" i="8"/>
  <c r="Q149" i="8"/>
  <c r="P149" i="8"/>
  <c r="O149" i="8"/>
  <c r="N149" i="8"/>
  <c r="M149" i="8"/>
  <c r="L149" i="8"/>
  <c r="K149" i="8"/>
  <c r="J149" i="8"/>
  <c r="I149" i="8"/>
  <c r="H149" i="8"/>
  <c r="G149" i="8"/>
  <c r="F149" i="8"/>
  <c r="E149" i="8"/>
  <c r="D149" i="8"/>
  <c r="C149" i="8"/>
  <c r="V147" i="8"/>
  <c r="V148" i="8" s="1"/>
  <c r="U147" i="8"/>
  <c r="U148" i="8" s="1"/>
  <c r="T147" i="8"/>
  <c r="T148" i="8" s="1"/>
  <c r="S147" i="8"/>
  <c r="S148" i="8" s="1"/>
  <c r="N147" i="8"/>
  <c r="N148" i="8" s="1"/>
  <c r="M147" i="8"/>
  <c r="M148" i="8" s="1"/>
  <c r="L147" i="8"/>
  <c r="L148" i="8" s="1"/>
  <c r="K147" i="8"/>
  <c r="K148" i="8" s="1"/>
  <c r="J147" i="8"/>
  <c r="J148" i="8" s="1"/>
  <c r="I147" i="8"/>
  <c r="I148" i="8" s="1"/>
  <c r="H147" i="8"/>
  <c r="H148" i="8" s="1"/>
  <c r="G147" i="8"/>
  <c r="G148" i="8" s="1"/>
  <c r="F147" i="8"/>
  <c r="F148" i="8" s="1"/>
  <c r="E147" i="8"/>
  <c r="E148" i="8" s="1"/>
  <c r="D147" i="8"/>
  <c r="D148" i="8" s="1"/>
  <c r="C147" i="8"/>
  <c r="C148" i="8" s="1"/>
  <c r="AS150" i="8"/>
  <c r="AR150" i="8"/>
  <c r="AQ150" i="8"/>
  <c r="AS148" i="8"/>
  <c r="AR148" i="8"/>
  <c r="AQ148" i="8"/>
  <c r="AS157" i="8"/>
  <c r="AR157" i="8"/>
  <c r="AQ157" i="8"/>
  <c r="AR159" i="8"/>
  <c r="AQ159" i="8"/>
  <c r="AQ189" i="8"/>
  <c r="AW214" i="8"/>
  <c r="AW74" i="8" s="1"/>
  <c r="AV214" i="8"/>
  <c r="AV74" i="8" s="1"/>
  <c r="AU214" i="8"/>
  <c r="AU113" i="9"/>
  <c r="AV113" i="9" s="1"/>
  <c r="AW113" i="9" s="1"/>
  <c r="AX113" i="9" s="1"/>
  <c r="AR57" i="9"/>
  <c r="AQ57" i="9"/>
  <c r="AP57" i="9"/>
  <c r="AO57" i="9"/>
  <c r="AN57" i="9"/>
  <c r="AM57" i="9"/>
  <c r="AS57" i="9"/>
  <c r="AS362" i="9"/>
  <c r="AR362" i="9"/>
  <c r="AQ362" i="9"/>
  <c r="AP362" i="9"/>
  <c r="AO362" i="9"/>
  <c r="AN362" i="9"/>
  <c r="AM362" i="9"/>
  <c r="AS300" i="9"/>
  <c r="AR300" i="9"/>
  <c r="AR307" i="9" s="1"/>
  <c r="AQ300" i="9"/>
  <c r="AQ307" i="9" s="1"/>
  <c r="AO300" i="9"/>
  <c r="AN300" i="9"/>
  <c r="AM300" i="9"/>
  <c r="AP300" i="9"/>
  <c r="AP307" i="9" s="1"/>
  <c r="AS280" i="9"/>
  <c r="AS292" i="9" s="1"/>
  <c r="AR280" i="9"/>
  <c r="AR292" i="9" s="1"/>
  <c r="AQ280" i="9"/>
  <c r="AQ292" i="9" s="1"/>
  <c r="AP280" i="9"/>
  <c r="AP292" i="9" s="1"/>
  <c r="AO280" i="9"/>
  <c r="AO292" i="9" s="1"/>
  <c r="AN280" i="9"/>
  <c r="AN292" i="9" s="1"/>
  <c r="AM280" i="9"/>
  <c r="AM292" i="9" s="1"/>
  <c r="AX276" i="9"/>
  <c r="AW276" i="9"/>
  <c r="AV276" i="9"/>
  <c r="AU276" i="9"/>
  <c r="AT276" i="9"/>
  <c r="AS276" i="9"/>
  <c r="AR276" i="9"/>
  <c r="AQ276" i="9"/>
  <c r="AP276" i="9"/>
  <c r="AO276" i="9"/>
  <c r="AN276" i="9"/>
  <c r="AM276" i="9"/>
  <c r="U42" i="12"/>
  <c r="T42" i="12"/>
  <c r="S42" i="12"/>
  <c r="R42" i="12"/>
  <c r="U41" i="12"/>
  <c r="T41" i="12"/>
  <c r="S41" i="12"/>
  <c r="R41" i="12"/>
  <c r="BU83" i="8"/>
  <c r="BT83" i="8"/>
  <c r="BS83" i="8"/>
  <c r="BR83" i="8"/>
  <c r="BU79" i="8"/>
  <c r="BT79" i="8"/>
  <c r="BS79" i="8"/>
  <c r="BR79" i="8"/>
  <c r="AX79" i="8"/>
  <c r="AW79" i="8"/>
  <c r="AV79" i="8"/>
  <c r="AU79" i="8"/>
  <c r="BQ79" i="8" s="1"/>
  <c r="AX83" i="8"/>
  <c r="AX119" i="8" s="1"/>
  <c r="AW83" i="8"/>
  <c r="AW119" i="8" s="1"/>
  <c r="AV83" i="8"/>
  <c r="AV119" i="8" s="1"/>
  <c r="AU83" i="8"/>
  <c r="BO224" i="9"/>
  <c r="BO251" i="9" s="1"/>
  <c r="BO67" i="9"/>
  <c r="BO41" i="9"/>
  <c r="Q42" i="12" s="1"/>
  <c r="BO40" i="9"/>
  <c r="BO30" i="9"/>
  <c r="BO121" i="9"/>
  <c r="BO163" i="9" s="1"/>
  <c r="BO48" i="9"/>
  <c r="BQ578" i="8"/>
  <c r="BQ484" i="8"/>
  <c r="BQ483" i="8"/>
  <c r="BQ430" i="8"/>
  <c r="BQ300" i="8"/>
  <c r="BQ279" i="8"/>
  <c r="BQ271" i="8"/>
  <c r="BQ267" i="8"/>
  <c r="BQ265" i="8"/>
  <c r="BQ262" i="8"/>
  <c r="BQ259" i="8"/>
  <c r="BQ254" i="8"/>
  <c r="BQ252" i="8"/>
  <c r="BQ248" i="8"/>
  <c r="BQ217" i="8"/>
  <c r="BQ80" i="8"/>
  <c r="BQ703" i="8"/>
  <c r="BQ695" i="8"/>
  <c r="AS70" i="9"/>
  <c r="AR70" i="9"/>
  <c r="AS66" i="9"/>
  <c r="AR66" i="9"/>
  <c r="AS54" i="9"/>
  <c r="AR54" i="9"/>
  <c r="AS81" i="9"/>
  <c r="AR81" i="9"/>
  <c r="AS79" i="9"/>
  <c r="AR79" i="9"/>
  <c r="AS77" i="9"/>
  <c r="AR77" i="9"/>
  <c r="AS76" i="9"/>
  <c r="AR76" i="9"/>
  <c r="AU105" i="9"/>
  <c r="AV105" i="9" s="1"/>
  <c r="AW105" i="9" s="1"/>
  <c r="AX105" i="9" s="1"/>
  <c r="BO105" i="9" s="1"/>
  <c r="BP105" i="9" s="1"/>
  <c r="AU120" i="9"/>
  <c r="AV120" i="9" s="1"/>
  <c r="AW120" i="9" s="1"/>
  <c r="AX120" i="9" s="1"/>
  <c r="BO120" i="9" s="1"/>
  <c r="BP120" i="9" s="1"/>
  <c r="BQ120" i="9" s="1"/>
  <c r="BR120" i="9" s="1"/>
  <c r="BS120" i="9" s="1"/>
  <c r="BN134" i="9"/>
  <c r="BM139" i="9"/>
  <c r="BM138" i="9"/>
  <c r="BM135" i="9"/>
  <c r="BM134" i="9"/>
  <c r="BM133" i="9"/>
  <c r="BM132" i="9"/>
  <c r="BM131" i="9"/>
  <c r="BM128" i="9"/>
  <c r="BM127" i="9"/>
  <c r="BM126" i="9"/>
  <c r="BM125" i="9"/>
  <c r="BM124" i="9"/>
  <c r="BM123" i="9"/>
  <c r="BM122" i="9"/>
  <c r="BN121" i="9"/>
  <c r="BN163" i="9" s="1"/>
  <c r="BM121" i="9"/>
  <c r="BM163" i="9" s="1"/>
  <c r="BM120" i="9"/>
  <c r="BM107" i="9"/>
  <c r="BM106" i="9"/>
  <c r="BM105" i="9"/>
  <c r="BM104" i="9"/>
  <c r="BM103" i="9"/>
  <c r="BM102" i="9"/>
  <c r="BM101" i="9"/>
  <c r="AX163" i="9"/>
  <c r="AW163" i="9"/>
  <c r="AV163" i="9"/>
  <c r="AU163" i="9"/>
  <c r="AR155" i="9"/>
  <c r="AQ155" i="9"/>
  <c r="AP155" i="9"/>
  <c r="AO155" i="9"/>
  <c r="AN155" i="9"/>
  <c r="AM155" i="9"/>
  <c r="AS155" i="9"/>
  <c r="AS148" i="9"/>
  <c r="AS165" i="9"/>
  <c r="AT69" i="9" s="1"/>
  <c r="AR165" i="9"/>
  <c r="AP165" i="9"/>
  <c r="AO165" i="9"/>
  <c r="AN165" i="9"/>
  <c r="AM165" i="9"/>
  <c r="AS164" i="9"/>
  <c r="AR164" i="9"/>
  <c r="AP164" i="9"/>
  <c r="AO164" i="9"/>
  <c r="AN164" i="9"/>
  <c r="AM164" i="9"/>
  <c r="AS163" i="9"/>
  <c r="AR163" i="9"/>
  <c r="AP163" i="9"/>
  <c r="AO163" i="9"/>
  <c r="AN163" i="9"/>
  <c r="AM163" i="9"/>
  <c r="AS162" i="9"/>
  <c r="AT64" i="9" s="1"/>
  <c r="AR162" i="9"/>
  <c r="AP162" i="9"/>
  <c r="AO162" i="9"/>
  <c r="AN162" i="9"/>
  <c r="AM162" i="9"/>
  <c r="AS161" i="9"/>
  <c r="AR161" i="9"/>
  <c r="AP161" i="9"/>
  <c r="AO161" i="9"/>
  <c r="AN161" i="9"/>
  <c r="AM161" i="9"/>
  <c r="AS160" i="9"/>
  <c r="AR160" i="9"/>
  <c r="AP160" i="9"/>
  <c r="AO160" i="9"/>
  <c r="AN160" i="9"/>
  <c r="AM160" i="9"/>
  <c r="AS157" i="9"/>
  <c r="AR157" i="9"/>
  <c r="AP157" i="9"/>
  <c r="AO157" i="9"/>
  <c r="AN157" i="9"/>
  <c r="AM157" i="9"/>
  <c r="AS156" i="9"/>
  <c r="AR156" i="9"/>
  <c r="AP156" i="9"/>
  <c r="AO156" i="9"/>
  <c r="AN156" i="9"/>
  <c r="AM156" i="9"/>
  <c r="AS149" i="9"/>
  <c r="AR149" i="9"/>
  <c r="AP149" i="9"/>
  <c r="AO149" i="9"/>
  <c r="AN149" i="9"/>
  <c r="AM149" i="9"/>
  <c r="AR148" i="9"/>
  <c r="AP148" i="9"/>
  <c r="AO148" i="9"/>
  <c r="AN148" i="9"/>
  <c r="AM148" i="9"/>
  <c r="AS147" i="9"/>
  <c r="AR147" i="9"/>
  <c r="AP147" i="9"/>
  <c r="AO147" i="9"/>
  <c r="AN147" i="9"/>
  <c r="AM147" i="9"/>
  <c r="AQ162" i="9"/>
  <c r="AQ157" i="9"/>
  <c r="AQ165" i="9"/>
  <c r="AQ148" i="9"/>
  <c r="AQ147" i="9"/>
  <c r="AS116" i="9"/>
  <c r="AR116" i="9"/>
  <c r="AP116" i="9"/>
  <c r="AO116" i="9"/>
  <c r="AN116" i="9"/>
  <c r="AM116" i="9"/>
  <c r="AQ116" i="9"/>
  <c r="BD121" i="9"/>
  <c r="BE121" i="9"/>
  <c r="BF121" i="9"/>
  <c r="BG121" i="9"/>
  <c r="BH121" i="9"/>
  <c r="BI121" i="9"/>
  <c r="BJ121" i="9"/>
  <c r="BK121" i="9"/>
  <c r="BL121" i="9"/>
  <c r="AS97" i="9"/>
  <c r="AR97" i="9"/>
  <c r="AP97" i="9"/>
  <c r="AO97" i="9"/>
  <c r="AN97" i="9"/>
  <c r="AM97" i="9"/>
  <c r="AQ97" i="9"/>
  <c r="BM29" i="9"/>
  <c r="BM28" i="9"/>
  <c r="BM300" i="9" s="1"/>
  <c r="BM307" i="9" s="1"/>
  <c r="AS30" i="9"/>
  <c r="AR30" i="9"/>
  <c r="AQ30" i="9"/>
  <c r="AP30" i="9"/>
  <c r="AO30" i="9"/>
  <c r="AN30" i="9"/>
  <c r="AM30" i="9"/>
  <c r="AP58" i="8"/>
  <c r="AP65" i="8"/>
  <c r="AP86" i="8" s="1"/>
  <c r="AP115" i="8" s="1"/>
  <c r="AP119" i="8" s="1"/>
  <c r="AO65" i="8"/>
  <c r="AO86" i="8" s="1"/>
  <c r="AO115" i="8" s="1"/>
  <c r="AO119" i="8" s="1"/>
  <c r="AN65" i="8"/>
  <c r="AN86" i="8" s="1"/>
  <c r="AN115" i="8" s="1"/>
  <c r="AN119" i="8" s="1"/>
  <c r="AM65" i="8"/>
  <c r="L55" i="8"/>
  <c r="AQ61" i="8"/>
  <c r="AQ57" i="8"/>
  <c r="AQ5" i="9" s="1"/>
  <c r="AR81" i="8"/>
  <c r="AQ15" i="9"/>
  <c r="AR70" i="8"/>
  <c r="AQ70" i="8"/>
  <c r="AS70" i="8"/>
  <c r="AS65" i="8" s="1"/>
  <c r="AS61" i="8"/>
  <c r="AS86" i="8" s="1"/>
  <c r="AS115" i="8" s="1"/>
  <c r="AS119" i="8" s="1"/>
  <c r="AR61" i="8"/>
  <c r="AR57" i="8"/>
  <c r="AS57" i="8"/>
  <c r="AS161" i="8"/>
  <c r="AS170" i="8"/>
  <c r="AS171" i="8" s="1"/>
  <c r="AP174" i="8"/>
  <c r="AT175" i="8" s="1"/>
  <c r="AP176" i="8"/>
  <c r="AS168" i="8"/>
  <c r="AR168" i="8"/>
  <c r="AQ168" i="8"/>
  <c r="AR166" i="8"/>
  <c r="AQ166" i="8"/>
  <c r="AS177" i="8"/>
  <c r="AR177" i="8"/>
  <c r="AQ177" i="8"/>
  <c r="AS175" i="8"/>
  <c r="AR175" i="8"/>
  <c r="AQ175" i="8"/>
  <c r="BU175" i="8"/>
  <c r="BT175" i="8"/>
  <c r="BS175" i="8"/>
  <c r="BR175" i="8"/>
  <c r="BH170" i="8"/>
  <c r="BG170" i="8"/>
  <c r="BF170" i="8"/>
  <c r="BE170" i="8"/>
  <c r="AR190" i="8"/>
  <c r="AR191" i="8" s="1"/>
  <c r="AR188" i="8"/>
  <c r="AR189" i="8" s="1"/>
  <c r="AS213" i="8"/>
  <c r="AR213" i="8"/>
  <c r="AS212" i="8"/>
  <c r="AR212" i="8"/>
  <c r="AS215" i="8"/>
  <c r="AR215" i="8"/>
  <c r="AS209" i="8"/>
  <c r="AS208" i="8"/>
  <c r="AR209" i="8"/>
  <c r="AR208" i="8"/>
  <c r="AX43" i="10"/>
  <c r="AW43" i="10"/>
  <c r="AV43" i="10"/>
  <c r="AU43" i="10"/>
  <c r="AX42" i="10"/>
  <c r="AW42" i="10"/>
  <c r="AV42" i="10"/>
  <c r="AU42" i="10"/>
  <c r="AX41" i="10"/>
  <c r="AW41" i="10"/>
  <c r="AV41" i="10"/>
  <c r="AU41" i="10"/>
  <c r="AX40" i="10"/>
  <c r="AW40" i="10"/>
  <c r="AV40" i="10"/>
  <c r="AU40" i="10"/>
  <c r="AX39" i="10"/>
  <c r="AW39" i="10"/>
  <c r="AV39" i="10"/>
  <c r="AU39" i="10"/>
  <c r="AX37" i="10"/>
  <c r="AW37" i="10"/>
  <c r="AV37" i="10"/>
  <c r="AU37" i="10"/>
  <c r="AX36" i="10"/>
  <c r="AW36" i="10"/>
  <c r="AV36" i="10"/>
  <c r="AU36" i="10"/>
  <c r="AX35" i="10"/>
  <c r="AW35" i="10"/>
  <c r="AV35" i="10"/>
  <c r="AU35" i="10"/>
  <c r="AX34" i="10"/>
  <c r="AW34" i="10"/>
  <c r="AV34" i="10"/>
  <c r="AU34" i="10"/>
  <c r="AX33" i="10"/>
  <c r="AW33" i="10"/>
  <c r="AV33" i="10"/>
  <c r="AU33" i="10"/>
  <c r="AU335" i="8"/>
  <c r="AV335" i="8"/>
  <c r="AW335" i="8"/>
  <c r="AX335" i="8"/>
  <c r="AU480" i="8"/>
  <c r="AU522" i="8"/>
  <c r="AV522" i="8"/>
  <c r="AW522" i="8"/>
  <c r="AX522" i="8"/>
  <c r="AU590" i="8"/>
  <c r="AV590" i="8"/>
  <c r="AW590" i="8"/>
  <c r="AX590" i="8"/>
  <c r="AU708" i="8"/>
  <c r="AU709" i="8" s="1"/>
  <c r="AV708" i="8"/>
  <c r="AW708" i="8"/>
  <c r="AX708" i="8"/>
  <c r="AX709" i="8" s="1"/>
  <c r="AX12" i="10"/>
  <c r="AW12" i="10"/>
  <c r="AV12" i="10"/>
  <c r="AU12" i="10"/>
  <c r="AX11" i="10"/>
  <c r="AW11" i="10"/>
  <c r="AV11" i="10"/>
  <c r="AU11" i="10"/>
  <c r="AX10" i="10"/>
  <c r="AW10" i="10"/>
  <c r="AV10" i="10"/>
  <c r="AU10" i="10"/>
  <c r="AX9" i="10"/>
  <c r="AW9" i="10"/>
  <c r="AV9" i="10"/>
  <c r="AU9" i="10"/>
  <c r="AX8" i="10"/>
  <c r="AX2" i="8" s="1"/>
  <c r="AW8" i="10"/>
  <c r="AW2" i="8" s="1"/>
  <c r="AV8" i="10"/>
  <c r="AV2" i="8" s="1"/>
  <c r="AU8" i="10"/>
  <c r="AU2" i="8" s="1"/>
  <c r="AX7" i="10"/>
  <c r="AW7" i="10"/>
  <c r="AV7" i="10"/>
  <c r="AU7" i="10"/>
  <c r="AX6" i="10"/>
  <c r="AW6" i="10"/>
  <c r="AV6" i="10"/>
  <c r="AV318" i="9" s="1"/>
  <c r="AU6" i="10"/>
  <c r="AU318" i="9" s="1"/>
  <c r="AX5" i="10"/>
  <c r="AW5" i="10"/>
  <c r="AV5" i="10"/>
  <c r="AU5" i="10"/>
  <c r="AX4" i="10"/>
  <c r="AW4" i="10"/>
  <c r="AV4" i="10"/>
  <c r="AU4" i="10"/>
  <c r="AX3" i="10"/>
  <c r="AW3" i="10"/>
  <c r="AV3" i="10"/>
  <c r="AU3" i="10"/>
  <c r="AQ54" i="9"/>
  <c r="AQ66" i="9"/>
  <c r="AQ70" i="9"/>
  <c r="AQ76" i="9"/>
  <c r="AQ77" i="9"/>
  <c r="AQ79" i="9"/>
  <c r="AQ81" i="9"/>
  <c r="AQ96" i="9"/>
  <c r="AR96" i="9"/>
  <c r="AS96" i="9"/>
  <c r="AT96" i="9"/>
  <c r="AQ108" i="9"/>
  <c r="AU109" i="9"/>
  <c r="AQ111" i="9"/>
  <c r="AX340" i="9"/>
  <c r="BO340" i="9" s="1"/>
  <c r="AW340" i="9"/>
  <c r="AV340" i="9"/>
  <c r="AU340" i="9"/>
  <c r="AX332" i="9"/>
  <c r="BO332" i="9" s="1"/>
  <c r="AW332" i="9"/>
  <c r="AV332" i="9"/>
  <c r="AU332" i="9"/>
  <c r="AX205" i="9"/>
  <c r="AW205" i="9"/>
  <c r="AV205" i="9"/>
  <c r="AU205" i="9"/>
  <c r="AX96" i="9"/>
  <c r="AW96" i="9"/>
  <c r="AV96" i="9"/>
  <c r="AU96" i="9"/>
  <c r="AX70" i="9"/>
  <c r="AW70" i="9"/>
  <c r="AV70" i="9"/>
  <c r="AU70" i="9"/>
  <c r="AX54" i="9"/>
  <c r="AW54" i="9"/>
  <c r="AV54" i="9"/>
  <c r="AU54" i="9"/>
  <c r="E15" i="21"/>
  <c r="F15" i="21" s="1"/>
  <c r="G15" i="21" s="1"/>
  <c r="D15" i="21"/>
  <c r="D8" i="21"/>
  <c r="E8" i="21" s="1"/>
  <c r="F8" i="21" s="1"/>
  <c r="G8" i="21" s="1"/>
  <c r="Q27" i="21"/>
  <c r="Q28" i="21" s="1"/>
  <c r="P27" i="21"/>
  <c r="P28" i="21" s="1"/>
  <c r="O27" i="21"/>
  <c r="O28" i="21" s="1"/>
  <c r="Q19" i="21"/>
  <c r="Q10" i="21"/>
  <c r="P10" i="21"/>
  <c r="R10" i="21"/>
  <c r="O10" i="21"/>
  <c r="M10" i="21"/>
  <c r="N10" i="21"/>
  <c r="AS92" i="8" l="1"/>
  <c r="AS94" i="8" s="1"/>
  <c r="AW94" i="8" s="1"/>
  <c r="AR105" i="8"/>
  <c r="AS98" i="8"/>
  <c r="AV100" i="8"/>
  <c r="AW100" i="8" s="1"/>
  <c r="AX100" i="8" s="1"/>
  <c r="BC209" i="8"/>
  <c r="AZ222" i="8"/>
  <c r="AS105" i="8"/>
  <c r="AO146" i="9"/>
  <c r="AO145" i="9" s="1"/>
  <c r="AP146" i="9"/>
  <c r="AP145" i="9" s="1"/>
  <c r="BN105" i="9"/>
  <c r="AM146" i="9"/>
  <c r="AM145" i="9" s="1"/>
  <c r="AR146" i="9"/>
  <c r="AR145" i="9" s="1"/>
  <c r="AN146" i="9"/>
  <c r="AM153" i="9"/>
  <c r="BN138" i="9"/>
  <c r="BN106" i="9"/>
  <c r="BN120" i="9"/>
  <c r="BM30" i="9"/>
  <c r="P15" i="23"/>
  <c r="M15" i="23"/>
  <c r="M14" i="23" s="1"/>
  <c r="K16" i="23"/>
  <c r="K17" i="23"/>
  <c r="H17" i="23"/>
  <c r="K19" i="23"/>
  <c r="M6" i="23"/>
  <c r="M28" i="23" s="1"/>
  <c r="N6" i="23" s="1"/>
  <c r="N8" i="23" s="1"/>
  <c r="P8" i="23" s="1"/>
  <c r="J7" i="23"/>
  <c r="L21" i="23"/>
  <c r="K7" i="23"/>
  <c r="AT212" i="8"/>
  <c r="AR65" i="8"/>
  <c r="AR86" i="8" s="1"/>
  <c r="AR115" i="8" s="1"/>
  <c r="AR119" i="8" s="1"/>
  <c r="AM86" i="8"/>
  <c r="AM115" i="8" s="1"/>
  <c r="BO65" i="8"/>
  <c r="AQ81" i="8"/>
  <c r="AQ65" i="8" s="1"/>
  <c r="AV81" i="8"/>
  <c r="AU181" i="8"/>
  <c r="AP159" i="9"/>
  <c r="AO159" i="9"/>
  <c r="AM159" i="9"/>
  <c r="AN159" i="9"/>
  <c r="AS307" i="9"/>
  <c r="AO307" i="9"/>
  <c r="AN307" i="9"/>
  <c r="AM307" i="9"/>
  <c r="BQ105" i="9"/>
  <c r="AS64" i="9"/>
  <c r="AR159" i="9"/>
  <c r="AS153" i="9"/>
  <c r="AO153" i="9"/>
  <c r="AN153" i="9"/>
  <c r="AS159" i="9"/>
  <c r="AP153" i="9"/>
  <c r="AR110" i="8"/>
  <c r="AR111" i="8" s="1"/>
  <c r="AS110" i="8"/>
  <c r="AS111" i="8" s="1"/>
  <c r="BM57" i="9"/>
  <c r="BM362" i="9"/>
  <c r="AU101" i="9"/>
  <c r="AV101" i="9" s="1"/>
  <c r="AW101" i="9" s="1"/>
  <c r="AX101" i="9" s="1"/>
  <c r="BO101" i="9" s="1"/>
  <c r="BP101" i="9" s="1"/>
  <c r="BQ101" i="9" s="1"/>
  <c r="BR101" i="9" s="1"/>
  <c r="BS101" i="9" s="1"/>
  <c r="BN101" i="9"/>
  <c r="AV183" i="8"/>
  <c r="AX696" i="8"/>
  <c r="AU696" i="8"/>
  <c r="AS146" i="9"/>
  <c r="AT65" i="9" s="1"/>
  <c r="AS69" i="9"/>
  <c r="AR64" i="9"/>
  <c r="AR69" i="9"/>
  <c r="AU125" i="9"/>
  <c r="AV125" i="9" s="1"/>
  <c r="AW125" i="9" s="1"/>
  <c r="AX125" i="9" s="1"/>
  <c r="BO125" i="9" s="1"/>
  <c r="BP125" i="9" s="1"/>
  <c r="BQ125" i="9" s="1"/>
  <c r="BR125" i="9" s="1"/>
  <c r="BS125" i="9" s="1"/>
  <c r="BN125" i="9"/>
  <c r="AU126" i="9"/>
  <c r="AV126" i="9" s="1"/>
  <c r="AW126" i="9" s="1"/>
  <c r="AX126" i="9" s="1"/>
  <c r="BO126" i="9" s="1"/>
  <c r="BP126" i="9" s="1"/>
  <c r="BQ126" i="9" s="1"/>
  <c r="BR126" i="9" s="1"/>
  <c r="BS126" i="9" s="1"/>
  <c r="BN126" i="9"/>
  <c r="AU128" i="9"/>
  <c r="AV128" i="9" s="1"/>
  <c r="AW128" i="9" s="1"/>
  <c r="AX128" i="9" s="1"/>
  <c r="BO128" i="9" s="1"/>
  <c r="BP128" i="9" s="1"/>
  <c r="BQ128" i="9" s="1"/>
  <c r="BR128" i="9" s="1"/>
  <c r="BS128" i="9" s="1"/>
  <c r="BN128" i="9"/>
  <c r="AU133" i="9"/>
  <c r="AV133" i="9" s="1"/>
  <c r="AW133" i="9" s="1"/>
  <c r="AX133" i="9" s="1"/>
  <c r="BO133" i="9" s="1"/>
  <c r="BP133" i="9" s="1"/>
  <c r="BQ133" i="9" s="1"/>
  <c r="BR133" i="9" s="1"/>
  <c r="BS133" i="9" s="1"/>
  <c r="BN133" i="9"/>
  <c r="AN145" i="9"/>
  <c r="AR153" i="9"/>
  <c r="Q41" i="12"/>
  <c r="BO70" i="9"/>
  <c r="AU119" i="8"/>
  <c r="BQ83" i="8"/>
  <c r="AU74" i="8"/>
  <c r="BQ712" i="8"/>
  <c r="BQ256" i="8"/>
  <c r="BN131" i="9"/>
  <c r="AU131" i="9"/>
  <c r="AV131" i="9" s="1"/>
  <c r="AW131" i="9" s="1"/>
  <c r="AX131" i="9" s="1"/>
  <c r="BO131" i="9" s="1"/>
  <c r="BP131" i="9" s="1"/>
  <c r="BQ131" i="9" s="1"/>
  <c r="BR131" i="9" s="1"/>
  <c r="BS131" i="9" s="1"/>
  <c r="AU134" i="9"/>
  <c r="AV134" i="9" s="1"/>
  <c r="AW134" i="9" s="1"/>
  <c r="AX134" i="9" s="1"/>
  <c r="BO134" i="9" s="1"/>
  <c r="BP134" i="9" s="1"/>
  <c r="BQ134" i="9" s="1"/>
  <c r="BR134" i="9" s="1"/>
  <c r="BS134" i="9" s="1"/>
  <c r="BN30" i="9"/>
  <c r="AQ115" i="9"/>
  <c r="AR108" i="9"/>
  <c r="AQ8" i="9"/>
  <c r="AQ9" i="9" s="1"/>
  <c r="AV696" i="8"/>
  <c r="AV709" i="8"/>
  <c r="AW696" i="8"/>
  <c r="AW709" i="8"/>
  <c r="AQ13" i="9"/>
  <c r="AW174" i="8"/>
  <c r="AS190" i="8"/>
  <c r="AS188" i="8"/>
  <c r="AW165" i="8"/>
  <c r="AW209" i="8"/>
  <c r="AV209" i="8"/>
  <c r="AW342" i="9"/>
  <c r="AU342" i="9"/>
  <c r="AX342" i="9"/>
  <c r="BO342" i="9" s="1"/>
  <c r="AV342" i="9"/>
  <c r="AX294" i="9"/>
  <c r="AX293" i="9" s="1"/>
  <c r="AX318" i="9"/>
  <c r="AX309" i="9"/>
  <c r="AW294" i="9"/>
  <c r="AW293" i="9" s="1"/>
  <c r="AW318" i="9"/>
  <c r="AW309" i="9"/>
  <c r="AV309" i="9"/>
  <c r="AV294" i="9"/>
  <c r="AV293" i="9" s="1"/>
  <c r="AU309" i="9"/>
  <c r="AU294" i="9"/>
  <c r="AU293" i="9" s="1"/>
  <c r="AV109" i="9"/>
  <c r="O3" i="21"/>
  <c r="P3" i="21" s="1"/>
  <c r="Q3" i="21" s="1"/>
  <c r="R3" i="21" s="1"/>
  <c r="D2" i="21"/>
  <c r="E2" i="21" s="1"/>
  <c r="F2" i="21" s="1"/>
  <c r="G2" i="21" s="1"/>
  <c r="AQ90" i="8"/>
  <c r="AP90" i="8"/>
  <c r="AO90" i="8"/>
  <c r="AN90" i="8"/>
  <c r="AQ97" i="8"/>
  <c r="AP97" i="8"/>
  <c r="AP100" i="8"/>
  <c r="AQ113" i="8"/>
  <c r="AP113" i="8"/>
  <c r="AQ112" i="8"/>
  <c r="AP112" i="8"/>
  <c r="AQ100" i="8"/>
  <c r="AR102" i="8" s="1"/>
  <c r="AO79" i="9"/>
  <c r="AP79" i="9"/>
  <c r="AM81" i="9"/>
  <c r="AN81" i="9"/>
  <c r="AO81" i="9"/>
  <c r="AP81" i="9"/>
  <c r="AP76" i="9"/>
  <c r="AP77" i="9"/>
  <c r="AM70" i="9"/>
  <c r="AN70" i="9"/>
  <c r="AO70" i="9"/>
  <c r="AP70" i="9"/>
  <c r="AM54" i="9"/>
  <c r="AN54" i="9"/>
  <c r="AO54" i="9"/>
  <c r="AP54" i="9"/>
  <c r="AM71" i="9"/>
  <c r="AM66" i="9"/>
  <c r="AN66" i="9"/>
  <c r="AO66" i="9"/>
  <c r="AP66" i="9"/>
  <c r="AP287" i="9"/>
  <c r="AP288" i="9" s="1"/>
  <c r="AQ287" i="9"/>
  <c r="AQ288" i="9" s="1"/>
  <c r="AQ164" i="9"/>
  <c r="AQ163" i="9"/>
  <c r="AQ161" i="9"/>
  <c r="AQ160" i="9"/>
  <c r="AQ156" i="9"/>
  <c r="AQ149" i="9"/>
  <c r="AO76" i="9"/>
  <c r="AO77" i="9"/>
  <c r="AP190" i="8"/>
  <c r="AP188" i="8"/>
  <c r="AP36" i="8"/>
  <c r="AQ36" i="8"/>
  <c r="AQ458" i="8"/>
  <c r="AQ459" i="8" s="1"/>
  <c r="AQ479" i="8"/>
  <c r="AR479" i="8" s="1"/>
  <c r="AQ478" i="8"/>
  <c r="AQ482" i="8"/>
  <c r="AQ481" i="8"/>
  <c r="AQ475" i="8"/>
  <c r="AU475" i="8" s="1"/>
  <c r="AQ474" i="8"/>
  <c r="AQ213" i="8"/>
  <c r="AQ215" i="8"/>
  <c r="AQ209" i="8"/>
  <c r="AU209" i="8" s="1"/>
  <c r="AQ208" i="8"/>
  <c r="AQ141" i="8"/>
  <c r="AQ142" i="8" s="1"/>
  <c r="AP141" i="8"/>
  <c r="AP142" i="8" s="1"/>
  <c r="AQ159" i="9" l="1"/>
  <c r="AR92" i="8"/>
  <c r="AR98" i="8"/>
  <c r="AQ106" i="8"/>
  <c r="AQ98" i="8"/>
  <c r="AS189" i="8"/>
  <c r="AT188" i="8"/>
  <c r="AS191" i="8"/>
  <c r="AT190" i="8"/>
  <c r="AM152" i="9"/>
  <c r="AM151" i="9" s="1"/>
  <c r="AP152" i="9"/>
  <c r="AP151" i="9" s="1"/>
  <c r="AN152" i="9"/>
  <c r="AN151" i="9" s="1"/>
  <c r="AO152" i="9"/>
  <c r="AO151" i="9" s="1"/>
  <c r="N23" i="23"/>
  <c r="AU81" i="8"/>
  <c r="AQ19" i="9"/>
  <c r="AQ11" i="9" s="1"/>
  <c r="AQ86" i="8"/>
  <c r="AQ115" i="8" s="1"/>
  <c r="AQ119" i="8" s="1"/>
  <c r="AU179" i="8"/>
  <c r="AV181" i="8"/>
  <c r="AS152" i="9"/>
  <c r="BR105" i="9"/>
  <c r="AR152" i="9"/>
  <c r="AR151" i="9" s="1"/>
  <c r="AW183" i="8"/>
  <c r="AS65" i="9"/>
  <c r="AS145" i="9"/>
  <c r="AX349" i="9"/>
  <c r="AX308" i="9"/>
  <c r="AW349" i="9"/>
  <c r="AW308" i="9"/>
  <c r="AV349" i="9"/>
  <c r="AV308" i="9"/>
  <c r="AU349" i="9"/>
  <c r="AU308" i="9"/>
  <c r="BQ709" i="8"/>
  <c r="AS108" i="9"/>
  <c r="AQ64" i="9"/>
  <c r="AQ69" i="9"/>
  <c r="AP110" i="8"/>
  <c r="AU76" i="8"/>
  <c r="AU15" i="9"/>
  <c r="AW109" i="9"/>
  <c r="AX109" i="9" s="1"/>
  <c r="BO109" i="9" s="1"/>
  <c r="AQ146" i="9"/>
  <c r="AQ153" i="9"/>
  <c r="AQ110" i="8"/>
  <c r="AQ289" i="9"/>
  <c r="AQ293" i="9" s="1"/>
  <c r="AT191" i="8" l="1"/>
  <c r="AT189" i="8"/>
  <c r="AT192" i="8"/>
  <c r="N18" i="23"/>
  <c r="AQ12" i="9"/>
  <c r="AQ21" i="9"/>
  <c r="AQ32" i="9" s="1"/>
  <c r="AQ35" i="9" s="1"/>
  <c r="AV179" i="8"/>
  <c r="AW181" i="8"/>
  <c r="AS151" i="9"/>
  <c r="BS105" i="9"/>
  <c r="AX183" i="8"/>
  <c r="AQ145" i="9"/>
  <c r="AR65" i="9"/>
  <c r="BO138" i="9"/>
  <c r="AQ65" i="9"/>
  <c r="AQ152" i="9"/>
  <c r="AU110" i="9"/>
  <c r="AT108" i="9"/>
  <c r="AV174" i="8"/>
  <c r="BO174" i="8"/>
  <c r="AU99" i="9"/>
  <c r="AU156" i="9" s="1"/>
  <c r="AU108" i="9"/>
  <c r="AV110" i="9"/>
  <c r="P22" i="11"/>
  <c r="M22" i="11"/>
  <c r="M16" i="11" s="1"/>
  <c r="M2" i="11" a="1"/>
  <c r="M2" i="11" s="1"/>
  <c r="M24" i="11"/>
  <c r="P24" i="11" s="1"/>
  <c r="P23" i="11"/>
  <c r="P21" i="11"/>
  <c r="P15" i="11" s="1"/>
  <c r="P17" i="11"/>
  <c r="M17" i="11"/>
  <c r="M15" i="11"/>
  <c r="M13" i="11"/>
  <c r="P13" i="11" s="1"/>
  <c r="M12" i="11"/>
  <c r="P12" i="11" s="1"/>
  <c r="P9" i="11"/>
  <c r="M1" i="11" a="1"/>
  <c r="M1" i="11" s="1"/>
  <c r="H31" i="11"/>
  <c r="H30" i="11"/>
  <c r="AP215" i="8"/>
  <c r="AP213" i="8"/>
  <c r="AP209" i="8"/>
  <c r="AP208" i="8"/>
  <c r="AL190" i="8"/>
  <c r="BN190" i="8" s="1"/>
  <c r="AM354" i="9"/>
  <c r="AL354" i="9"/>
  <c r="AP348" i="9"/>
  <c r="BM348" i="9" s="1"/>
  <c r="AN354" i="9"/>
  <c r="AN340" i="9"/>
  <c r="AN332" i="9"/>
  <c r="AO354" i="9"/>
  <c r="AB31" i="20"/>
  <c r="AC31" i="20"/>
  <c r="AE29" i="20"/>
  <c r="AD29" i="20"/>
  <c r="AC29" i="20"/>
  <c r="AB29" i="20"/>
  <c r="AE19" i="20"/>
  <c r="AD19" i="20"/>
  <c r="AC19" i="20"/>
  <c r="AB19" i="20"/>
  <c r="AE17" i="20"/>
  <c r="AD17" i="20"/>
  <c r="AC17" i="20"/>
  <c r="AB17" i="20"/>
  <c r="AB12" i="20"/>
  <c r="AO212" i="9"/>
  <c r="R187" i="8"/>
  <c r="Q187" i="8"/>
  <c r="P187" i="8"/>
  <c r="O187" i="8"/>
  <c r="N187" i="8"/>
  <c r="M187" i="8"/>
  <c r="L187" i="8"/>
  <c r="K187" i="8"/>
  <c r="J187" i="8"/>
  <c r="I187" i="8"/>
  <c r="H187" i="8"/>
  <c r="G187" i="8"/>
  <c r="F187" i="8"/>
  <c r="E187" i="8"/>
  <c r="D187" i="8"/>
  <c r="C187" i="8"/>
  <c r="BK192" i="8"/>
  <c r="BM190" i="8"/>
  <c r="BL190" i="8"/>
  <c r="BK190" i="8"/>
  <c r="BN188" i="8"/>
  <c r="BM188" i="8"/>
  <c r="BL188" i="8"/>
  <c r="BK188" i="8"/>
  <c r="Z199" i="8"/>
  <c r="AH197" i="8"/>
  <c r="AG197" i="8"/>
  <c r="AF197" i="8"/>
  <c r="AE197" i="8"/>
  <c r="AD197" i="8"/>
  <c r="AC197" i="8"/>
  <c r="AB197" i="8"/>
  <c r="AA197" i="8"/>
  <c r="Z197" i="8"/>
  <c r="C197" i="8"/>
  <c r="AH195" i="8"/>
  <c r="AG195" i="8"/>
  <c r="AG196" i="8" s="1"/>
  <c r="AF195" i="8"/>
  <c r="AF196" i="8" s="1"/>
  <c r="AE195" i="8"/>
  <c r="AD195" i="8"/>
  <c r="AC195" i="8"/>
  <c r="AB195" i="8"/>
  <c r="AA195" i="8"/>
  <c r="Z195" i="8"/>
  <c r="V187" i="8"/>
  <c r="U187" i="8"/>
  <c r="T187" i="8"/>
  <c r="S187" i="8"/>
  <c r="AD31" i="20"/>
  <c r="AC12" i="20"/>
  <c r="AE198" i="8"/>
  <c r="AF198" i="8"/>
  <c r="AE31" i="20"/>
  <c r="AE12" i="20"/>
  <c r="AD12" i="20"/>
  <c r="AM365" i="9"/>
  <c r="AN365" i="9"/>
  <c r="AO365" i="9"/>
  <c r="AM366" i="9"/>
  <c r="AN366" i="9"/>
  <c r="AO366" i="9"/>
  <c r="W8" i="8"/>
  <c r="BE8" i="8"/>
  <c r="BF8" i="8"/>
  <c r="BG8" i="8"/>
  <c r="BH8" i="8"/>
  <c r="I3" i="12" s="1"/>
  <c r="BJ8" i="8"/>
  <c r="J3" i="12" s="1"/>
  <c r="G9" i="8"/>
  <c r="H9" i="8"/>
  <c r="I9" i="8"/>
  <c r="J9" i="8"/>
  <c r="K9" i="8"/>
  <c r="L9" i="8"/>
  <c r="M9" i="8"/>
  <c r="N9" i="8"/>
  <c r="O9" i="8"/>
  <c r="P9" i="8"/>
  <c r="Q9" i="8"/>
  <c r="R9" i="8"/>
  <c r="S9" i="8"/>
  <c r="T9" i="8"/>
  <c r="U9" i="8"/>
  <c r="V9" i="8"/>
  <c r="BE11" i="8"/>
  <c r="BE12" i="8" s="1"/>
  <c r="BF11" i="8"/>
  <c r="BG11" i="8"/>
  <c r="BH11" i="8"/>
  <c r="BH12" i="8" s="1"/>
  <c r="BJ11" i="8"/>
  <c r="U12" i="8"/>
  <c r="V12" i="8"/>
  <c r="U13" i="8"/>
  <c r="V13" i="8"/>
  <c r="BE15" i="8"/>
  <c r="BF15" i="8"/>
  <c r="BG15" i="8"/>
  <c r="BG17" i="8" s="1"/>
  <c r="BH15" i="8"/>
  <c r="BH16" i="8" s="1"/>
  <c r="BJ15" i="8"/>
  <c r="BJ17" i="8" s="1"/>
  <c r="U16" i="8"/>
  <c r="V16" i="8"/>
  <c r="U17" i="8"/>
  <c r="V17" i="8"/>
  <c r="BE19" i="8"/>
  <c r="BF19" i="8"/>
  <c r="BG19" i="8"/>
  <c r="BH19" i="8"/>
  <c r="BJ19" i="8"/>
  <c r="BJ20" i="8" s="1"/>
  <c r="U20" i="8"/>
  <c r="V20" i="8"/>
  <c r="U21" i="8"/>
  <c r="V21" i="8"/>
  <c r="BE24" i="8"/>
  <c r="BE25" i="8" s="1"/>
  <c r="BF24" i="8"/>
  <c r="BF25" i="8" s="1"/>
  <c r="BG24" i="8"/>
  <c r="BH24" i="8"/>
  <c r="BH25" i="8" s="1"/>
  <c r="BJ24" i="8"/>
  <c r="BJ25" i="8" s="1"/>
  <c r="U25" i="8"/>
  <c r="V25" i="8"/>
  <c r="U26" i="8"/>
  <c r="V26" i="8"/>
  <c r="U29" i="8"/>
  <c r="U655" i="8" s="1"/>
  <c r="V29" i="8"/>
  <c r="V31" i="8" s="1"/>
  <c r="BE29" i="8"/>
  <c r="BE655" i="8" s="1"/>
  <c r="BE656" i="8" s="1"/>
  <c r="BF29" i="8"/>
  <c r="BF655" i="8" s="1"/>
  <c r="BG29" i="8"/>
  <c r="BG655" i="8" s="1"/>
  <c r="BH29" i="8"/>
  <c r="BH655" i="8" s="1"/>
  <c r="BN224" i="9"/>
  <c r="BN67" i="9"/>
  <c r="BN41" i="9"/>
  <c r="BN40" i="9"/>
  <c r="BN48" i="9"/>
  <c r="BP578" i="8"/>
  <c r="BP484" i="8"/>
  <c r="BP483" i="8"/>
  <c r="BP430" i="8"/>
  <c r="BP300" i="8"/>
  <c r="BR300" i="8" s="1"/>
  <c r="BS300" i="8" s="1"/>
  <c r="BT300" i="8" s="1"/>
  <c r="BU300" i="8" s="1"/>
  <c r="BP279" i="8"/>
  <c r="BQ280" i="8" s="1"/>
  <c r="BP271" i="8"/>
  <c r="BQ272" i="8" s="1"/>
  <c r="BP267" i="8"/>
  <c r="BQ268" i="8" s="1"/>
  <c r="BP265" i="8"/>
  <c r="BP262" i="8"/>
  <c r="BQ263" i="8" s="1"/>
  <c r="BP259" i="8"/>
  <c r="BQ260" i="8" s="1"/>
  <c r="BP254" i="8"/>
  <c r="BQ255" i="8" s="1"/>
  <c r="BP252" i="8"/>
  <c r="BQ253" i="8" s="1"/>
  <c r="BP248" i="8"/>
  <c r="BQ249" i="8" s="1"/>
  <c r="BP218" i="8"/>
  <c r="BP80" i="8"/>
  <c r="BP703" i="8"/>
  <c r="BP712" i="8" s="1"/>
  <c r="BP695" i="8"/>
  <c r="AO113" i="8"/>
  <c r="AO112" i="8"/>
  <c r="AO97" i="8"/>
  <c r="AO100" i="8"/>
  <c r="AO209" i="9"/>
  <c r="AO36" i="8"/>
  <c r="AO141" i="8"/>
  <c r="AO142" i="8" s="1"/>
  <c r="AO215" i="8"/>
  <c r="AO213" i="8"/>
  <c r="AO212" i="8"/>
  <c r="AO209" i="8"/>
  <c r="AS210" i="8" s="1"/>
  <c r="AO208" i="8"/>
  <c r="BS353" i="9"/>
  <c r="AT43" i="10"/>
  <c r="AS43" i="10"/>
  <c r="AR43" i="10"/>
  <c r="AQ43" i="10"/>
  <c r="AP43" i="10"/>
  <c r="AT42" i="10"/>
  <c r="AS42" i="10"/>
  <c r="AR42" i="10"/>
  <c r="AQ42" i="10"/>
  <c r="AP42" i="10"/>
  <c r="AT41" i="10"/>
  <c r="AS41" i="10"/>
  <c r="AR41" i="10"/>
  <c r="AQ41" i="10"/>
  <c r="AP41" i="10"/>
  <c r="AT40" i="10"/>
  <c r="AS40" i="10"/>
  <c r="AR40" i="10"/>
  <c r="AQ40" i="10"/>
  <c r="AP40" i="10"/>
  <c r="AT39" i="10"/>
  <c r="AS39" i="10"/>
  <c r="AR39" i="10"/>
  <c r="AQ39" i="10"/>
  <c r="AP39" i="10"/>
  <c r="AT37" i="10"/>
  <c r="BN37" i="10" s="1"/>
  <c r="AS37" i="10"/>
  <c r="AR37" i="10"/>
  <c r="AQ37" i="10"/>
  <c r="AP37" i="10"/>
  <c r="BM37" i="10" s="1"/>
  <c r="AT36" i="10"/>
  <c r="BN36" i="10" s="1"/>
  <c r="BO36" i="10" s="1"/>
  <c r="AS36" i="10"/>
  <c r="AR36" i="10"/>
  <c r="AQ36" i="10"/>
  <c r="AP36" i="10"/>
  <c r="BM36" i="10" s="1"/>
  <c r="AT35" i="10"/>
  <c r="BN35" i="10" s="1"/>
  <c r="AS35" i="10"/>
  <c r="AR35" i="10"/>
  <c r="AQ35" i="10"/>
  <c r="AP35" i="10"/>
  <c r="BM35" i="10" s="1"/>
  <c r="AT34" i="10"/>
  <c r="BN34" i="10" s="1"/>
  <c r="AS34" i="10"/>
  <c r="AR34" i="10"/>
  <c r="AQ34" i="10"/>
  <c r="AP34" i="10"/>
  <c r="BM34" i="10" s="1"/>
  <c r="AT33" i="10"/>
  <c r="BN33" i="10" s="1"/>
  <c r="AS33" i="10"/>
  <c r="AR33" i="10"/>
  <c r="AQ33" i="10"/>
  <c r="AP33" i="10"/>
  <c r="BM33" i="10" s="1"/>
  <c r="AO37" i="10"/>
  <c r="AO35" i="10"/>
  <c r="AO34" i="10"/>
  <c r="AO33" i="10"/>
  <c r="AO43" i="10"/>
  <c r="BM43" i="10" s="1"/>
  <c r="AO41" i="10"/>
  <c r="BM41" i="10" s="1"/>
  <c r="AO40" i="10"/>
  <c r="BM40" i="10" s="1"/>
  <c r="AO39" i="10"/>
  <c r="AO42" i="10"/>
  <c r="BM42" i="10" s="1"/>
  <c r="AO36" i="10"/>
  <c r="AT340" i="9"/>
  <c r="BN340" i="9" s="1"/>
  <c r="AS340" i="9"/>
  <c r="AR340" i="9"/>
  <c r="AQ340" i="9"/>
  <c r="AT332" i="9"/>
  <c r="BN332" i="9" s="1"/>
  <c r="AS332" i="9"/>
  <c r="AR332" i="9"/>
  <c r="AQ332" i="9"/>
  <c r="AT205" i="9"/>
  <c r="AS205" i="9"/>
  <c r="AR205" i="9"/>
  <c r="AQ205" i="9"/>
  <c r="AT708" i="8"/>
  <c r="AT709" i="8" s="1"/>
  <c r="AS708" i="8"/>
  <c r="AS709" i="8" s="1"/>
  <c r="AR708" i="8"/>
  <c r="AR709" i="8" s="1"/>
  <c r="AQ708" i="8"/>
  <c r="AQ709" i="8" s="1"/>
  <c r="AT590" i="8"/>
  <c r="AS590" i="8"/>
  <c r="AR590" i="8"/>
  <c r="AQ590" i="8"/>
  <c r="AT522" i="8"/>
  <c r="AS522" i="8"/>
  <c r="AR522" i="8"/>
  <c r="AQ522" i="8"/>
  <c r="AR480" i="8"/>
  <c r="AV480" i="8" s="1"/>
  <c r="BL48" i="9"/>
  <c r="BK48" i="9"/>
  <c r="BM48" i="9"/>
  <c r="AN126" i="16"/>
  <c r="AN121" i="16"/>
  <c r="AN125" i="16"/>
  <c r="AM121" i="16"/>
  <c r="AM104" i="16"/>
  <c r="AO104" i="16"/>
  <c r="BE207" i="8"/>
  <c r="BF207" i="8"/>
  <c r="BE233" i="8"/>
  <c r="BF233" i="8"/>
  <c r="BI158" i="8"/>
  <c r="BI156" i="8"/>
  <c r="BP83" i="8"/>
  <c r="AQ76" i="8"/>
  <c r="P97" i="12"/>
  <c r="P99" i="12" s="1"/>
  <c r="J60" i="12"/>
  <c r="BN121" i="8"/>
  <c r="N51" i="12" s="1"/>
  <c r="BM121" i="8"/>
  <c r="M51" i="12" s="1"/>
  <c r="BL121" i="8"/>
  <c r="L51" i="12" s="1"/>
  <c r="AN77" i="9"/>
  <c r="AN76" i="9"/>
  <c r="AN209" i="9"/>
  <c r="AN101" i="8"/>
  <c r="AO101" i="8" s="1"/>
  <c r="AN100" i="8"/>
  <c r="AN96" i="8"/>
  <c r="AO96" i="8" s="1"/>
  <c r="AP96" i="8" s="1"/>
  <c r="AN481" i="8"/>
  <c r="AN479" i="8"/>
  <c r="AN475" i="8"/>
  <c r="AR475" i="8" s="1"/>
  <c r="AV475" i="8" s="1"/>
  <c r="AN474" i="8"/>
  <c r="AN62" i="8"/>
  <c r="AN36" i="8"/>
  <c r="AN8" i="8" s="1"/>
  <c r="AN3" i="9" s="1"/>
  <c r="AN141" i="8"/>
  <c r="AN142" i="8" s="1"/>
  <c r="AN215" i="8"/>
  <c r="AN213" i="8"/>
  <c r="AN209" i="8"/>
  <c r="AN208" i="8"/>
  <c r="AN218" i="9"/>
  <c r="AN92" i="8"/>
  <c r="V9" i="12"/>
  <c r="R241" i="8"/>
  <c r="Q241" i="8"/>
  <c r="P241" i="8"/>
  <c r="O241" i="8"/>
  <c r="N241" i="8"/>
  <c r="M241" i="8"/>
  <c r="L241" i="8"/>
  <c r="K241" i="8"/>
  <c r="J241" i="8"/>
  <c r="I241" i="8"/>
  <c r="H241" i="8"/>
  <c r="G241" i="8"/>
  <c r="F241" i="8"/>
  <c r="E241" i="8"/>
  <c r="D241" i="8"/>
  <c r="C241" i="8"/>
  <c r="AM479" i="8"/>
  <c r="BN483" i="8"/>
  <c r="BO484" i="8"/>
  <c r="BN484" i="8"/>
  <c r="BM484" i="8"/>
  <c r="BL484" i="8"/>
  <c r="BK484" i="8"/>
  <c r="BH485" i="8"/>
  <c r="BG485" i="8"/>
  <c r="BF485" i="8"/>
  <c r="BE485" i="8"/>
  <c r="BD485" i="8"/>
  <c r="BC485" i="8"/>
  <c r="BA485" i="8"/>
  <c r="AM485" i="8"/>
  <c r="AL485" i="8"/>
  <c r="AK485" i="8"/>
  <c r="AI485" i="8"/>
  <c r="AH485" i="8"/>
  <c r="AG485" i="8"/>
  <c r="AF485" i="8"/>
  <c r="AE485" i="8"/>
  <c r="AD485" i="8"/>
  <c r="AC485" i="8"/>
  <c r="AB485" i="8"/>
  <c r="AA485" i="8"/>
  <c r="Z485" i="8"/>
  <c r="Y485" i="8"/>
  <c r="X485" i="8"/>
  <c r="W485" i="8"/>
  <c r="W487" i="8" s="1"/>
  <c r="AJ485" i="8"/>
  <c r="BO218" i="8"/>
  <c r="BN218" i="8"/>
  <c r="BM218" i="8"/>
  <c r="BL218" i="8"/>
  <c r="BK218" i="8"/>
  <c r="BJ218" i="8"/>
  <c r="AM219" i="8"/>
  <c r="AL219" i="8"/>
  <c r="AK219" i="8"/>
  <c r="AI219" i="8"/>
  <c r="AH219" i="8"/>
  <c r="AG219" i="8"/>
  <c r="AF219" i="8"/>
  <c r="AE219" i="8"/>
  <c r="AD219" i="8"/>
  <c r="AC219" i="8"/>
  <c r="AB219" i="8"/>
  <c r="AA219" i="8"/>
  <c r="Z219" i="8"/>
  <c r="Y219" i="8"/>
  <c r="X219" i="8"/>
  <c r="W219" i="8"/>
  <c r="AJ219" i="8"/>
  <c r="AM218" i="9"/>
  <c r="AM209" i="9"/>
  <c r="AM97" i="8"/>
  <c r="AM113" i="8"/>
  <c r="BO113" i="8" s="1"/>
  <c r="AM112" i="8"/>
  <c r="BO112" i="8" s="1"/>
  <c r="AM77" i="9"/>
  <c r="AM76" i="9"/>
  <c r="AM129" i="9"/>
  <c r="AM108" i="9"/>
  <c r="BJ158" i="8"/>
  <c r="BH158" i="8"/>
  <c r="BG158" i="8"/>
  <c r="BI159" i="8" s="1"/>
  <c r="BF158" i="8"/>
  <c r="BG159" i="8" s="1"/>
  <c r="BE158" i="8"/>
  <c r="AB152" i="8"/>
  <c r="AA152" i="8"/>
  <c r="AA161" i="8" s="1"/>
  <c r="Z152" i="8"/>
  <c r="Z161" i="8" s="1"/>
  <c r="Z163" i="8" s="1"/>
  <c r="Y152" i="8"/>
  <c r="Y161" i="8" s="1"/>
  <c r="Y163" i="8" s="1"/>
  <c r="W152" i="8"/>
  <c r="W161" i="8" s="1"/>
  <c r="W163" i="8" s="1"/>
  <c r="V152" i="8"/>
  <c r="U152" i="8"/>
  <c r="T152" i="8"/>
  <c r="S152" i="8"/>
  <c r="R152" i="8"/>
  <c r="Q152" i="8"/>
  <c r="U154" i="8" s="1"/>
  <c r="P152" i="8"/>
  <c r="O152" i="8"/>
  <c r="N152" i="8"/>
  <c r="M152" i="8"/>
  <c r="L152" i="8"/>
  <c r="K152" i="8"/>
  <c r="J152" i="8"/>
  <c r="I152" i="8"/>
  <c r="H152" i="8"/>
  <c r="G152" i="8"/>
  <c r="F152" i="8"/>
  <c r="E152" i="8"/>
  <c r="D152" i="8"/>
  <c r="C152" i="8"/>
  <c r="X158" i="8"/>
  <c r="BK158" i="8" s="1"/>
  <c r="AA159" i="8"/>
  <c r="Z159" i="8"/>
  <c r="Y159" i="8"/>
  <c r="W159" i="8"/>
  <c r="V159" i="8"/>
  <c r="U159" i="8"/>
  <c r="T159" i="8"/>
  <c r="S159" i="8"/>
  <c r="R159" i="8"/>
  <c r="Q159" i="8"/>
  <c r="P159" i="8"/>
  <c r="O159" i="8"/>
  <c r="N159" i="8"/>
  <c r="M159" i="8"/>
  <c r="L159" i="8"/>
  <c r="K159" i="8"/>
  <c r="J159" i="8"/>
  <c r="I159" i="8"/>
  <c r="H159" i="8"/>
  <c r="G159" i="8"/>
  <c r="AE158" i="8"/>
  <c r="AI158" i="8" s="1"/>
  <c r="AF158" i="8"/>
  <c r="AJ158" i="8" s="1"/>
  <c r="AD158" i="8"/>
  <c r="AH158" i="8" s="1"/>
  <c r="AL158" i="8" s="1"/>
  <c r="AC158" i="8"/>
  <c r="AM106" i="8"/>
  <c r="AM100" i="8"/>
  <c r="AM92" i="8"/>
  <c r="AM36" i="8"/>
  <c r="AQ34" i="8"/>
  <c r="AM481" i="8"/>
  <c r="AM475" i="8"/>
  <c r="AQ476" i="8" s="1"/>
  <c r="AM474" i="8"/>
  <c r="AM209" i="8"/>
  <c r="AQ210" i="8" s="1"/>
  <c r="AM213" i="8"/>
  <c r="AM216" i="8"/>
  <c r="AM215" i="8"/>
  <c r="AL81" i="9"/>
  <c r="AK81" i="9"/>
  <c r="AL77" i="9"/>
  <c r="AK77" i="9"/>
  <c r="AL76" i="9"/>
  <c r="AK76" i="9"/>
  <c r="AL70" i="9"/>
  <c r="AK70" i="9"/>
  <c r="W22" i="20"/>
  <c r="X31" i="20"/>
  <c r="Y31" i="20"/>
  <c r="X19" i="20"/>
  <c r="AY19" i="20"/>
  <c r="AX19" i="20"/>
  <c r="AW19" i="20"/>
  <c r="AV19" i="20"/>
  <c r="AU19" i="20"/>
  <c r="AT19" i="20"/>
  <c r="AA19" i="20"/>
  <c r="Z19" i="20"/>
  <c r="Y19" i="20"/>
  <c r="AS19" i="20"/>
  <c r="AS58" i="20"/>
  <c r="AS61" i="20"/>
  <c r="W29" i="20"/>
  <c r="AL366" i="9"/>
  <c r="AL365" i="9"/>
  <c r="AL340" i="9"/>
  <c r="BL340" i="9" s="1"/>
  <c r="AL332" i="9"/>
  <c r="BL332" i="9" s="1"/>
  <c r="AL303" i="9"/>
  <c r="AL302" i="9"/>
  <c r="AL287" i="9"/>
  <c r="AL288" i="9" s="1"/>
  <c r="AL233" i="9"/>
  <c r="AK233" i="9"/>
  <c r="AK75" i="9" s="1"/>
  <c r="AL113" i="8"/>
  <c r="AL112" i="8"/>
  <c r="AL100" i="8"/>
  <c r="BN100" i="8" s="1"/>
  <c r="AL97" i="8"/>
  <c r="AM98" i="8" s="1"/>
  <c r="AL209" i="9"/>
  <c r="AL19" i="9"/>
  <c r="AL15" i="9"/>
  <c r="AL13" i="9"/>
  <c r="AL8" i="9"/>
  <c r="AL5" i="9"/>
  <c r="AL54" i="9"/>
  <c r="AL164" i="9"/>
  <c r="AL163" i="9"/>
  <c r="AL162" i="9"/>
  <c r="AL161" i="9"/>
  <c r="AL160" i="9"/>
  <c r="AL157" i="9"/>
  <c r="AL156" i="9"/>
  <c r="AL155" i="9"/>
  <c r="AL149" i="9"/>
  <c r="AL139" i="9"/>
  <c r="AL127" i="9"/>
  <c r="BL127" i="9" s="1"/>
  <c r="AL123" i="9"/>
  <c r="AL148" i="9" s="1"/>
  <c r="AL110" i="9"/>
  <c r="AL107" i="9"/>
  <c r="AL103" i="9"/>
  <c r="AL100" i="9"/>
  <c r="AL84" i="8"/>
  <c r="W84" i="8"/>
  <c r="V84" i="8"/>
  <c r="U84" i="8"/>
  <c r="T84" i="8"/>
  <c r="S84" i="8"/>
  <c r="R84" i="8"/>
  <c r="Q84" i="8"/>
  <c r="P84" i="8"/>
  <c r="O84" i="8"/>
  <c r="BE83" i="8"/>
  <c r="BF83" i="8"/>
  <c r="BG83" i="8"/>
  <c r="BH83" i="8"/>
  <c r="BJ83" i="8"/>
  <c r="BK83" i="8"/>
  <c r="BL83" i="8"/>
  <c r="BM83" i="8"/>
  <c r="BN83" i="8"/>
  <c r="AL62" i="8"/>
  <c r="AL40" i="8"/>
  <c r="AL36" i="8"/>
  <c r="BJ179" i="8"/>
  <c r="BH161" i="8"/>
  <c r="BG161" i="8"/>
  <c r="BF161" i="8"/>
  <c r="BE161" i="8"/>
  <c r="AB166" i="8"/>
  <c r="AA166" i="8"/>
  <c r="Z166" i="8"/>
  <c r="Y166" i="8"/>
  <c r="X166" i="8"/>
  <c r="W166" i="8"/>
  <c r="BK165" i="8"/>
  <c r="AF165" i="8"/>
  <c r="AJ165" i="8" s="1"/>
  <c r="AN166" i="8" s="1"/>
  <c r="AE165" i="8"/>
  <c r="AI165" i="8" s="1"/>
  <c r="AD165" i="8"/>
  <c r="AC165" i="8"/>
  <c r="R165" i="8"/>
  <c r="Q165" i="8"/>
  <c r="P165" i="8"/>
  <c r="P147" i="8" s="1"/>
  <c r="P148" i="8" s="1"/>
  <c r="O165" i="8"/>
  <c r="O147" i="8" s="1"/>
  <c r="O148" i="8" s="1"/>
  <c r="AB157" i="8"/>
  <c r="AA157" i="8"/>
  <c r="Z157" i="8"/>
  <c r="Y157" i="8"/>
  <c r="X157" i="8"/>
  <c r="W157" i="8"/>
  <c r="V157" i="8"/>
  <c r="U157" i="8"/>
  <c r="T157" i="8"/>
  <c r="S157" i="8"/>
  <c r="R157" i="8"/>
  <c r="Q157" i="8"/>
  <c r="P157" i="8"/>
  <c r="O157" i="8"/>
  <c r="N157" i="8"/>
  <c r="M157" i="8"/>
  <c r="L157" i="8"/>
  <c r="K157" i="8"/>
  <c r="J157" i="8"/>
  <c r="I157" i="8"/>
  <c r="H157" i="8"/>
  <c r="G157" i="8"/>
  <c r="BK156" i="8"/>
  <c r="BJ156" i="8"/>
  <c r="BH156" i="8"/>
  <c r="BG156" i="8"/>
  <c r="BF156" i="8"/>
  <c r="BE156" i="8"/>
  <c r="AF156" i="8"/>
  <c r="AE156" i="8"/>
  <c r="AD156" i="8"/>
  <c r="AC156" i="8"/>
  <c r="BJ506" i="8"/>
  <c r="Z506" i="8"/>
  <c r="Y506" i="8"/>
  <c r="X506" i="8"/>
  <c r="W506" i="8"/>
  <c r="V506" i="8"/>
  <c r="U506" i="8"/>
  <c r="T506" i="8"/>
  <c r="S506" i="8"/>
  <c r="AL495" i="8"/>
  <c r="AL479" i="8"/>
  <c r="AP479" i="8" s="1"/>
  <c r="AL481" i="8"/>
  <c r="AL475" i="8"/>
  <c r="AP475" i="8" s="1"/>
  <c r="AL474" i="8"/>
  <c r="AL458" i="8"/>
  <c r="AL459" i="8" s="1"/>
  <c r="BC214" i="8"/>
  <c r="Z31" i="20"/>
  <c r="AA31" i="20"/>
  <c r="AS31" i="20"/>
  <c r="AT31" i="20"/>
  <c r="AU31" i="20"/>
  <c r="AV31" i="20"/>
  <c r="AW31" i="20"/>
  <c r="AX31" i="20"/>
  <c r="AY31" i="20"/>
  <c r="U30" i="12"/>
  <c r="T30" i="12"/>
  <c r="S30" i="12"/>
  <c r="R30" i="12"/>
  <c r="Q30" i="12"/>
  <c r="AN64" i="16"/>
  <c r="AN147" i="16"/>
  <c r="V60" i="16"/>
  <c r="AM64" i="16"/>
  <c r="BL402" i="8"/>
  <c r="BK402" i="8" s="1"/>
  <c r="BS70" i="9"/>
  <c r="BR70" i="9"/>
  <c r="BQ70" i="9"/>
  <c r="BP70" i="9"/>
  <c r="BB70" i="9"/>
  <c r="BA70" i="9"/>
  <c r="AY70" i="9"/>
  <c r="AJ70" i="9"/>
  <c r="AI70" i="9"/>
  <c r="AH70" i="9"/>
  <c r="AG70" i="9"/>
  <c r="BK100" i="8"/>
  <c r="BJ100" i="8"/>
  <c r="BK102" i="8" s="1"/>
  <c r="AI106" i="8"/>
  <c r="AE106" i="8"/>
  <c r="AD100" i="8"/>
  <c r="AE100" i="8"/>
  <c r="AG100" i="8"/>
  <c r="AF101" i="8"/>
  <c r="AF100" i="8"/>
  <c r="AH100" i="8"/>
  <c r="AI102" i="8" s="1"/>
  <c r="AJ101" i="8"/>
  <c r="AJ100" i="8"/>
  <c r="AI100" i="8"/>
  <c r="AK100" i="8"/>
  <c r="AY29" i="20"/>
  <c r="AX29" i="20"/>
  <c r="AW29" i="20"/>
  <c r="AY17" i="20"/>
  <c r="AX17" i="20"/>
  <c r="AW17" i="20"/>
  <c r="AK157" i="9"/>
  <c r="R210" i="8"/>
  <c r="Q210" i="8"/>
  <c r="P210" i="8"/>
  <c r="O210" i="8"/>
  <c r="N210" i="8"/>
  <c r="M210" i="8"/>
  <c r="L210" i="8"/>
  <c r="K210" i="8"/>
  <c r="J210" i="8"/>
  <c r="I210" i="8"/>
  <c r="H210" i="8"/>
  <c r="G210" i="8"/>
  <c r="F210" i="8"/>
  <c r="E210" i="8"/>
  <c r="D210" i="8"/>
  <c r="C210" i="8"/>
  <c r="AK366" i="9"/>
  <c r="AK365" i="9"/>
  <c r="AK340" i="9"/>
  <c r="AK332" i="9"/>
  <c r="AK287" i="9"/>
  <c r="AK288" i="9" s="1"/>
  <c r="AK284" i="9"/>
  <c r="AL282" i="9" s="1"/>
  <c r="AK209" i="9"/>
  <c r="AK66" i="9"/>
  <c r="AK54" i="9"/>
  <c r="AK200" i="9"/>
  <c r="AK198" i="9"/>
  <c r="AK192" i="9"/>
  <c r="AK190" i="9"/>
  <c r="AK189" i="9"/>
  <c r="AK164" i="9"/>
  <c r="AK163" i="9"/>
  <c r="AK162" i="9"/>
  <c r="AK161" i="9"/>
  <c r="AK160" i="9"/>
  <c r="AK182" i="9"/>
  <c r="AK156" i="9"/>
  <c r="AK155" i="9"/>
  <c r="AK149" i="9"/>
  <c r="AK127" i="9"/>
  <c r="AK139" i="9"/>
  <c r="AK129" i="9" s="1"/>
  <c r="AK123" i="9"/>
  <c r="AK110" i="9"/>
  <c r="AK108" i="9" s="1"/>
  <c r="AK107" i="9"/>
  <c r="AK103" i="9"/>
  <c r="AK249" i="8"/>
  <c r="AK267" i="8"/>
  <c r="AK260" i="8"/>
  <c r="AK254" i="8"/>
  <c r="AK256" i="8" s="1"/>
  <c r="AK253" i="8"/>
  <c r="AK606" i="8"/>
  <c r="AK607" i="8" s="1"/>
  <c r="AK613" i="8"/>
  <c r="AK617" i="8"/>
  <c r="AK616" i="8"/>
  <c r="AK622" i="8"/>
  <c r="AK624" i="8"/>
  <c r="AK628" i="8"/>
  <c r="AL628" i="8" s="1"/>
  <c r="AM628" i="8" s="1"/>
  <c r="AN628" i="8" s="1"/>
  <c r="AO628" i="8" s="1"/>
  <c r="AP628" i="8" s="1"/>
  <c r="AQ628" i="8" s="1"/>
  <c r="AR628" i="8" s="1"/>
  <c r="AS628" i="8" s="1"/>
  <c r="AT628" i="8" s="1"/>
  <c r="AU628" i="8" s="1"/>
  <c r="AV628" i="8" s="1"/>
  <c r="AW628" i="8" s="1"/>
  <c r="AX628" i="8" s="1"/>
  <c r="AK475" i="8"/>
  <c r="AO475" i="8" s="1"/>
  <c r="AS475" i="8" s="1"/>
  <c r="AW475" i="8" s="1"/>
  <c r="AK479" i="8"/>
  <c r="AO479" i="8" s="1"/>
  <c r="AK481" i="8"/>
  <c r="AK496" i="8"/>
  <c r="AK458" i="8"/>
  <c r="AK459" i="8" s="1"/>
  <c r="AK141" i="8"/>
  <c r="AK142" i="8" s="1"/>
  <c r="AK230" i="8"/>
  <c r="AT12" i="20"/>
  <c r="AW156" i="8"/>
  <c r="AK639" i="8"/>
  <c r="AL637" i="8"/>
  <c r="J176" i="12"/>
  <c r="BO430" i="8"/>
  <c r="C236" i="8"/>
  <c r="D236" i="8"/>
  <c r="E236" i="8"/>
  <c r="F236" i="8"/>
  <c r="G236" i="8"/>
  <c r="H236" i="8"/>
  <c r="I236" i="8"/>
  <c r="J236" i="8"/>
  <c r="K236" i="8"/>
  <c r="L236" i="8"/>
  <c r="M236" i="8"/>
  <c r="N236" i="8"/>
  <c r="O236" i="8"/>
  <c r="P236" i="8"/>
  <c r="Q236" i="8"/>
  <c r="R236" i="8"/>
  <c r="C397" i="8"/>
  <c r="D397" i="8"/>
  <c r="E397" i="8"/>
  <c r="F397" i="8"/>
  <c r="G397" i="8"/>
  <c r="H397" i="8"/>
  <c r="I397" i="8"/>
  <c r="J397" i="8"/>
  <c r="K397" i="8"/>
  <c r="L397" i="8"/>
  <c r="M397" i="8"/>
  <c r="N397" i="8"/>
  <c r="O397" i="8"/>
  <c r="P397" i="8"/>
  <c r="Q397" i="8"/>
  <c r="R397" i="8"/>
  <c r="AJ215" i="8"/>
  <c r="AJ213" i="8"/>
  <c r="AJ208" i="8"/>
  <c r="AJ209" i="8"/>
  <c r="N110" i="12"/>
  <c r="Q110" i="12" s="1"/>
  <c r="Q111" i="12" s="1"/>
  <c r="P109" i="12"/>
  <c r="AJ249" i="8"/>
  <c r="AJ275" i="8"/>
  <c r="AK275" i="8" s="1"/>
  <c r="AJ265" i="8"/>
  <c r="AJ267" i="8" s="1"/>
  <c r="AJ260" i="8"/>
  <c r="AJ254" i="8"/>
  <c r="AJ253" i="8"/>
  <c r="AJ382" i="8"/>
  <c r="AJ427" i="8" s="1"/>
  <c r="AJ379" i="8"/>
  <c r="AJ424" i="8" s="1"/>
  <c r="AJ368" i="8"/>
  <c r="AJ413" i="8" s="1"/>
  <c r="BM224" i="9"/>
  <c r="BM67" i="9"/>
  <c r="BM41" i="9"/>
  <c r="AP96" i="9"/>
  <c r="AO96" i="9"/>
  <c r="AN96" i="9"/>
  <c r="AM96" i="9"/>
  <c r="AK96"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C96" i="9"/>
  <c r="AL96" i="9"/>
  <c r="BO578" i="8"/>
  <c r="BO483" i="8"/>
  <c r="BO300" i="8"/>
  <c r="BO279" i="8"/>
  <c r="BO271" i="8"/>
  <c r="BO267" i="8"/>
  <c r="BO265" i="8"/>
  <c r="BO262" i="8"/>
  <c r="BO259" i="8"/>
  <c r="BO254" i="8"/>
  <c r="BO252" i="8"/>
  <c r="BO248" i="8"/>
  <c r="BO80" i="8"/>
  <c r="BO79" i="8"/>
  <c r="BO703" i="8"/>
  <c r="BO712" i="8" s="1"/>
  <c r="BO695" i="8"/>
  <c r="AJ182" i="9"/>
  <c r="AJ164" i="9"/>
  <c r="AJ163" i="9"/>
  <c r="AJ162" i="9"/>
  <c r="AJ161" i="9"/>
  <c r="AJ160" i="9"/>
  <c r="AJ195" i="9"/>
  <c r="AJ209" i="9"/>
  <c r="AH330" i="9"/>
  <c r="AG330" i="9"/>
  <c r="AF330" i="9"/>
  <c r="AE330" i="9"/>
  <c r="BK330" i="9" s="1"/>
  <c r="BK328" i="9" s="1"/>
  <c r="AD330" i="9"/>
  <c r="BJ330" i="9" s="1"/>
  <c r="BJ328" i="9" s="1"/>
  <c r="AC330" i="9"/>
  <c r="AB330" i="9"/>
  <c r="AA330" i="9"/>
  <c r="AI330" i="9"/>
  <c r="AJ330" i="9" s="1"/>
  <c r="AK330" i="9" s="1"/>
  <c r="AL330" i="9" s="1"/>
  <c r="AJ366" i="9"/>
  <c r="AJ365" i="9"/>
  <c r="AJ233" i="9"/>
  <c r="AJ75" i="9" s="1"/>
  <c r="AJ157" i="9"/>
  <c r="AJ156" i="9"/>
  <c r="AJ155" i="9"/>
  <c r="AJ149" i="9"/>
  <c r="AJ139" i="9"/>
  <c r="AJ129" i="9" s="1"/>
  <c r="AJ127" i="9"/>
  <c r="AJ123" i="9"/>
  <c r="AJ110" i="9"/>
  <c r="AJ107" i="9"/>
  <c r="AJ103" i="9"/>
  <c r="AJ54" i="9"/>
  <c r="AJ606" i="8"/>
  <c r="AJ607" i="8" s="1"/>
  <c r="AJ496" i="8"/>
  <c r="AJ524" i="8"/>
  <c r="AJ523" i="8"/>
  <c r="AJ522" i="8" s="1"/>
  <c r="AJ592" i="8"/>
  <c r="AJ591" i="8"/>
  <c r="AJ96" i="8"/>
  <c r="AK96" i="8" s="1"/>
  <c r="AJ65" i="8"/>
  <c r="AJ61" i="8"/>
  <c r="AJ57" i="8"/>
  <c r="AN58" i="8" s="1"/>
  <c r="AJ44" i="8"/>
  <c r="AJ40" i="8"/>
  <c r="AJ36" i="8"/>
  <c r="AJ617" i="8"/>
  <c r="AN617" i="8" s="1"/>
  <c r="AR617" i="8" s="1"/>
  <c r="AV617" i="8" s="1"/>
  <c r="AJ616" i="8"/>
  <c r="AJ622" i="8"/>
  <c r="AJ624" i="8"/>
  <c r="AJ629" i="8"/>
  <c r="AJ628" i="8"/>
  <c r="AJ627" i="8"/>
  <c r="AJ639" i="8"/>
  <c r="AJ538" i="8"/>
  <c r="AJ539" i="8" s="1"/>
  <c r="AK539" i="8" s="1"/>
  <c r="AL539" i="8" s="1"/>
  <c r="AM539" i="8" s="1"/>
  <c r="AN539" i="8" s="1"/>
  <c r="AO539" i="8" s="1"/>
  <c r="AP539" i="8" s="1"/>
  <c r="AQ539" i="8" s="1"/>
  <c r="AR539" i="8" s="1"/>
  <c r="AS539" i="8" s="1"/>
  <c r="AT539" i="8" s="1"/>
  <c r="AU539" i="8" s="1"/>
  <c r="AV539" i="8" s="1"/>
  <c r="AJ549" i="8"/>
  <c r="AN549" i="8" s="1"/>
  <c r="AR549" i="8" s="1"/>
  <c r="AV549" i="8" s="1"/>
  <c r="AJ548" i="8"/>
  <c r="AJ554" i="8"/>
  <c r="AN554" i="8" s="1"/>
  <c r="AR554" i="8" s="1"/>
  <c r="AV554" i="8" s="1"/>
  <c r="AJ556" i="8"/>
  <c r="AJ560" i="8"/>
  <c r="AK560" i="8" s="1"/>
  <c r="AL560" i="8" s="1"/>
  <c r="AM560" i="8" s="1"/>
  <c r="AN560" i="8" s="1"/>
  <c r="AO560" i="8" s="1"/>
  <c r="AP560" i="8" s="1"/>
  <c r="AQ560" i="8" s="1"/>
  <c r="AR560" i="8" s="1"/>
  <c r="AJ571" i="8"/>
  <c r="AK571" i="8" s="1"/>
  <c r="AJ458" i="8"/>
  <c r="AJ459" i="8" s="1"/>
  <c r="AJ475" i="8"/>
  <c r="AJ474" i="8"/>
  <c r="AJ479" i="8"/>
  <c r="AJ481" i="8"/>
  <c r="AJ230" i="8"/>
  <c r="AJ141" i="8"/>
  <c r="AJ142" i="8" s="1"/>
  <c r="AJ216" i="9"/>
  <c r="AJ292" i="9"/>
  <c r="AK57" i="9"/>
  <c r="AK71" i="9" s="1"/>
  <c r="AJ362" i="9"/>
  <c r="P110" i="12"/>
  <c r="AK307" i="9"/>
  <c r="AK362" i="9"/>
  <c r="AK292" i="9"/>
  <c r="AL292" i="9"/>
  <c r="AL362" i="9"/>
  <c r="AL57" i="9"/>
  <c r="AL71" i="9" s="1"/>
  <c r="AP340" i="9"/>
  <c r="BM340" i="9" s="1"/>
  <c r="AO340" i="9"/>
  <c r="AM340" i="9"/>
  <c r="AP332" i="9"/>
  <c r="AO332" i="9"/>
  <c r="AM332" i="9"/>
  <c r="AP205" i="9"/>
  <c r="AO205" i="9"/>
  <c r="AN205" i="9"/>
  <c r="AM205" i="9"/>
  <c r="AP708" i="8"/>
  <c r="AP709" i="8" s="1"/>
  <c r="AO708" i="8"/>
  <c r="AO709" i="8" s="1"/>
  <c r="AN708" i="8"/>
  <c r="AN709" i="8" s="1"/>
  <c r="AM708" i="8"/>
  <c r="AM709" i="8" s="1"/>
  <c r="AM623" i="8"/>
  <c r="AP590" i="8"/>
  <c r="AO590" i="8"/>
  <c r="AN590" i="8"/>
  <c r="AM590" i="8"/>
  <c r="AM555" i="8"/>
  <c r="AQ555" i="8" s="1"/>
  <c r="AU555" i="8" s="1"/>
  <c r="AP522" i="8"/>
  <c r="AO522" i="8"/>
  <c r="AN522" i="8"/>
  <c r="AM522" i="8"/>
  <c r="AI368" i="8"/>
  <c r="AI413" i="8" s="1"/>
  <c r="BN248" i="8"/>
  <c r="BO249" i="8" s="1"/>
  <c r="AI395" i="8"/>
  <c r="AI440" i="8" s="1"/>
  <c r="AI442" i="8" s="1"/>
  <c r="AI382" i="8"/>
  <c r="AI379" i="8"/>
  <c r="AI424" i="8" s="1"/>
  <c r="U368" i="8"/>
  <c r="T368" i="8"/>
  <c r="S368" i="8"/>
  <c r="S386" i="8" s="1"/>
  <c r="R368" i="8"/>
  <c r="R396" i="8" s="1"/>
  <c r="Q368" i="8"/>
  <c r="Q386" i="8" s="1"/>
  <c r="P368" i="8"/>
  <c r="P396" i="8" s="1"/>
  <c r="O368" i="8"/>
  <c r="O386" i="8" s="1"/>
  <c r="N368" i="8"/>
  <c r="N386" i="8" s="1"/>
  <c r="M368" i="8"/>
  <c r="M386" i="8" s="1"/>
  <c r="L368" i="8"/>
  <c r="K368" i="8"/>
  <c r="K386" i="8" s="1"/>
  <c r="J368" i="8"/>
  <c r="J384" i="8" s="1"/>
  <c r="I368" i="8"/>
  <c r="H368" i="8"/>
  <c r="H386" i="8" s="1"/>
  <c r="G368" i="8"/>
  <c r="G384" i="8" s="1"/>
  <c r="F368" i="8"/>
  <c r="F396" i="8" s="1"/>
  <c r="E368" i="8"/>
  <c r="E396" i="8" s="1"/>
  <c r="D368" i="8"/>
  <c r="D396" i="8" s="1"/>
  <c r="C368" i="8"/>
  <c r="C396" i="8" s="1"/>
  <c r="V368" i="8"/>
  <c r="AI249" i="8"/>
  <c r="AG249" i="8"/>
  <c r="AF249" i="8"/>
  <c r="AC249" i="8"/>
  <c r="AB249" i="8"/>
  <c r="AA249" i="8"/>
  <c r="Z262" i="8"/>
  <c r="Z382" i="8" s="1"/>
  <c r="Z427" i="8" s="1"/>
  <c r="Z428" i="8" s="1"/>
  <c r="Z259" i="8"/>
  <c r="Z379" i="8" s="1"/>
  <c r="Z252" i="8"/>
  <c r="Z248" i="8"/>
  <c r="Z368" i="8" s="1"/>
  <c r="AD262" i="8"/>
  <c r="BL262" i="8" s="1"/>
  <c r="AD259" i="8"/>
  <c r="AD379" i="8" s="1"/>
  <c r="AD424" i="8" s="1"/>
  <c r="AD252" i="8"/>
  <c r="BL252" i="8" s="1"/>
  <c r="AD248" i="8"/>
  <c r="AD368" i="8" s="1"/>
  <c r="AB275" i="8"/>
  <c r="AB395" i="8" s="1"/>
  <c r="X275" i="8"/>
  <c r="Y275" i="8" s="1"/>
  <c r="X265" i="8"/>
  <c r="AB265" i="8"/>
  <c r="AB385" i="8" s="1"/>
  <c r="W265" i="8"/>
  <c r="W267" i="8" s="1"/>
  <c r="Y265" i="8"/>
  <c r="Y385" i="8" s="1"/>
  <c r="AC265" i="8"/>
  <c r="AC385" i="8" s="1"/>
  <c r="AA265" i="8"/>
  <c r="AA267" i="8" s="1"/>
  <c r="AI265" i="8"/>
  <c r="AI385" i="8" s="1"/>
  <c r="AC382" i="8"/>
  <c r="AB382" i="8"/>
  <c r="AA382" i="8"/>
  <c r="AA427" i="8" s="1"/>
  <c r="Y382" i="8"/>
  <c r="X382" i="8"/>
  <c r="W382" i="8"/>
  <c r="W427" i="8" s="1"/>
  <c r="W428" i="8" s="1"/>
  <c r="AC379" i="8"/>
  <c r="AC424" i="8" s="1"/>
  <c r="AB379" i="8"/>
  <c r="AB424" i="8" s="1"/>
  <c r="AA379" i="8"/>
  <c r="Y379" i="8"/>
  <c r="Y381" i="8" s="1"/>
  <c r="X379" i="8"/>
  <c r="X424" i="8" s="1"/>
  <c r="X425" i="8" s="1"/>
  <c r="W379" i="8"/>
  <c r="W424" i="8" s="1"/>
  <c r="W425" i="8" s="1"/>
  <c r="AA395" i="8"/>
  <c r="AA440" i="8" s="1"/>
  <c r="W395" i="8"/>
  <c r="W397" i="8" s="1"/>
  <c r="AE395" i="8"/>
  <c r="AE440" i="8" s="1"/>
  <c r="AE442" i="8" s="1"/>
  <c r="AC368" i="8"/>
  <c r="AC413" i="8" s="1"/>
  <c r="AB368" i="8"/>
  <c r="AB367" i="8" s="1"/>
  <c r="AA368" i="8"/>
  <c r="AA367" i="8" s="1"/>
  <c r="Y368" i="8"/>
  <c r="Y367" i="8" s="1"/>
  <c r="X368" i="8"/>
  <c r="X369" i="8" s="1"/>
  <c r="W368" i="8"/>
  <c r="W367" i="8" s="1"/>
  <c r="AG382" i="8"/>
  <c r="AG427" i="8" s="1"/>
  <c r="AF382" i="8"/>
  <c r="AE382" i="8"/>
  <c r="AE427" i="8" s="1"/>
  <c r="AG379" i="8"/>
  <c r="AF379" i="8"/>
  <c r="AE379" i="8"/>
  <c r="AG368" i="8"/>
  <c r="AG369" i="8" s="1"/>
  <c r="AF368" i="8"/>
  <c r="AF369" i="8" s="1"/>
  <c r="AE368" i="8"/>
  <c r="AE413" i="8" s="1"/>
  <c r="AB264" i="8"/>
  <c r="AA264" i="8"/>
  <c r="Y264" i="8"/>
  <c r="W264" i="8"/>
  <c r="AG263" i="8"/>
  <c r="AF263" i="8"/>
  <c r="AE263" i="8"/>
  <c r="AC263" i="8"/>
  <c r="AB263" i="8"/>
  <c r="AA263" i="8"/>
  <c r="W263" i="8"/>
  <c r="AB261" i="8"/>
  <c r="AA261" i="8"/>
  <c r="Y261" i="8"/>
  <c r="W261" i="8"/>
  <c r="AG260" i="8"/>
  <c r="AF260" i="8"/>
  <c r="AE260" i="8"/>
  <c r="AC260" i="8"/>
  <c r="AB260" i="8"/>
  <c r="AA260" i="8"/>
  <c r="AH262" i="8"/>
  <c r="BM262" i="8" s="1"/>
  <c r="AH259" i="8"/>
  <c r="AH379" i="8" s="1"/>
  <c r="AH252" i="8"/>
  <c r="AH248" i="8"/>
  <c r="AH368" i="8" s="1"/>
  <c r="AG265" i="8"/>
  <c r="AF275" i="8"/>
  <c r="AG275" i="8" s="1"/>
  <c r="AE265" i="8"/>
  <c r="AF265" i="8"/>
  <c r="AE249" i="8"/>
  <c r="AE254" i="8"/>
  <c r="Y260" i="8"/>
  <c r="X260" i="8"/>
  <c r="AI427" i="8"/>
  <c r="AM427" i="8" s="1"/>
  <c r="AM382" i="8"/>
  <c r="X427" i="8"/>
  <c r="X428" i="8" s="1"/>
  <c r="H381" i="8"/>
  <c r="H396" i="8"/>
  <c r="Y424" i="8"/>
  <c r="K384" i="8"/>
  <c r="K381" i="8"/>
  <c r="AB413" i="8"/>
  <c r="AB412" i="8" s="1"/>
  <c r="AC369" i="8"/>
  <c r="AC275" i="8"/>
  <c r="AH382" i="8"/>
  <c r="W260" i="8"/>
  <c r="X263" i="8"/>
  <c r="Y263" i="8"/>
  <c r="BK67" i="9"/>
  <c r="BJ67" i="9"/>
  <c r="BI67" i="9"/>
  <c r="J122" i="12"/>
  <c r="J123" i="12" s="1"/>
  <c r="J115" i="12"/>
  <c r="J107" i="12"/>
  <c r="J113" i="12"/>
  <c r="AT2" i="20"/>
  <c r="AU2" i="20"/>
  <c r="AV2" i="20"/>
  <c r="AW2" i="20"/>
  <c r="AX2" i="20"/>
  <c r="AY2" i="20"/>
  <c r="AS2" i="20"/>
  <c r="AR58" i="20"/>
  <c r="AV29" i="20"/>
  <c r="AU29" i="20"/>
  <c r="AT29" i="20"/>
  <c r="AR29" i="20"/>
  <c r="AR31" i="20"/>
  <c r="AR22" i="20"/>
  <c r="AR24" i="20"/>
  <c r="AV17" i="20"/>
  <c r="AU17" i="20"/>
  <c r="AT17" i="20"/>
  <c r="AR17" i="20"/>
  <c r="AR19" i="20"/>
  <c r="C53" i="20"/>
  <c r="C13" i="20"/>
  <c r="C35" i="20"/>
  <c r="V22" i="20"/>
  <c r="U22" i="20"/>
  <c r="T22" i="20"/>
  <c r="S22" i="20"/>
  <c r="S24" i="20"/>
  <c r="R22" i="20"/>
  <c r="R24" i="20"/>
  <c r="Q22" i="20"/>
  <c r="Q24" i="20"/>
  <c r="P22" i="20"/>
  <c r="P24" i="20"/>
  <c r="O22" i="20"/>
  <c r="O24" i="20"/>
  <c r="N22" i="20"/>
  <c r="N24" i="20"/>
  <c r="M22" i="20"/>
  <c r="M24" i="20"/>
  <c r="L22" i="20"/>
  <c r="L24" i="20"/>
  <c r="K22" i="20"/>
  <c r="K24" i="20"/>
  <c r="J22" i="20"/>
  <c r="J24" i="20"/>
  <c r="I22" i="20"/>
  <c r="I24" i="20"/>
  <c r="H22" i="20"/>
  <c r="H24" i="20"/>
  <c r="G22" i="20"/>
  <c r="G24" i="20"/>
  <c r="F22" i="20"/>
  <c r="F24" i="20"/>
  <c r="E22" i="20"/>
  <c r="E24" i="20"/>
  <c r="AA17" i="20"/>
  <c r="Z17" i="20"/>
  <c r="Y17" i="20"/>
  <c r="X17" i="20"/>
  <c r="W17" i="20"/>
  <c r="V17" i="20"/>
  <c r="U17" i="20"/>
  <c r="T17" i="20"/>
  <c r="S17" i="20"/>
  <c r="S19" i="20"/>
  <c r="S12" i="20" s="1"/>
  <c r="R17" i="20"/>
  <c r="R19" i="20"/>
  <c r="Q17" i="20"/>
  <c r="Q19" i="20"/>
  <c r="P17" i="20"/>
  <c r="P19" i="20"/>
  <c r="AQ19" i="20" s="1"/>
  <c r="O17" i="20"/>
  <c r="O19" i="20"/>
  <c r="N17" i="20"/>
  <c r="N19" i="20"/>
  <c r="M17" i="20"/>
  <c r="M19" i="20"/>
  <c r="L17" i="20"/>
  <c r="L19" i="20"/>
  <c r="K17" i="20"/>
  <c r="K19" i="20"/>
  <c r="J17" i="20"/>
  <c r="J19" i="20"/>
  <c r="I17" i="20"/>
  <c r="I19" i="20"/>
  <c r="H17" i="20"/>
  <c r="H19" i="20"/>
  <c r="G17" i="20"/>
  <c r="G19" i="20"/>
  <c r="F17" i="20"/>
  <c r="F19" i="20"/>
  <c r="E17" i="20"/>
  <c r="E19" i="20"/>
  <c r="V58" i="20"/>
  <c r="U58" i="20"/>
  <c r="T58" i="20"/>
  <c r="S58" i="20"/>
  <c r="R58" i="20"/>
  <c r="Q58" i="20"/>
  <c r="P58" i="20"/>
  <c r="O58" i="20"/>
  <c r="N58" i="20"/>
  <c r="M58" i="20"/>
  <c r="L58" i="20"/>
  <c r="K58" i="20"/>
  <c r="J58" i="20"/>
  <c r="I58" i="20"/>
  <c r="H58" i="20"/>
  <c r="G58" i="20"/>
  <c r="F58" i="20"/>
  <c r="E58" i="20"/>
  <c r="D58" i="20"/>
  <c r="D19" i="10"/>
  <c r="E19" i="10" s="1"/>
  <c r="F19" i="10" s="1"/>
  <c r="G19" i="10" s="1"/>
  <c r="AA29" i="20"/>
  <c r="Z29" i="20"/>
  <c r="Y29" i="20"/>
  <c r="X29" i="20"/>
  <c r="D22" i="20"/>
  <c r="B73" i="20"/>
  <c r="B72" i="20"/>
  <c r="B71" i="20"/>
  <c r="B70" i="20"/>
  <c r="B69" i="20"/>
  <c r="B68" i="20"/>
  <c r="AS17" i="20"/>
  <c r="AS29" i="20"/>
  <c r="AS12" i="20"/>
  <c r="AL382" i="8"/>
  <c r="AP382" i="8" s="1"/>
  <c r="AT382" i="8" s="1"/>
  <c r="AX382" i="8" s="1"/>
  <c r="BL67" i="9"/>
  <c r="AR12" i="20"/>
  <c r="AQ24" i="20"/>
  <c r="AQ22" i="20"/>
  <c r="AN22" i="20"/>
  <c r="AP22" i="20"/>
  <c r="AO24" i="20"/>
  <c r="D24" i="20"/>
  <c r="AN24" i="20" s="1"/>
  <c r="AP24" i="20"/>
  <c r="AO22" i="20"/>
  <c r="AK215" i="8"/>
  <c r="AL215" i="8"/>
  <c r="AM76" i="8"/>
  <c r="AM15" i="9"/>
  <c r="BN262" i="8"/>
  <c r="E1" i="13"/>
  <c r="F1" i="13"/>
  <c r="G1" i="13"/>
  <c r="H1" i="13"/>
  <c r="I1" i="13"/>
  <c r="BS287" i="9"/>
  <c r="BS288" i="9" s="1"/>
  <c r="BR287" i="9"/>
  <c r="BR288" i="9" s="1"/>
  <c r="BQ287" i="9"/>
  <c r="BQ288" i="9" s="1"/>
  <c r="BS54" i="9"/>
  <c r="BR54" i="9"/>
  <c r="BQ54" i="9"/>
  <c r="BU685" i="8"/>
  <c r="BT685" i="8"/>
  <c r="BS685" i="8"/>
  <c r="BR685" i="8"/>
  <c r="BU695" i="8"/>
  <c r="BT695" i="8"/>
  <c r="BS695" i="8"/>
  <c r="BR695" i="8"/>
  <c r="BU693" i="8"/>
  <c r="BT693" i="8"/>
  <c r="BS693" i="8"/>
  <c r="BR693" i="8"/>
  <c r="BU691" i="8"/>
  <c r="BT691" i="8"/>
  <c r="BS691" i="8"/>
  <c r="BR691" i="8"/>
  <c r="U35" i="12"/>
  <c r="T35" i="12"/>
  <c r="S35" i="12"/>
  <c r="R35" i="12"/>
  <c r="BU713" i="8"/>
  <c r="BT713" i="8"/>
  <c r="BS713" i="8"/>
  <c r="BU703" i="8"/>
  <c r="BU712" i="8" s="1"/>
  <c r="BT703" i="8"/>
  <c r="BT712" i="8" s="1"/>
  <c r="BS703" i="8"/>
  <c r="BS712" i="8" s="1"/>
  <c r="BU590" i="8"/>
  <c r="BT590" i="8"/>
  <c r="BS590" i="8"/>
  <c r="BU522" i="8"/>
  <c r="BT522" i="8"/>
  <c r="BS522" i="8"/>
  <c r="BU335" i="8"/>
  <c r="BT335" i="8"/>
  <c r="BS335" i="8"/>
  <c r="BS12" i="10"/>
  <c r="BR12" i="10"/>
  <c r="BQ12" i="10"/>
  <c r="BP12" i="10"/>
  <c r="BO12" i="10"/>
  <c r="BN12" i="10"/>
  <c r="BM12" i="10"/>
  <c r="BL12" i="10"/>
  <c r="BS11" i="10"/>
  <c r="BR11" i="10"/>
  <c r="BQ11" i="10"/>
  <c r="BP11" i="10"/>
  <c r="BO11" i="10"/>
  <c r="BN11" i="10"/>
  <c r="BM11" i="10"/>
  <c r="BL11" i="10"/>
  <c r="BS10" i="10"/>
  <c r="BR10" i="10"/>
  <c r="BQ10" i="10"/>
  <c r="BP10" i="10"/>
  <c r="BO10" i="10"/>
  <c r="BN10" i="10"/>
  <c r="BM10" i="10"/>
  <c r="BL10" i="10"/>
  <c r="BS9" i="10"/>
  <c r="BR9" i="10"/>
  <c r="BQ9" i="10"/>
  <c r="BP9" i="10"/>
  <c r="BO9" i="10"/>
  <c r="BN9" i="10"/>
  <c r="BM9" i="10"/>
  <c r="BL9" i="10"/>
  <c r="BS8" i="10"/>
  <c r="BU2" i="8" s="1"/>
  <c r="BR8" i="10"/>
  <c r="BT2" i="8" s="1"/>
  <c r="BT166" i="8" s="1"/>
  <c r="BQ8" i="10"/>
  <c r="BP8" i="10"/>
  <c r="I19" i="11" s="1"/>
  <c r="I15" i="11" s="1"/>
  <c r="D5" i="11" s="1"/>
  <c r="C29" i="11" s="1"/>
  <c r="BO8" i="10"/>
  <c r="BN8" i="10"/>
  <c r="BP2" i="8" s="1"/>
  <c r="BM8" i="10"/>
  <c r="AS4" i="20" s="1"/>
  <c r="BL8" i="10"/>
  <c r="BN2" i="8" s="1"/>
  <c r="BS7" i="10"/>
  <c r="BR7" i="10"/>
  <c r="BQ7" i="10"/>
  <c r="BP7" i="10"/>
  <c r="BO7" i="10"/>
  <c r="BN7" i="10"/>
  <c r="BM7" i="10"/>
  <c r="BL7" i="10"/>
  <c r="BS5" i="10"/>
  <c r="BS6" i="10" s="1"/>
  <c r="BR5" i="10"/>
  <c r="BR6" i="10" s="1"/>
  <c r="BR309" i="9" s="1"/>
  <c r="BQ5" i="10"/>
  <c r="AW3" i="20" s="1"/>
  <c r="AW55" i="20" s="1"/>
  <c r="AW52" i="20" s="1"/>
  <c r="BP5" i="10"/>
  <c r="BO5" i="10"/>
  <c r="BO6" i="10" s="1"/>
  <c r="BN5" i="10"/>
  <c r="BM5" i="10"/>
  <c r="BL5" i="10"/>
  <c r="BL6" i="10" s="1"/>
  <c r="BL309" i="9" s="1"/>
  <c r="BS4" i="10"/>
  <c r="BR4" i="10"/>
  <c r="BQ4" i="10"/>
  <c r="BP4" i="10"/>
  <c r="BO4" i="10"/>
  <c r="BN4" i="10"/>
  <c r="BM4" i="10"/>
  <c r="BL4" i="10"/>
  <c r="BS3" i="10"/>
  <c r="BR3" i="10"/>
  <c r="BQ3" i="10"/>
  <c r="BP3" i="10"/>
  <c r="BO3" i="10"/>
  <c r="BN3" i="10"/>
  <c r="BM3" i="10"/>
  <c r="BL3" i="10"/>
  <c r="AT12" i="10"/>
  <c r="AS12" i="10"/>
  <c r="AR12" i="10"/>
  <c r="AQ12" i="10"/>
  <c r="AP12" i="10"/>
  <c r="AO12" i="10"/>
  <c r="AN12" i="10"/>
  <c r="AM12" i="10"/>
  <c r="AL12" i="10"/>
  <c r="AK12" i="10"/>
  <c r="AJ12" i="10"/>
  <c r="AT11" i="10"/>
  <c r="AS11" i="10"/>
  <c r="AR11" i="10"/>
  <c r="AQ11" i="10"/>
  <c r="AP11" i="10"/>
  <c r="AO11" i="10"/>
  <c r="AN11" i="10"/>
  <c r="AM11" i="10"/>
  <c r="AL11" i="10"/>
  <c r="AK11" i="10"/>
  <c r="AJ11" i="10"/>
  <c r="AT10" i="10"/>
  <c r="AS10" i="10"/>
  <c r="AR10" i="10"/>
  <c r="AQ10" i="10"/>
  <c r="AP10" i="10"/>
  <c r="AO10" i="10"/>
  <c r="AN10" i="10"/>
  <c r="AM10" i="10"/>
  <c r="AL10" i="10"/>
  <c r="AK10" i="10"/>
  <c r="AJ10" i="10"/>
  <c r="AT9" i="10"/>
  <c r="AS9" i="10"/>
  <c r="AR9" i="10"/>
  <c r="AQ9" i="10"/>
  <c r="AP9" i="10"/>
  <c r="AO9" i="10"/>
  <c r="AN9" i="10"/>
  <c r="AM9" i="10"/>
  <c r="AL9" i="10"/>
  <c r="AK9" i="10"/>
  <c r="AJ9" i="10"/>
  <c r="AT8" i="10"/>
  <c r="AT2" i="8" s="1"/>
  <c r="AS8" i="10"/>
  <c r="AS2" i="8" s="1"/>
  <c r="AR8" i="10"/>
  <c r="AR2" i="8" s="1"/>
  <c r="AQ8" i="10"/>
  <c r="AQ2" i="8" s="1"/>
  <c r="AP8" i="10"/>
  <c r="AP2" i="8" s="1"/>
  <c r="AO8" i="10"/>
  <c r="AO2" i="8" s="1"/>
  <c r="AN8" i="10"/>
  <c r="AN2" i="8" s="1"/>
  <c r="AM8" i="10"/>
  <c r="AM2" i="8" s="1"/>
  <c r="AL8" i="10"/>
  <c r="AL2" i="8" s="1"/>
  <c r="AK8" i="10"/>
  <c r="AK2" i="8" s="1"/>
  <c r="AJ8" i="10"/>
  <c r="AJ2" i="8" s="1"/>
  <c r="AT7" i="10"/>
  <c r="AS7" i="10"/>
  <c r="AR7" i="10"/>
  <c r="AQ7" i="10"/>
  <c r="AP7" i="10"/>
  <c r="AO7" i="10"/>
  <c r="AN7" i="10"/>
  <c r="AM7" i="10"/>
  <c r="AL7" i="10"/>
  <c r="AK7" i="10"/>
  <c r="AJ7" i="10"/>
  <c r="AT6" i="10"/>
  <c r="AT309" i="9" s="1"/>
  <c r="AS6" i="10"/>
  <c r="AS294" i="9" s="1"/>
  <c r="AR6" i="10"/>
  <c r="AQ6" i="10"/>
  <c r="AQ294" i="9" s="1"/>
  <c r="AQ295" i="9" s="1"/>
  <c r="AP6" i="10"/>
  <c r="AP294" i="9" s="1"/>
  <c r="AO6" i="10"/>
  <c r="AO294" i="9" s="1"/>
  <c r="AN6" i="10"/>
  <c r="AM6" i="10"/>
  <c r="AM294" i="9" s="1"/>
  <c r="AL6" i="10"/>
  <c r="AL318" i="9" s="1"/>
  <c r="AK6" i="10"/>
  <c r="AK309" i="9" s="1"/>
  <c r="AJ6" i="10"/>
  <c r="AJ294" i="9" s="1"/>
  <c r="AT5" i="10"/>
  <c r="AE3" i="20" s="1"/>
  <c r="AE55" i="20" s="1"/>
  <c r="AE52" i="20" s="1"/>
  <c r="AS5" i="10"/>
  <c r="AD3" i="20" s="1"/>
  <c r="AD55" i="20" s="1"/>
  <c r="AD52" i="20" s="1"/>
  <c r="AR5" i="10"/>
  <c r="AC3" i="20" s="1"/>
  <c r="AC55" i="20" s="1"/>
  <c r="AC52" i="20" s="1"/>
  <c r="AQ5" i="10"/>
  <c r="AB3" i="20" s="1"/>
  <c r="AB55" i="20" s="1"/>
  <c r="AB52" i="20" s="1"/>
  <c r="AP5" i="10"/>
  <c r="AA3" i="20" s="1"/>
  <c r="AA55" i="20" s="1"/>
  <c r="AA52" i="20" s="1"/>
  <c r="AO5" i="10"/>
  <c r="Z3" i="20" s="1"/>
  <c r="Z55" i="20" s="1"/>
  <c r="Z52" i="20" s="1"/>
  <c r="AN5" i="10"/>
  <c r="Y3" i="20" s="1"/>
  <c r="Y55" i="20" s="1"/>
  <c r="Y52" i="20" s="1"/>
  <c r="AM5" i="10"/>
  <c r="X3" i="20" s="1"/>
  <c r="X55" i="20" s="1"/>
  <c r="AL5" i="10"/>
  <c r="W3" i="20" s="1"/>
  <c r="W55" i="20" s="1"/>
  <c r="W52" i="20" s="1"/>
  <c r="AK5" i="10"/>
  <c r="V3" i="20" s="1"/>
  <c r="AJ5" i="10"/>
  <c r="U3" i="20" s="1"/>
  <c r="AT4" i="10"/>
  <c r="AS4" i="10"/>
  <c r="AS353" i="9" s="1"/>
  <c r="AR4" i="10"/>
  <c r="AR353" i="9" s="1"/>
  <c r="AQ4" i="10"/>
  <c r="AP4" i="10"/>
  <c r="AO4" i="10"/>
  <c r="AO353" i="9" s="1"/>
  <c r="AP353" i="9" s="1"/>
  <c r="AN4" i="10"/>
  <c r="AN353" i="9" s="1"/>
  <c r="AM4" i="10"/>
  <c r="AL4" i="10"/>
  <c r="AL353" i="9" s="1"/>
  <c r="AK4" i="10"/>
  <c r="AK181" i="9" s="1"/>
  <c r="AL181" i="9" s="1"/>
  <c r="AJ4" i="10"/>
  <c r="U24" i="20" s="1"/>
  <c r="AT3" i="10"/>
  <c r="AT197" i="8" s="1"/>
  <c r="AS3" i="10"/>
  <c r="AR3" i="10"/>
  <c r="AQ3" i="10"/>
  <c r="AP3" i="10"/>
  <c r="AO3" i="10"/>
  <c r="AN3" i="10"/>
  <c r="AM3" i="10"/>
  <c r="AL3" i="10"/>
  <c r="AK3" i="10"/>
  <c r="AJ3" i="10"/>
  <c r="AI12" i="10"/>
  <c r="AI11" i="10"/>
  <c r="AI10" i="10"/>
  <c r="AI9" i="10"/>
  <c r="AI8" i="10"/>
  <c r="AI2" i="8" s="1"/>
  <c r="AI7" i="10"/>
  <c r="AI6" i="10"/>
  <c r="AI309" i="9" s="1"/>
  <c r="AI5" i="10"/>
  <c r="T3" i="20" s="1"/>
  <c r="AI4" i="10"/>
  <c r="AI3" i="10"/>
  <c r="AW12" i="20"/>
  <c r="AX12" i="20"/>
  <c r="AY12" i="20"/>
  <c r="Z12" i="20"/>
  <c r="AA12" i="20"/>
  <c r="AU12" i="20"/>
  <c r="Y12" i="20"/>
  <c r="AV12" i="20"/>
  <c r="X12" i="20"/>
  <c r="AI61" i="8"/>
  <c r="AI57" i="8"/>
  <c r="AM58" i="8" s="1"/>
  <c r="AI362" i="9"/>
  <c r="AI366" i="9"/>
  <c r="AI365" i="9"/>
  <c r="AI332" i="9"/>
  <c r="AI292" i="9"/>
  <c r="AI287" i="9"/>
  <c r="AI288" i="9" s="1"/>
  <c r="AI280" i="9"/>
  <c r="AI195" i="9"/>
  <c r="AI19" i="9"/>
  <c r="AI15" i="9"/>
  <c r="AI13" i="9"/>
  <c r="AI81" i="9"/>
  <c r="AI77" i="9"/>
  <c r="AI76" i="9"/>
  <c r="AI66" i="9"/>
  <c r="AI57" i="9"/>
  <c r="AI71" i="9" s="1"/>
  <c r="AI54" i="9"/>
  <c r="AI233" i="9"/>
  <c r="AI75" i="9" s="1"/>
  <c r="AI218" i="9"/>
  <c r="AI209" i="9"/>
  <c r="AI164" i="9"/>
  <c r="AI163" i="9"/>
  <c r="AI162" i="9"/>
  <c r="AI161" i="9"/>
  <c r="AI160" i="9"/>
  <c r="AI157" i="9"/>
  <c r="AI156" i="9"/>
  <c r="AI155" i="9"/>
  <c r="AI149" i="9"/>
  <c r="AI139" i="9"/>
  <c r="AI129" i="9" s="1"/>
  <c r="AI127" i="9"/>
  <c r="AI123" i="9"/>
  <c r="AI148" i="9" s="1"/>
  <c r="AI110" i="9"/>
  <c r="AI107" i="9"/>
  <c r="AI103" i="9"/>
  <c r="AI92" i="8"/>
  <c r="AI63" i="9" s="1"/>
  <c r="AI708" i="8"/>
  <c r="AI709" i="8" s="1"/>
  <c r="AI639" i="8"/>
  <c r="AI592" i="8"/>
  <c r="AI591" i="8"/>
  <c r="AI606" i="8"/>
  <c r="AI607" i="8" s="1"/>
  <c r="AI617" i="8"/>
  <c r="AM617" i="8" s="1"/>
  <c r="AQ617" i="8" s="1"/>
  <c r="AU617" i="8" s="1"/>
  <c r="AI616" i="8"/>
  <c r="AI622" i="8"/>
  <c r="AI624" i="8"/>
  <c r="AI628" i="8"/>
  <c r="AI538" i="8"/>
  <c r="AI539" i="8" s="1"/>
  <c r="AI549" i="8"/>
  <c r="AM549" i="8" s="1"/>
  <c r="AQ549" i="8" s="1"/>
  <c r="AU549" i="8" s="1"/>
  <c r="AI548" i="8"/>
  <c r="AI556" i="8"/>
  <c r="AI560" i="8"/>
  <c r="AI554" i="8"/>
  <c r="AM554" i="8" s="1"/>
  <c r="AQ554" i="8" s="1"/>
  <c r="AU554" i="8" s="1"/>
  <c r="AI553" i="8"/>
  <c r="AI571" i="8"/>
  <c r="AI570" i="8"/>
  <c r="AI458" i="8"/>
  <c r="AI475" i="8"/>
  <c r="AI479" i="8"/>
  <c r="AI481" i="8"/>
  <c r="AI496" i="8"/>
  <c r="AI141" i="8"/>
  <c r="AI209" i="8"/>
  <c r="AI215" i="8"/>
  <c r="AI213" i="8"/>
  <c r="AI230" i="8"/>
  <c r="AH81" i="9"/>
  <c r="AH77" i="9"/>
  <c r="AH76" i="9"/>
  <c r="AH66" i="9"/>
  <c r="AH54" i="9"/>
  <c r="AH366" i="9"/>
  <c r="AH365" i="9"/>
  <c r="AH332" i="9"/>
  <c r="AH303" i="9"/>
  <c r="AH302" i="9"/>
  <c r="AH287" i="9"/>
  <c r="AH288" i="9" s="1"/>
  <c r="AH284" i="9"/>
  <c r="AH233" i="9"/>
  <c r="AH75" i="9" s="1"/>
  <c r="AH209" i="9"/>
  <c r="AG195" i="9"/>
  <c r="AH195" i="9"/>
  <c r="AH192" i="9"/>
  <c r="AH190" i="9"/>
  <c r="AH189" i="9"/>
  <c r="AH164" i="9"/>
  <c r="AH163" i="9"/>
  <c r="AH162" i="9"/>
  <c r="AH161" i="9"/>
  <c r="AH160" i="9"/>
  <c r="AH157" i="9"/>
  <c r="AH156" i="9"/>
  <c r="AH155" i="9"/>
  <c r="AH149" i="9"/>
  <c r="AH127" i="9"/>
  <c r="BK127" i="9" s="1"/>
  <c r="AH139" i="9"/>
  <c r="AH123" i="9"/>
  <c r="AH110" i="9"/>
  <c r="AH107" i="9"/>
  <c r="BK107" i="9" s="1"/>
  <c r="AH103" i="9"/>
  <c r="AH48" i="8"/>
  <c r="AH141" i="8"/>
  <c r="AH142" i="8" s="1"/>
  <c r="AH458" i="8"/>
  <c r="AH459" i="8" s="1"/>
  <c r="AH622" i="8"/>
  <c r="AH624" i="8"/>
  <c r="AH628" i="8"/>
  <c r="AH617" i="8"/>
  <c r="AL617" i="8" s="1"/>
  <c r="AP617" i="8" s="1"/>
  <c r="AH616" i="8"/>
  <c r="AH604" i="8"/>
  <c r="AH570" i="8"/>
  <c r="AH560" i="8"/>
  <c r="AH554" i="8"/>
  <c r="AH556" i="8"/>
  <c r="AH549" i="8"/>
  <c r="AL549" i="8" s="1"/>
  <c r="AP549" i="8" s="1"/>
  <c r="AH538" i="8"/>
  <c r="AH539" i="8" s="1"/>
  <c r="AH481" i="8"/>
  <c r="AH479" i="8"/>
  <c r="AH475" i="8"/>
  <c r="AH213" i="8"/>
  <c r="AH215" i="8"/>
  <c r="AH229" i="8"/>
  <c r="AH209" i="8"/>
  <c r="AH208" i="8"/>
  <c r="AL554" i="8"/>
  <c r="AP554" i="8" s="1"/>
  <c r="AT554" i="8" s="1"/>
  <c r="AX554" i="8" s="1"/>
  <c r="C16" i="11" a="1"/>
  <c r="C16" i="11" s="1"/>
  <c r="C24" i="11" s="1"/>
  <c r="F234" i="12"/>
  <c r="G234" i="12" s="1"/>
  <c r="H234" i="12" s="1"/>
  <c r="I234" i="12" s="1"/>
  <c r="AM140" i="16"/>
  <c r="AL140" i="16"/>
  <c r="AL141" i="16"/>
  <c r="AM139" i="16"/>
  <c r="AL139" i="16"/>
  <c r="AN140" i="16"/>
  <c r="AN141" i="16"/>
  <c r="AN139" i="16"/>
  <c r="AM141" i="16"/>
  <c r="AG65" i="8"/>
  <c r="AE92" i="8"/>
  <c r="AG287" i="9"/>
  <c r="AG288" i="9" s="1"/>
  <c r="AG284" i="9"/>
  <c r="AH282" i="9" s="1"/>
  <c r="AG362" i="9"/>
  <c r="AG366" i="9"/>
  <c r="AG365" i="9"/>
  <c r="AG307" i="9"/>
  <c r="AG303" i="9"/>
  <c r="AG302" i="9"/>
  <c r="AG233" i="9"/>
  <c r="AG75" i="9" s="1"/>
  <c r="AF233" i="9"/>
  <c r="AG209" i="9"/>
  <c r="AF209" i="9"/>
  <c r="AG164" i="9"/>
  <c r="AG163" i="9"/>
  <c r="AG162" i="9"/>
  <c r="AG161" i="9"/>
  <c r="AG160" i="9"/>
  <c r="AG157" i="9"/>
  <c r="AG156" i="9"/>
  <c r="AG155" i="9"/>
  <c r="AG149" i="9"/>
  <c r="AG139" i="9"/>
  <c r="AG129" i="9" s="1"/>
  <c r="AG127" i="9"/>
  <c r="AG123" i="9"/>
  <c r="AG110" i="9"/>
  <c r="AG107" i="9"/>
  <c r="AG103" i="9"/>
  <c r="AG147" i="9" s="1"/>
  <c r="AG66" i="9"/>
  <c r="AG54" i="9"/>
  <c r="AG19" i="9"/>
  <c r="AG15" i="9"/>
  <c r="AG13" i="9"/>
  <c r="AG61" i="8"/>
  <c r="AG57" i="8"/>
  <c r="AG5" i="9" s="1"/>
  <c r="AG48" i="8"/>
  <c r="AG44" i="8"/>
  <c r="AG40" i="8"/>
  <c r="AG36" i="8"/>
  <c r="AG639" i="8"/>
  <c r="AG606" i="8"/>
  <c r="AG607" i="8" s="1"/>
  <c r="AG617" i="8"/>
  <c r="AG622" i="8"/>
  <c r="AG624" i="8"/>
  <c r="AG628" i="8"/>
  <c r="AG592" i="8"/>
  <c r="AG591" i="8"/>
  <c r="AG571" i="8"/>
  <c r="AG570" i="8"/>
  <c r="AG538" i="8"/>
  <c r="AG539" i="8" s="1"/>
  <c r="AG549" i="8"/>
  <c r="AK549" i="8" s="1"/>
  <c r="AO549" i="8" s="1"/>
  <c r="AS549" i="8" s="1"/>
  <c r="AW549" i="8" s="1"/>
  <c r="AG548" i="8"/>
  <c r="AG554" i="8"/>
  <c r="AK554" i="8" s="1"/>
  <c r="AO554" i="8" s="1"/>
  <c r="AS554" i="8" s="1"/>
  <c r="AW554" i="8" s="1"/>
  <c r="AG556" i="8"/>
  <c r="AG561" i="8"/>
  <c r="AG560" i="8"/>
  <c r="AG496" i="8"/>
  <c r="AG495" i="8"/>
  <c r="AG482" i="8"/>
  <c r="AG481" i="8"/>
  <c r="AG479" i="8"/>
  <c r="AG475" i="8"/>
  <c r="AG141" i="8"/>
  <c r="AG142" i="8" s="1"/>
  <c r="AG209" i="8"/>
  <c r="AG208" i="8"/>
  <c r="AG213" i="8"/>
  <c r="AG215" i="8"/>
  <c r="AG230" i="8"/>
  <c r="AG229" i="8"/>
  <c r="AF407" i="8"/>
  <c r="AJ407" i="8" s="1"/>
  <c r="AN407" i="8" s="1"/>
  <c r="AR407" i="8" s="1"/>
  <c r="AV407" i="8" s="1"/>
  <c r="T193" i="9"/>
  <c r="S193" i="9"/>
  <c r="AE192" i="9"/>
  <c r="AD192" i="9"/>
  <c r="AC192" i="9"/>
  <c r="AB192" i="9"/>
  <c r="AA192" i="9"/>
  <c r="Z192" i="9"/>
  <c r="Y192" i="9"/>
  <c r="X192" i="9"/>
  <c r="W192" i="9"/>
  <c r="V192" i="9"/>
  <c r="U192" i="9"/>
  <c r="T192" i="9"/>
  <c r="S192" i="9"/>
  <c r="AC191" i="9"/>
  <c r="Z191" i="9"/>
  <c r="T191" i="9"/>
  <c r="S191" i="9"/>
  <c r="AE190" i="9"/>
  <c r="AD190" i="9"/>
  <c r="AC190" i="9"/>
  <c r="AB190" i="9"/>
  <c r="AA190" i="9"/>
  <c r="Z190" i="9"/>
  <c r="Y190" i="9"/>
  <c r="X190" i="9"/>
  <c r="W190" i="9"/>
  <c r="V190" i="9"/>
  <c r="U190" i="9"/>
  <c r="T190" i="9"/>
  <c r="S190" i="9"/>
  <c r="AE189" i="9"/>
  <c r="AD189" i="9"/>
  <c r="AC189" i="9"/>
  <c r="AB189" i="9"/>
  <c r="AA189" i="9"/>
  <c r="Z189" i="9"/>
  <c r="Y189" i="9"/>
  <c r="X189" i="9"/>
  <c r="W189" i="9"/>
  <c r="V189" i="9"/>
  <c r="U189" i="9"/>
  <c r="T189" i="9"/>
  <c r="S189" i="9"/>
  <c r="AE195" i="9"/>
  <c r="AD195" i="9"/>
  <c r="AC195" i="9"/>
  <c r="AB195" i="9"/>
  <c r="AA195" i="9"/>
  <c r="Z195" i="9"/>
  <c r="Y195" i="9"/>
  <c r="X195" i="9"/>
  <c r="W195" i="9"/>
  <c r="V195" i="9"/>
  <c r="U195" i="9"/>
  <c r="T195" i="9"/>
  <c r="S195" i="9"/>
  <c r="AF195" i="9"/>
  <c r="AF192" i="9"/>
  <c r="AF190" i="9"/>
  <c r="AF189" i="9"/>
  <c r="AG148" i="9"/>
  <c r="AG285" i="9"/>
  <c r="BO81" i="8"/>
  <c r="AF180" i="9"/>
  <c r="AF162" i="9"/>
  <c r="AF95" i="9"/>
  <c r="BE57" i="9"/>
  <c r="BD57" i="9"/>
  <c r="BP54" i="9"/>
  <c r="BD54"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C81" i="9"/>
  <c r="V79" i="9"/>
  <c r="U79" i="9"/>
  <c r="T79" i="9"/>
  <c r="S79" i="9"/>
  <c r="R79" i="9"/>
  <c r="Q79" i="9"/>
  <c r="P79" i="9"/>
  <c r="O79" i="9"/>
  <c r="N79" i="9"/>
  <c r="M79" i="9"/>
  <c r="L79" i="9"/>
  <c r="K79" i="9"/>
  <c r="J79" i="9"/>
  <c r="I79" i="9"/>
  <c r="H79" i="9"/>
  <c r="G79" i="9"/>
  <c r="F79" i="9"/>
  <c r="E79" i="9"/>
  <c r="D79" i="9"/>
  <c r="C79"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C77"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D75" i="9"/>
  <c r="C75" i="9"/>
  <c r="AE66" i="9"/>
  <c r="AD66" i="9"/>
  <c r="AC66" i="9"/>
  <c r="AB66" i="9"/>
  <c r="AA66" i="9"/>
  <c r="Z66" i="9"/>
  <c r="Y66" i="9"/>
  <c r="X66" i="9"/>
  <c r="W66" i="9"/>
  <c r="V66" i="9"/>
  <c r="U66" i="9"/>
  <c r="T66" i="9"/>
  <c r="S66" i="9"/>
  <c r="R66" i="9"/>
  <c r="Q66" i="9"/>
  <c r="P66" i="9"/>
  <c r="O66" i="9"/>
  <c r="N66" i="9"/>
  <c r="M66" i="9"/>
  <c r="L66" i="9"/>
  <c r="K66" i="9"/>
  <c r="J66" i="9"/>
  <c r="I66" i="9"/>
  <c r="H66" i="9"/>
  <c r="G66" i="9"/>
  <c r="F66" i="9"/>
  <c r="E66" i="9"/>
  <c r="D66" i="9"/>
  <c r="C66" i="9"/>
  <c r="V63" i="9"/>
  <c r="R63" i="9"/>
  <c r="Q63" i="9"/>
  <c r="P63" i="9"/>
  <c r="O63" i="9"/>
  <c r="N63" i="9"/>
  <c r="M63" i="9"/>
  <c r="L63" i="9"/>
  <c r="K63" i="9"/>
  <c r="J63" i="9"/>
  <c r="I63" i="9"/>
  <c r="H63" i="9"/>
  <c r="G63" i="9"/>
  <c r="F63" i="9"/>
  <c r="E63" i="9"/>
  <c r="D63" i="9"/>
  <c r="C63" i="9"/>
  <c r="AE57" i="9"/>
  <c r="AA57" i="9"/>
  <c r="W57" i="9"/>
  <c r="S57" i="9"/>
  <c r="R57" i="9"/>
  <c r="Q57" i="9"/>
  <c r="P57" i="9"/>
  <c r="O57" i="9"/>
  <c r="N57" i="9"/>
  <c r="M57" i="9"/>
  <c r="L57" i="9"/>
  <c r="K57" i="9"/>
  <c r="J57" i="9"/>
  <c r="I57" i="9"/>
  <c r="H57" i="9"/>
  <c r="G57" i="9"/>
  <c r="F57" i="9"/>
  <c r="E57" i="9"/>
  <c r="D57" i="9"/>
  <c r="C57" i="9"/>
  <c r="AE54" i="9"/>
  <c r="AD54" i="9"/>
  <c r="AC54" i="9"/>
  <c r="AB54" i="9"/>
  <c r="AA54" i="9"/>
  <c r="Z54" i="9"/>
  <c r="Y54" i="9"/>
  <c r="X54" i="9"/>
  <c r="W54" i="9"/>
  <c r="V54" i="9"/>
  <c r="U54" i="9"/>
  <c r="T54" i="9"/>
  <c r="S54" i="9"/>
  <c r="R54" i="9"/>
  <c r="Q54" i="9"/>
  <c r="P54" i="9"/>
  <c r="O54" i="9"/>
  <c r="N54" i="9"/>
  <c r="M54" i="9"/>
  <c r="L54" i="9"/>
  <c r="K54" i="9"/>
  <c r="J54" i="9"/>
  <c r="I54" i="9"/>
  <c r="H54" i="9"/>
  <c r="G54" i="9"/>
  <c r="F54" i="9"/>
  <c r="E54" i="9"/>
  <c r="D54" i="9"/>
  <c r="C54" i="9"/>
  <c r="AF81" i="9"/>
  <c r="AF77" i="9"/>
  <c r="AF76" i="9"/>
  <c r="AF66" i="9"/>
  <c r="AF54" i="9"/>
  <c r="AF366" i="9"/>
  <c r="AF365" i="9"/>
  <c r="AF303" i="9"/>
  <c r="AF302" i="9"/>
  <c r="AF164" i="9"/>
  <c r="AF163" i="9"/>
  <c r="AF161" i="9"/>
  <c r="AF160" i="9"/>
  <c r="AF157" i="9"/>
  <c r="AF156" i="9"/>
  <c r="AF155" i="9"/>
  <c r="AF149" i="9"/>
  <c r="AF139" i="9"/>
  <c r="AF129" i="9" s="1"/>
  <c r="AF127" i="9"/>
  <c r="AF123" i="9"/>
  <c r="AF148" i="9" s="1"/>
  <c r="AF110" i="9"/>
  <c r="AF107" i="9"/>
  <c r="AF103" i="9"/>
  <c r="AF147" i="9" s="1"/>
  <c r="AF96" i="8"/>
  <c r="AG96" i="8" s="1"/>
  <c r="AF628" i="8"/>
  <c r="AF627" i="8"/>
  <c r="AF622" i="8"/>
  <c r="AF625" i="8"/>
  <c r="AF624" i="8"/>
  <c r="AF617" i="8"/>
  <c r="AF639" i="8"/>
  <c r="AF638" i="8"/>
  <c r="AF629" i="8"/>
  <c r="AF631" i="8" s="1"/>
  <c r="AF621" i="8"/>
  <c r="AF616" i="8"/>
  <c r="AF613" i="8"/>
  <c r="AF610" i="8"/>
  <c r="AF606" i="8"/>
  <c r="AF607" i="8" s="1"/>
  <c r="AF604" i="8"/>
  <c r="AF571" i="8"/>
  <c r="AF538" i="8"/>
  <c r="AF539" i="8" s="1"/>
  <c r="AF549" i="8"/>
  <c r="AF548" i="8"/>
  <c r="AF554" i="8"/>
  <c r="AF556" i="8"/>
  <c r="AF560" i="8"/>
  <c r="AF458" i="8"/>
  <c r="AF479" i="8"/>
  <c r="AF475" i="8"/>
  <c r="AF481" i="8"/>
  <c r="AF230" i="8"/>
  <c r="AF229" i="8"/>
  <c r="AF209" i="8"/>
  <c r="AF208" i="8"/>
  <c r="AF213" i="8"/>
  <c r="AF215" i="8"/>
  <c r="AF307" i="9"/>
  <c r="AH307" i="9"/>
  <c r="AF57" i="9"/>
  <c r="AF71" i="9" s="1"/>
  <c r="AF292" i="9"/>
  <c r="AF362" i="9"/>
  <c r="BL163" i="9"/>
  <c r="BL224" i="9"/>
  <c r="BL41" i="9"/>
  <c r="N35" i="12" s="1"/>
  <c r="BL40" i="9"/>
  <c r="BN578" i="8"/>
  <c r="BN300" i="8"/>
  <c r="BN80" i="8"/>
  <c r="BN703" i="8"/>
  <c r="BN712" i="8" s="1"/>
  <c r="BN695" i="8"/>
  <c r="AL205" i="9"/>
  <c r="AK205" i="9"/>
  <c r="AJ205" i="9"/>
  <c r="AI205" i="9"/>
  <c r="V29" i="20"/>
  <c r="U29" i="20"/>
  <c r="T29" i="20"/>
  <c r="AI331" i="9"/>
  <c r="AL708" i="8"/>
  <c r="AL709" i="8" s="1"/>
  <c r="AK708" i="8"/>
  <c r="AK709" i="8" s="1"/>
  <c r="AJ708" i="8"/>
  <c r="AJ709" i="8" s="1"/>
  <c r="AL590" i="8"/>
  <c r="AL522" i="8"/>
  <c r="AK522" i="8"/>
  <c r="AH205" i="9"/>
  <c r="AG205" i="9"/>
  <c r="AF205" i="9"/>
  <c r="AE205" i="9"/>
  <c r="AD205" i="9"/>
  <c r="AC205" i="9"/>
  <c r="AB205" i="9"/>
  <c r="AA205" i="9"/>
  <c r="AE218" i="9"/>
  <c r="AE216" i="9"/>
  <c r="AE362" i="9"/>
  <c r="AE366" i="9"/>
  <c r="AE365" i="9"/>
  <c r="AE307" i="9"/>
  <c r="AE303" i="9"/>
  <c r="AE302" i="9"/>
  <c r="AE292" i="9"/>
  <c r="AE287" i="9"/>
  <c r="AE288" i="9" s="1"/>
  <c r="AE284" i="9"/>
  <c r="AE233" i="9"/>
  <c r="AE75" i="9" s="1"/>
  <c r="AE164" i="9"/>
  <c r="AE163" i="9"/>
  <c r="AE162" i="9"/>
  <c r="AE161" i="9"/>
  <c r="AE160" i="9"/>
  <c r="AE157" i="9"/>
  <c r="AE156" i="9"/>
  <c r="AE155" i="9"/>
  <c r="AE149" i="9"/>
  <c r="AE139" i="9"/>
  <c r="AE129" i="9" s="1"/>
  <c r="AE127" i="9"/>
  <c r="AE123" i="9"/>
  <c r="AE148" i="9" s="1"/>
  <c r="AE110" i="9"/>
  <c r="AE107" i="9"/>
  <c r="AE103" i="9"/>
  <c r="AE147" i="9" s="1"/>
  <c r="AE26" i="9"/>
  <c r="AE524" i="8"/>
  <c r="AE523" i="8"/>
  <c r="AE592" i="8"/>
  <c r="AE591" i="8"/>
  <c r="AE606" i="8"/>
  <c r="AE617" i="8"/>
  <c r="AE616" i="8"/>
  <c r="AE622" i="8"/>
  <c r="AE624" i="8"/>
  <c r="AE628" i="8"/>
  <c r="AE639" i="8"/>
  <c r="AE638" i="8"/>
  <c r="AE538" i="8"/>
  <c r="AE549" i="8"/>
  <c r="AE548" i="8"/>
  <c r="AE554" i="8"/>
  <c r="AE556" i="8"/>
  <c r="AE560" i="8"/>
  <c r="AE571" i="8"/>
  <c r="AE475" i="8"/>
  <c r="AE474" i="8"/>
  <c r="AE479" i="8"/>
  <c r="AE481" i="8"/>
  <c r="AE496" i="8"/>
  <c r="AE495" i="8"/>
  <c r="AE409" i="8"/>
  <c r="AE407" i="8"/>
  <c r="AI407" i="8" s="1"/>
  <c r="AM407" i="8" s="1"/>
  <c r="AE364" i="8"/>
  <c r="AE285" i="8"/>
  <c r="AI285" i="8" s="1"/>
  <c r="AE141" i="8"/>
  <c r="AE209" i="8"/>
  <c r="AE208" i="8"/>
  <c r="AE213" i="8"/>
  <c r="AE215" i="8"/>
  <c r="AE230" i="8"/>
  <c r="AE229" i="8"/>
  <c r="AH461" i="8"/>
  <c r="AG461" i="8"/>
  <c r="AF461" i="8"/>
  <c r="AH181" i="9"/>
  <c r="AI216" i="8"/>
  <c r="AG181" i="9"/>
  <c r="AI76" i="8"/>
  <c r="AF15" i="12"/>
  <c r="AF18" i="12" s="1"/>
  <c r="AF20" i="12" s="1"/>
  <c r="J133" i="12"/>
  <c r="AD97" i="8"/>
  <c r="AI260" i="8"/>
  <c r="AI145" i="8"/>
  <c r="AD407" i="8"/>
  <c r="AH407" i="8" s="1"/>
  <c r="AL407" i="8" s="1"/>
  <c r="AP407" i="8" s="1"/>
  <c r="AT407" i="8" s="1"/>
  <c r="AX407" i="8" s="1"/>
  <c r="AH182" i="9"/>
  <c r="AD287" i="9"/>
  <c r="AD288" i="9" s="1"/>
  <c r="AD284" i="9"/>
  <c r="AD366" i="9"/>
  <c r="AD365" i="9"/>
  <c r="AD303" i="9"/>
  <c r="AD302" i="9"/>
  <c r="AD233" i="9"/>
  <c r="AD75" i="9" s="1"/>
  <c r="AD209" i="9"/>
  <c r="AD164" i="9"/>
  <c r="AD163" i="9"/>
  <c r="AD162" i="9"/>
  <c r="AD161" i="9"/>
  <c r="AD160" i="9"/>
  <c r="AD157" i="9"/>
  <c r="AD156" i="9"/>
  <c r="AD155" i="9"/>
  <c r="AD149" i="9"/>
  <c r="AD127" i="9"/>
  <c r="BJ127" i="9" s="1"/>
  <c r="AD139" i="9"/>
  <c r="AD123" i="9"/>
  <c r="AD148" i="9" s="1"/>
  <c r="AD110" i="9"/>
  <c r="AD107" i="9"/>
  <c r="BJ107" i="9" s="1"/>
  <c r="AD103" i="9"/>
  <c r="AD191" i="9" s="1"/>
  <c r="AD19" i="9"/>
  <c r="AD70" i="9" s="1"/>
  <c r="AD15" i="9"/>
  <c r="AD13" i="9"/>
  <c r="AD524" i="8"/>
  <c r="AD523" i="8"/>
  <c r="AD592" i="8"/>
  <c r="AD591" i="8"/>
  <c r="AD65" i="8"/>
  <c r="AD61" i="8"/>
  <c r="AD57" i="8"/>
  <c r="AD5" i="9" s="1"/>
  <c r="AD48" i="8"/>
  <c r="AD44" i="8"/>
  <c r="AD40" i="8"/>
  <c r="AD36" i="8"/>
  <c r="AD639" i="8"/>
  <c r="AD628" i="8"/>
  <c r="AD624" i="8"/>
  <c r="AD617" i="8"/>
  <c r="AD622" i="8"/>
  <c r="AD606" i="8"/>
  <c r="AD607" i="8" s="1"/>
  <c r="AD571" i="8"/>
  <c r="AD554" i="8"/>
  <c r="AD556" i="8"/>
  <c r="AD560" i="8"/>
  <c r="AD559" i="8"/>
  <c r="AD538" i="8"/>
  <c r="AD539" i="8" s="1"/>
  <c r="AD549" i="8"/>
  <c r="AD458" i="8"/>
  <c r="AD459" i="8" s="1"/>
  <c r="AD475" i="8"/>
  <c r="AD481" i="8"/>
  <c r="AD479" i="8"/>
  <c r="AD496" i="8"/>
  <c r="AD409" i="8"/>
  <c r="AD364" i="8"/>
  <c r="AH364" i="8" s="1"/>
  <c r="AL364" i="8" s="1"/>
  <c r="AD285" i="8"/>
  <c r="AD209" i="8"/>
  <c r="AD230" i="8"/>
  <c r="AD215" i="8"/>
  <c r="AD213" i="8"/>
  <c r="C19" i="21"/>
  <c r="AM145" i="8"/>
  <c r="AI182" i="9"/>
  <c r="AC458" i="8"/>
  <c r="AC459" i="8" s="1"/>
  <c r="AC366" i="9"/>
  <c r="AC365" i="9"/>
  <c r="AC303" i="9"/>
  <c r="AC302" i="9"/>
  <c r="AC287" i="9"/>
  <c r="AC288" i="9" s="1"/>
  <c r="AC233" i="9"/>
  <c r="AC75" i="9" s="1"/>
  <c r="AC209" i="9"/>
  <c r="AC164" i="9"/>
  <c r="AC163" i="9"/>
  <c r="AC162" i="9"/>
  <c r="AC161" i="9"/>
  <c r="AC160" i="9"/>
  <c r="AC157" i="9"/>
  <c r="AC156" i="9"/>
  <c r="AC155" i="9"/>
  <c r="AC149" i="9"/>
  <c r="AC148" i="9"/>
  <c r="AC147" i="9"/>
  <c r="AC139" i="9"/>
  <c r="AC129" i="9" s="1"/>
  <c r="AC127" i="9"/>
  <c r="AC116" i="9" s="1"/>
  <c r="AC110" i="9"/>
  <c r="AC108" i="9" s="1"/>
  <c r="AC107" i="9"/>
  <c r="AC97" i="9" s="1"/>
  <c r="AC606" i="8"/>
  <c r="AC607" i="8" s="1"/>
  <c r="AC592" i="8"/>
  <c r="AC591" i="8"/>
  <c r="AC538" i="8"/>
  <c r="AC539" i="8" s="1"/>
  <c r="AC524" i="8"/>
  <c r="AC523" i="8"/>
  <c r="AC481" i="8"/>
  <c r="AC230" i="8"/>
  <c r="AC215" i="8"/>
  <c r="AC213" i="8"/>
  <c r="AC141" i="8"/>
  <c r="AC142" i="8" s="1"/>
  <c r="AC48" i="8"/>
  <c r="AC44" i="8"/>
  <c r="AC40" i="8"/>
  <c r="AC36" i="8"/>
  <c r="AD54" i="12"/>
  <c r="AD55" i="12" s="1"/>
  <c r="AD36" i="12"/>
  <c r="AD38" i="12" s="1"/>
  <c r="AD39" i="12" s="1"/>
  <c r="AC70" i="8"/>
  <c r="AG72" i="8" s="1"/>
  <c r="AC61" i="8"/>
  <c r="AC57" i="8"/>
  <c r="AC628" i="8"/>
  <c r="AC624" i="8"/>
  <c r="AC622" i="8"/>
  <c r="AC617" i="8"/>
  <c r="AC639" i="8"/>
  <c r="AC560" i="8"/>
  <c r="AC556" i="8"/>
  <c r="AC554" i="8"/>
  <c r="AC549" i="8"/>
  <c r="AC571" i="8"/>
  <c r="AC496" i="8"/>
  <c r="AC479" i="8"/>
  <c r="AC475" i="8"/>
  <c r="AC209" i="8"/>
  <c r="BH216" i="9"/>
  <c r="BG216" i="9"/>
  <c r="AA216" i="9"/>
  <c r="W216" i="9"/>
  <c r="S216" i="9"/>
  <c r="BK40" i="9"/>
  <c r="M30" i="12" s="1"/>
  <c r="BJ40" i="9"/>
  <c r="L30" i="12" s="1"/>
  <c r="BH40" i="9"/>
  <c r="J30" i="12" s="1"/>
  <c r="BG40" i="9"/>
  <c r="I30" i="12" s="1"/>
  <c r="BF40" i="9"/>
  <c r="H30" i="12" s="1"/>
  <c r="BE40" i="9"/>
  <c r="BE70" i="9" s="1"/>
  <c r="BD40" i="9"/>
  <c r="BD70" i="9" s="1"/>
  <c r="BF216" i="9"/>
  <c r="BE216" i="9"/>
  <c r="BD216" i="9"/>
  <c r="AC68" i="12"/>
  <c r="W82" i="8"/>
  <c r="V82" i="8"/>
  <c r="U82" i="8"/>
  <c r="T82" i="8"/>
  <c r="S82" i="8"/>
  <c r="R82" i="8"/>
  <c r="Q82" i="8"/>
  <c r="P82" i="8"/>
  <c r="O82" i="8"/>
  <c r="N82" i="8"/>
  <c r="M82" i="8"/>
  <c r="L82" i="8"/>
  <c r="K82" i="8"/>
  <c r="J82" i="8"/>
  <c r="I82" i="8"/>
  <c r="H82" i="8"/>
  <c r="G82" i="8"/>
  <c r="F82" i="8"/>
  <c r="E82" i="8"/>
  <c r="D82" i="8"/>
  <c r="C82" i="8"/>
  <c r="AB366" i="9"/>
  <c r="AB365" i="9"/>
  <c r="AB303" i="9"/>
  <c r="AB302" i="9"/>
  <c r="AB57" i="9"/>
  <c r="AB287" i="9"/>
  <c r="AB288" i="9" s="1"/>
  <c r="AB280" i="9"/>
  <c r="AB209" i="9"/>
  <c r="AB164" i="9"/>
  <c r="AB163" i="9"/>
  <c r="AB162" i="9"/>
  <c r="AB161" i="9"/>
  <c r="AB160" i="9"/>
  <c r="AB157" i="9"/>
  <c r="AB156" i="9"/>
  <c r="AB155" i="9"/>
  <c r="AB149" i="9"/>
  <c r="AB147" i="9"/>
  <c r="AB139" i="9"/>
  <c r="AB129" i="9" s="1"/>
  <c r="AB123" i="9"/>
  <c r="AB148" i="9" s="1"/>
  <c r="AB127" i="9"/>
  <c r="AB110" i="9"/>
  <c r="AB108" i="9" s="1"/>
  <c r="AB107" i="9"/>
  <c r="AB97" i="9" s="1"/>
  <c r="AB26" i="9"/>
  <c r="AB19" i="9"/>
  <c r="AB70" i="9" s="1"/>
  <c r="AB15" i="9"/>
  <c r="AB13" i="9"/>
  <c r="AB96" i="8"/>
  <c r="AB48" i="8"/>
  <c r="AB44" i="8"/>
  <c r="AB40" i="8"/>
  <c r="AB36" i="8"/>
  <c r="AB65" i="8"/>
  <c r="AB61" i="8"/>
  <c r="AB57" i="8"/>
  <c r="AB82" i="8" s="1"/>
  <c r="AB524" i="8"/>
  <c r="AB523" i="8"/>
  <c r="AB713" i="8"/>
  <c r="AB708" i="8"/>
  <c r="AB639" i="8"/>
  <c r="AB638" i="8"/>
  <c r="AB628" i="8"/>
  <c r="AA627" i="8"/>
  <c r="AB622" i="8"/>
  <c r="AB624" i="8"/>
  <c r="AB617" i="8"/>
  <c r="AB616" i="8"/>
  <c r="AB606" i="8"/>
  <c r="AB607" i="8" s="1"/>
  <c r="AB571" i="8"/>
  <c r="AB570" i="8"/>
  <c r="AB560" i="8"/>
  <c r="AB554" i="8"/>
  <c r="AB556" i="8"/>
  <c r="AB549" i="8"/>
  <c r="AB548" i="8"/>
  <c r="AB538" i="8"/>
  <c r="AB496" i="8"/>
  <c r="AB495" i="8"/>
  <c r="AB481" i="8"/>
  <c r="AB479" i="8"/>
  <c r="AB478" i="8"/>
  <c r="AB475" i="8"/>
  <c r="AB474" i="8"/>
  <c r="AB458" i="8"/>
  <c r="AB410" i="8"/>
  <c r="AB408" i="8"/>
  <c r="AB286" i="8"/>
  <c r="AB141" i="8"/>
  <c r="AB209" i="8"/>
  <c r="AB208" i="8"/>
  <c r="AB213" i="8"/>
  <c r="AB215" i="8"/>
  <c r="AB230" i="8"/>
  <c r="AB307" i="9"/>
  <c r="AB362" i="9"/>
  <c r="AC57" i="9"/>
  <c r="AB292" i="9"/>
  <c r="AB216" i="9"/>
  <c r="X216" i="9"/>
  <c r="T216" i="9"/>
  <c r="N9" i="17"/>
  <c r="I9" i="17"/>
  <c r="I15" i="17"/>
  <c r="I20" i="17"/>
  <c r="I25" i="17"/>
  <c r="I30" i="17"/>
  <c r="N15" i="17"/>
  <c r="N20" i="17"/>
  <c r="N30" i="17"/>
  <c r="N25" i="17"/>
  <c r="AC292" i="9"/>
  <c r="AD292" i="9"/>
  <c r="AC362" i="9"/>
  <c r="AC307" i="9"/>
  <c r="AD307" i="9"/>
  <c r="AC216" i="9"/>
  <c r="J9" i="17"/>
  <c r="H9" i="17"/>
  <c r="G9" i="17"/>
  <c r="F9" i="17"/>
  <c r="J15" i="17"/>
  <c r="H15" i="17"/>
  <c r="G15" i="17"/>
  <c r="F15" i="17"/>
  <c r="J20" i="17"/>
  <c r="H20" i="17"/>
  <c r="G20" i="17"/>
  <c r="F20" i="17"/>
  <c r="J25" i="17"/>
  <c r="H25" i="17"/>
  <c r="G25" i="17"/>
  <c r="F25" i="17"/>
  <c r="J30" i="17"/>
  <c r="H30" i="17"/>
  <c r="G30" i="17"/>
  <c r="F30" i="17"/>
  <c r="AD362" i="9"/>
  <c r="AD57" i="9"/>
  <c r="BN81" i="8"/>
  <c r="F177" i="12" s="1"/>
  <c r="K29" i="17"/>
  <c r="P29" i="17"/>
  <c r="K28" i="17"/>
  <c r="K24" i="17"/>
  <c r="P24" i="17"/>
  <c r="K23" i="17"/>
  <c r="K22" i="17"/>
  <c r="K19" i="17"/>
  <c r="K18" i="17"/>
  <c r="K14" i="17"/>
  <c r="K13" i="17"/>
  <c r="K10" i="17"/>
  <c r="K8" i="17"/>
  <c r="K7" i="17"/>
  <c r="K25" i="17"/>
  <c r="K27" i="17"/>
  <c r="P14" i="17"/>
  <c r="P8" i="17"/>
  <c r="K6" i="17"/>
  <c r="K9" i="17"/>
  <c r="L13" i="17"/>
  <c r="P19" i="17"/>
  <c r="P10" i="17"/>
  <c r="P22" i="17"/>
  <c r="K12" i="17"/>
  <c r="K15" i="17"/>
  <c r="K17" i="17"/>
  <c r="K20" i="17"/>
  <c r="P27" i="17"/>
  <c r="K30" i="17"/>
  <c r="P9" i="17"/>
  <c r="P6" i="17"/>
  <c r="P17" i="17"/>
  <c r="P12" i="17"/>
  <c r="P25" i="17"/>
  <c r="BH224" i="9"/>
  <c r="P30" i="17"/>
  <c r="P15" i="17"/>
  <c r="P20" i="17"/>
  <c r="AH5" i="10"/>
  <c r="S3" i="20" s="1"/>
  <c r="AG5" i="10"/>
  <c r="R3" i="20" s="1"/>
  <c r="AF5" i="10"/>
  <c r="Q3" i="20" s="1"/>
  <c r="AE5" i="10"/>
  <c r="P3" i="20" s="1"/>
  <c r="AH2" i="8"/>
  <c r="AG2" i="8"/>
  <c r="AF2" i="8"/>
  <c r="AE2" i="8"/>
  <c r="AQ58" i="20"/>
  <c r="AQ17" i="20"/>
  <c r="S29" i="20"/>
  <c r="AH331" i="9"/>
  <c r="R29" i="20"/>
  <c r="AG331" i="9"/>
  <c r="Q29" i="20"/>
  <c r="AF331" i="9"/>
  <c r="P29" i="20"/>
  <c r="AE331" i="9"/>
  <c r="BK163" i="9"/>
  <c r="BK224" i="9"/>
  <c r="BK41" i="9"/>
  <c r="M35" i="12" s="1"/>
  <c r="BK578" i="8"/>
  <c r="BL578" i="8"/>
  <c r="BM578" i="8"/>
  <c r="BM483" i="8"/>
  <c r="BM300" i="8"/>
  <c r="BM217" i="8"/>
  <c r="BM80" i="8"/>
  <c r="BM703" i="8"/>
  <c r="BM695" i="8"/>
  <c r="AH708" i="8"/>
  <c r="AH709" i="8" s="1"/>
  <c r="AG708" i="8"/>
  <c r="AG709" i="8" s="1"/>
  <c r="AF708" i="8"/>
  <c r="AE708" i="8"/>
  <c r="AI315" i="9"/>
  <c r="AJ315" i="9" s="1"/>
  <c r="AK315" i="9" s="1"/>
  <c r="AL315" i="9" s="1"/>
  <c r="AH315" i="9"/>
  <c r="BM696" i="8"/>
  <c r="AH318" i="9"/>
  <c r="AH309" i="9"/>
  <c r="AH294" i="9"/>
  <c r="AF315" i="9"/>
  <c r="AG315" i="9"/>
  <c r="AG318" i="9"/>
  <c r="AG309" i="9"/>
  <c r="AG294" i="9"/>
  <c r="AF75" i="9"/>
  <c r="AF294" i="9"/>
  <c r="AF309" i="9"/>
  <c r="AF318" i="9"/>
  <c r="AE294" i="9"/>
  <c r="AE318" i="9"/>
  <c r="AE309" i="9"/>
  <c r="AD315" i="9"/>
  <c r="BJ315" i="9" s="1"/>
  <c r="AE315" i="9"/>
  <c r="BK315" i="9" s="1"/>
  <c r="AQ29" i="20"/>
  <c r="AC315" i="9"/>
  <c r="AB315" i="9"/>
  <c r="AE15" i="9"/>
  <c r="AF14" i="10"/>
  <c r="AG14" i="10"/>
  <c r="AH14" i="10"/>
  <c r="AA292" i="9"/>
  <c r="AA287" i="9"/>
  <c r="AA288" i="9" s="1"/>
  <c r="AA362" i="9"/>
  <c r="AA366" i="9"/>
  <c r="AA365" i="9"/>
  <c r="AA307" i="9"/>
  <c r="AA303" i="9"/>
  <c r="AA302" i="9"/>
  <c r="AA233" i="9"/>
  <c r="AA75" i="9" s="1"/>
  <c r="AA218" i="9"/>
  <c r="AA164" i="9"/>
  <c r="AA163" i="9"/>
  <c r="AA162" i="9"/>
  <c r="AA161" i="9"/>
  <c r="AA160" i="9"/>
  <c r="AA157" i="9"/>
  <c r="AA156" i="9"/>
  <c r="AA155" i="9"/>
  <c r="AA149" i="9"/>
  <c r="AA139" i="9"/>
  <c r="AA129" i="9" s="1"/>
  <c r="AA127" i="9"/>
  <c r="AA123" i="9"/>
  <c r="AA148" i="9" s="1"/>
  <c r="AA110" i="9"/>
  <c r="AA107" i="9"/>
  <c r="AA103" i="9"/>
  <c r="AB191" i="9" s="1"/>
  <c r="AA19" i="9"/>
  <c r="AA70" i="9" s="1"/>
  <c r="AA15" i="9"/>
  <c r="AA13" i="9"/>
  <c r="AA92" i="8"/>
  <c r="AA36" i="8"/>
  <c r="AA38" i="8" s="1"/>
  <c r="AA40" i="8"/>
  <c r="AA42" i="8" s="1"/>
  <c r="AA44" i="8"/>
  <c r="AA46" i="8" s="1"/>
  <c r="AA48" i="8"/>
  <c r="AA57" i="8"/>
  <c r="AA58" i="8" s="1"/>
  <c r="AA61" i="8"/>
  <c r="AA65" i="8"/>
  <c r="AA410" i="8"/>
  <c r="AA408" i="8"/>
  <c r="AA365" i="8"/>
  <c r="AA286" i="8"/>
  <c r="AA524" i="8"/>
  <c r="AA523" i="8"/>
  <c r="AA622" i="8"/>
  <c r="AA624" i="8"/>
  <c r="AA628" i="8"/>
  <c r="AA639" i="8"/>
  <c r="AA638" i="8"/>
  <c r="AA617" i="8"/>
  <c r="AA616" i="8"/>
  <c r="AA606" i="8"/>
  <c r="AA607" i="8" s="1"/>
  <c r="AA571" i="8"/>
  <c r="AA538" i="8"/>
  <c r="AA539" i="8" s="1"/>
  <c r="AA549" i="8"/>
  <c r="AA554" i="8"/>
  <c r="AA556" i="8"/>
  <c r="AA560" i="8"/>
  <c r="AA496" i="8"/>
  <c r="AA475" i="8"/>
  <c r="AA479" i="8"/>
  <c r="AA481" i="8"/>
  <c r="AA209" i="8"/>
  <c r="AA208" i="8"/>
  <c r="AA213" i="8"/>
  <c r="AA215" i="8"/>
  <c r="AA230" i="8"/>
  <c r="AE76" i="8"/>
  <c r="AF10" i="12"/>
  <c r="AG10" i="12" s="1"/>
  <c r="AG15" i="12" s="1"/>
  <c r="AE15" i="12"/>
  <c r="AE18" i="12" s="1"/>
  <c r="AE20" i="12" s="1"/>
  <c r="AE21" i="12" s="1"/>
  <c r="AA315" i="9"/>
  <c r="AJ307" i="9"/>
  <c r="AI307" i="9"/>
  <c r="AE145" i="8"/>
  <c r="AE216" i="8"/>
  <c r="AI208" i="8"/>
  <c r="AI204" i="8"/>
  <c r="AE204" i="8"/>
  <c r="L53" i="14"/>
  <c r="M54" i="14"/>
  <c r="K71" i="14"/>
  <c r="L70" i="14"/>
  <c r="M70" i="14"/>
  <c r="K58" i="14"/>
  <c r="L57" i="14"/>
  <c r="M57" i="14"/>
  <c r="N57" i="14"/>
  <c r="O57" i="14"/>
  <c r="P57" i="14"/>
  <c r="Q57" i="14"/>
  <c r="R57" i="14"/>
  <c r="S57" i="14"/>
  <c r="T57" i="14"/>
  <c r="U57" i="14"/>
  <c r="V57" i="14"/>
  <c r="W57" i="14"/>
  <c r="X57" i="14"/>
  <c r="Y57" i="14"/>
  <c r="Z57" i="14"/>
  <c r="AA57" i="14"/>
  <c r="AB57" i="14"/>
  <c r="AC57" i="14"/>
  <c r="AD57" i="14"/>
  <c r="AE57" i="14"/>
  <c r="AF57" i="14"/>
  <c r="AG57" i="14"/>
  <c r="AG58" i="14"/>
  <c r="N27" i="14"/>
  <c r="K60" i="14"/>
  <c r="L60" i="14"/>
  <c r="M60" i="14"/>
  <c r="N60" i="14"/>
  <c r="O60" i="14"/>
  <c r="P60" i="14"/>
  <c r="Q60" i="14"/>
  <c r="R60" i="14"/>
  <c r="S60" i="14"/>
  <c r="T60" i="14"/>
  <c r="U60" i="14"/>
  <c r="V60" i="14"/>
  <c r="W60" i="14"/>
  <c r="X60" i="14"/>
  <c r="Y60" i="14"/>
  <c r="Z60" i="14"/>
  <c r="AA60" i="14"/>
  <c r="AB60" i="14"/>
  <c r="AC60" i="14"/>
  <c r="AD60" i="14"/>
  <c r="AE60" i="14"/>
  <c r="AF60" i="14"/>
  <c r="AG60" i="14"/>
  <c r="N54" i="14"/>
  <c r="L66" i="14"/>
  <c r="K73" i="14"/>
  <c r="L73" i="14"/>
  <c r="M73" i="14"/>
  <c r="N73" i="14"/>
  <c r="O73" i="14"/>
  <c r="P73" i="14"/>
  <c r="Q73" i="14"/>
  <c r="R73" i="14"/>
  <c r="S73" i="14"/>
  <c r="T73" i="14"/>
  <c r="U73" i="14"/>
  <c r="V73" i="14"/>
  <c r="W73" i="14"/>
  <c r="L71" i="14"/>
  <c r="O54" i="14"/>
  <c r="K62" i="14"/>
  <c r="L62" i="14"/>
  <c r="M71" i="14"/>
  <c r="N70" i="14"/>
  <c r="Y58" i="14"/>
  <c r="R58" i="14"/>
  <c r="S58" i="14"/>
  <c r="AA58" i="14"/>
  <c r="P58" i="14"/>
  <c r="X58" i="14"/>
  <c r="AF58" i="14"/>
  <c r="Q58" i="14"/>
  <c r="M58" i="14"/>
  <c r="U58" i="14"/>
  <c r="N58" i="14"/>
  <c r="V58" i="14"/>
  <c r="AD58" i="14"/>
  <c r="Z58" i="14"/>
  <c r="L58" i="14"/>
  <c r="T58" i="14"/>
  <c r="AB58" i="14"/>
  <c r="AC58" i="14"/>
  <c r="O58" i="14"/>
  <c r="W58" i="14"/>
  <c r="AE58" i="14"/>
  <c r="Z113" i="8"/>
  <c r="BK113" i="8" s="1"/>
  <c r="Z112" i="8"/>
  <c r="Z97" i="8"/>
  <c r="BK97" i="8" s="1"/>
  <c r="BJ470" i="8"/>
  <c r="Z145" i="8"/>
  <c r="BK704" i="8"/>
  <c r="BR713" i="8"/>
  <c r="Z713" i="8"/>
  <c r="Y713" i="8"/>
  <c r="Z708" i="8"/>
  <c r="Y708" i="8"/>
  <c r="X708" i="8"/>
  <c r="W708" i="8"/>
  <c r="X709" i="8"/>
  <c r="BK709" i="8" s="1"/>
  <c r="Z287" i="9"/>
  <c r="Z288" i="9" s="1"/>
  <c r="Z284" i="9"/>
  <c r="AA282" i="9" s="1"/>
  <c r="Z366" i="9"/>
  <c r="Z365" i="9"/>
  <c r="Z233" i="9"/>
  <c r="Z75" i="9" s="1"/>
  <c r="Y233" i="9"/>
  <c r="Y75" i="9" s="1"/>
  <c r="Z164" i="9"/>
  <c r="Z163" i="9"/>
  <c r="Z162" i="9"/>
  <c r="Z161" i="9"/>
  <c r="Z160" i="9"/>
  <c r="Z157" i="9"/>
  <c r="Z156" i="9"/>
  <c r="Z155" i="9"/>
  <c r="Z149" i="9"/>
  <c r="Z147" i="9"/>
  <c r="Z139" i="9"/>
  <c r="Z127" i="9"/>
  <c r="Z123" i="9"/>
  <c r="Z110" i="9"/>
  <c r="Z107" i="9"/>
  <c r="Z26" i="9"/>
  <c r="Z19" i="9"/>
  <c r="Z70" i="9" s="1"/>
  <c r="Z15" i="9"/>
  <c r="Z13" i="9"/>
  <c r="Z524" i="8"/>
  <c r="Z523" i="8"/>
  <c r="Z592" i="8"/>
  <c r="Z591" i="8"/>
  <c r="Z408" i="8"/>
  <c r="Z410" i="8"/>
  <c r="Z365" i="8"/>
  <c r="Z286" i="8"/>
  <c r="Z496" i="8"/>
  <c r="V89" i="8"/>
  <c r="V93" i="8"/>
  <c r="Z613" i="8"/>
  <c r="Z628" i="8"/>
  <c r="Z622" i="8"/>
  <c r="Z617" i="8"/>
  <c r="Z606" i="8"/>
  <c r="Z607" i="8" s="1"/>
  <c r="Z549" i="8"/>
  <c r="Z554" i="8"/>
  <c r="Z560" i="8"/>
  <c r="Z538" i="8"/>
  <c r="Z539" i="8" s="1"/>
  <c r="Z475" i="8"/>
  <c r="V475" i="8"/>
  <c r="V479" i="8"/>
  <c r="Z479" i="8"/>
  <c r="V495" i="8"/>
  <c r="V483" i="8"/>
  <c r="V213" i="8"/>
  <c r="Z141" i="8"/>
  <c r="Z142" i="8" s="1"/>
  <c r="Y141" i="8"/>
  <c r="Y142" i="8" s="1"/>
  <c r="X141" i="8"/>
  <c r="V141" i="8"/>
  <c r="V142" i="8" s="1"/>
  <c r="Y230" i="8"/>
  <c r="X230" i="8"/>
  <c r="W230" i="8"/>
  <c r="V217" i="8"/>
  <c r="V219" i="8" s="1"/>
  <c r="V209" i="8"/>
  <c r="V210" i="8" s="1"/>
  <c r="Z209" i="8"/>
  <c r="Z213" i="8"/>
  <c r="K75" i="14"/>
  <c r="K76" i="14"/>
  <c r="O70" i="14"/>
  <c r="N71" i="14"/>
  <c r="Z230" i="8"/>
  <c r="Z571" i="8"/>
  <c r="Z639" i="8"/>
  <c r="P70" i="14"/>
  <c r="O71" i="14"/>
  <c r="Y286" i="8"/>
  <c r="P71" i="14"/>
  <c r="Q70" i="14"/>
  <c r="J38" i="14"/>
  <c r="J21" i="14"/>
  <c r="J20" i="14"/>
  <c r="Z334" i="9"/>
  <c r="J19" i="14"/>
  <c r="J18" i="14"/>
  <c r="J15" i="14"/>
  <c r="J14" i="14"/>
  <c r="J13" i="14"/>
  <c r="J12" i="14"/>
  <c r="J11" i="14"/>
  <c r="J10" i="14"/>
  <c r="J9" i="14"/>
  <c r="J8" i="14"/>
  <c r="J7" i="14"/>
  <c r="J6" i="14"/>
  <c r="Z315" i="9"/>
  <c r="BI315" i="9" s="1"/>
  <c r="J5" i="14"/>
  <c r="I43" i="14"/>
  <c r="I4" i="14"/>
  <c r="K4" i="14"/>
  <c r="I17" i="14"/>
  <c r="K17" i="14"/>
  <c r="Y366" i="9"/>
  <c r="Y365" i="9"/>
  <c r="Y334" i="9"/>
  <c r="Y336" i="9" s="1"/>
  <c r="Y337" i="9" s="1"/>
  <c r="Y335" i="9" s="1"/>
  <c r="Y315" i="9"/>
  <c r="Y523" i="8"/>
  <c r="Y524" i="8"/>
  <c r="Y586" i="8"/>
  <c r="Y592" i="8"/>
  <c r="Y591" i="8"/>
  <c r="Y408" i="8"/>
  <c r="Y410" i="8"/>
  <c r="Y365" i="8"/>
  <c r="X286" i="8"/>
  <c r="Y113" i="8"/>
  <c r="Y112" i="8"/>
  <c r="Y93" i="8"/>
  <c r="Y97" i="8"/>
  <c r="Y209" i="9"/>
  <c r="Y164" i="9"/>
  <c r="Y163" i="9"/>
  <c r="Y162" i="9"/>
  <c r="Y161" i="9"/>
  <c r="Y160" i="9"/>
  <c r="Y157" i="9"/>
  <c r="Y156" i="9"/>
  <c r="Y155" i="9"/>
  <c r="Y149" i="9"/>
  <c r="Y148" i="9"/>
  <c r="Y147" i="9"/>
  <c r="Y139" i="9"/>
  <c r="Y129" i="9" s="1"/>
  <c r="Y127" i="9"/>
  <c r="Y116" i="9" s="1"/>
  <c r="Y110" i="9"/>
  <c r="Y107" i="9"/>
  <c r="W40" i="9"/>
  <c r="BI40" i="9" s="1"/>
  <c r="Y13" i="9"/>
  <c r="Y15" i="9"/>
  <c r="Y19" i="9"/>
  <c r="Y26" i="9"/>
  <c r="Y57" i="8"/>
  <c r="Y61" i="8"/>
  <c r="Y8" i="9" s="1"/>
  <c r="Y65" i="8"/>
  <c r="Y36" i="8"/>
  <c r="Y40" i="8"/>
  <c r="Y44" i="8"/>
  <c r="Y48" i="8"/>
  <c r="Y639" i="8"/>
  <c r="Y622" i="8"/>
  <c r="Y628" i="8"/>
  <c r="Y606" i="8"/>
  <c r="Y617" i="8"/>
  <c r="Y571" i="8"/>
  <c r="Y560" i="8"/>
  <c r="Y554" i="8"/>
  <c r="Y549" i="8"/>
  <c r="Y538" i="8"/>
  <c r="Y539" i="8" s="1"/>
  <c r="U495" i="8"/>
  <c r="Y496" i="8"/>
  <c r="Y479" i="8"/>
  <c r="U479" i="8"/>
  <c r="U483" i="8"/>
  <c r="U475" i="8"/>
  <c r="Y475" i="8"/>
  <c r="Y456" i="8"/>
  <c r="X456" i="8"/>
  <c r="U230" i="8"/>
  <c r="Y213" i="8"/>
  <c r="U213" i="8"/>
  <c r="U217" i="8"/>
  <c r="U209" i="8"/>
  <c r="U210" i="8" s="1"/>
  <c r="Y209" i="8"/>
  <c r="U141" i="8"/>
  <c r="U142" i="8" s="1"/>
  <c r="Q71" i="14"/>
  <c r="R70" i="14"/>
  <c r="J17" i="14"/>
  <c r="Z340" i="9"/>
  <c r="Z342" i="9" s="1"/>
  <c r="BI342" i="9" s="1"/>
  <c r="J37" i="14"/>
  <c r="J4" i="14"/>
  <c r="I24" i="14"/>
  <c r="I25" i="14"/>
  <c r="Y340" i="9"/>
  <c r="Y342" i="9" s="1"/>
  <c r="X157" i="9"/>
  <c r="X156" i="9"/>
  <c r="S70" i="14"/>
  <c r="R71" i="14"/>
  <c r="Z330" i="9"/>
  <c r="AN58" i="20"/>
  <c r="O29" i="20"/>
  <c r="AD331" i="9"/>
  <c r="N29" i="20"/>
  <c r="AC331" i="9"/>
  <c r="M29" i="20"/>
  <c r="AB331" i="9"/>
  <c r="L29" i="20"/>
  <c r="AA331" i="9"/>
  <c r="K29" i="20"/>
  <c r="J29" i="20"/>
  <c r="I29" i="20"/>
  <c r="H29" i="20"/>
  <c r="G29" i="20"/>
  <c r="F29" i="20"/>
  <c r="E29" i="20"/>
  <c r="D29" i="20"/>
  <c r="D17" i="20"/>
  <c r="AD5" i="10"/>
  <c r="O3" i="20"/>
  <c r="O55" i="20" s="1"/>
  <c r="AC5" i="10"/>
  <c r="N3" i="20" s="1"/>
  <c r="N61" i="20" s="1"/>
  <c r="AB5" i="10"/>
  <c r="M3" i="20" s="1"/>
  <c r="M55" i="20" s="1"/>
  <c r="AA5" i="10"/>
  <c r="L3" i="20" s="1"/>
  <c r="Z5" i="10"/>
  <c r="K3" i="20" s="1"/>
  <c r="Y5" i="10"/>
  <c r="J3" i="20" s="1"/>
  <c r="X5" i="10"/>
  <c r="I3" i="20" s="1"/>
  <c r="W5" i="10"/>
  <c r="H3" i="20" s="1"/>
  <c r="V5" i="10"/>
  <c r="G3" i="20" s="1"/>
  <c r="U5" i="10"/>
  <c r="F3" i="20" s="1"/>
  <c r="F55" i="20" s="1"/>
  <c r="T5" i="10"/>
  <c r="E3" i="20" s="1"/>
  <c r="S5" i="10"/>
  <c r="D3" i="20" s="1"/>
  <c r="O61" i="20"/>
  <c r="AO29" i="20"/>
  <c r="AO17" i="20"/>
  <c r="AP17" i="20"/>
  <c r="AN17" i="20"/>
  <c r="AN29" i="20"/>
  <c r="AP29" i="20"/>
  <c r="T70" i="14"/>
  <c r="S71" i="14"/>
  <c r="AO58" i="20"/>
  <c r="AH3" i="20"/>
  <c r="AG3" i="20"/>
  <c r="AO2" i="20"/>
  <c r="AP2" i="20"/>
  <c r="AK2" i="20"/>
  <c r="AL2" i="20"/>
  <c r="I30" i="14"/>
  <c r="I33" i="14"/>
  <c r="I29" i="14"/>
  <c r="I31" i="14"/>
  <c r="I32" i="14"/>
  <c r="H28" i="14"/>
  <c r="H43" i="14"/>
  <c r="BF343" i="9"/>
  <c r="BF341" i="9"/>
  <c r="BF335" i="9"/>
  <c r="BF337" i="9"/>
  <c r="BH329" i="9"/>
  <c r="BG329" i="9"/>
  <c r="BF329" i="9"/>
  <c r="BH331" i="9"/>
  <c r="BG331" i="9"/>
  <c r="BF331" i="9"/>
  <c r="BF322" i="9"/>
  <c r="BF316" i="9"/>
  <c r="BH319" i="9"/>
  <c r="BG319" i="9"/>
  <c r="BH323" i="9"/>
  <c r="BG323" i="9"/>
  <c r="AQ2" i="20"/>
  <c r="AP58" i="20"/>
  <c r="T71" i="14"/>
  <c r="U70" i="14"/>
  <c r="I28" i="14"/>
  <c r="U71" i="14"/>
  <c r="V70" i="14"/>
  <c r="BD347" i="9"/>
  <c r="W70" i="14"/>
  <c r="V71" i="14"/>
  <c r="BE347" i="9"/>
  <c r="BP338" i="9"/>
  <c r="BQ338" i="9" s="1"/>
  <c r="BR338" i="9" s="1"/>
  <c r="BS338" i="9" s="1"/>
  <c r="W71" i="14"/>
  <c r="I37" i="14"/>
  <c r="H37" i="14"/>
  <c r="P37" i="14"/>
  <c r="AG332" i="9"/>
  <c r="AD332" i="9"/>
  <c r="BJ332" i="9" s="1"/>
  <c r="AF332" i="9"/>
  <c r="AE332" i="9"/>
  <c r="BK332" i="9" s="1"/>
  <c r="AC332" i="9"/>
  <c r="AB332" i="9"/>
  <c r="AA332" i="9"/>
  <c r="Y330" i="9"/>
  <c r="Y328" i="9" s="1"/>
  <c r="Y321" i="9" s="1"/>
  <c r="I44" i="14"/>
  <c r="Y332" i="9"/>
  <c r="Z332" i="9"/>
  <c r="BI332" i="9" s="1"/>
  <c r="Q37" i="14"/>
  <c r="AJ332" i="9"/>
  <c r="J44" i="14"/>
  <c r="I47" i="14"/>
  <c r="I46" i="14"/>
  <c r="X113" i="8"/>
  <c r="X112" i="8"/>
  <c r="X93" i="8"/>
  <c r="X97" i="8"/>
  <c r="W96" i="8"/>
  <c r="X96" i="8" s="1"/>
  <c r="X209" i="9"/>
  <c r="X332" i="9"/>
  <c r="W332" i="9"/>
  <c r="X330" i="9"/>
  <c r="X328" i="9" s="1"/>
  <c r="X321" i="9" s="1"/>
  <c r="H17" i="14"/>
  <c r="H4" i="14"/>
  <c r="X366" i="9"/>
  <c r="X365" i="9"/>
  <c r="X334" i="9"/>
  <c r="X336" i="9" s="1"/>
  <c r="X337" i="9" s="1"/>
  <c r="X335" i="9" s="1"/>
  <c r="X315" i="9"/>
  <c r="X57" i="9"/>
  <c r="X233" i="9"/>
  <c r="X75" i="9" s="1"/>
  <c r="X164" i="9"/>
  <c r="X163" i="9"/>
  <c r="X162" i="9"/>
  <c r="X161" i="9"/>
  <c r="X160" i="9"/>
  <c r="X155" i="9"/>
  <c r="X149" i="9"/>
  <c r="X103" i="9"/>
  <c r="X147" i="9" s="1"/>
  <c r="X139" i="9"/>
  <c r="X129" i="9" s="1"/>
  <c r="X127" i="9"/>
  <c r="X123" i="9"/>
  <c r="X110" i="9"/>
  <c r="X107" i="9"/>
  <c r="X292" i="9"/>
  <c r="X362" i="9"/>
  <c r="Y57" i="9"/>
  <c r="J46" i="14"/>
  <c r="J47" i="14"/>
  <c r="J43" i="14"/>
  <c r="X340" i="9"/>
  <c r="X342" i="9" s="1"/>
  <c r="H24" i="14"/>
  <c r="H25" i="14"/>
  <c r="H44" i="14"/>
  <c r="Y362" i="9"/>
  <c r="H47" i="14"/>
  <c r="H46" i="14"/>
  <c r="AL3" i="20"/>
  <c r="AK3" i="20"/>
  <c r="AJ3" i="20"/>
  <c r="AI3" i="20"/>
  <c r="AD461" i="8"/>
  <c r="Z52" i="10"/>
  <c r="BI52" i="10" s="1"/>
  <c r="BR340" i="9"/>
  <c r="BS340" i="9"/>
  <c r="BQ340" i="9"/>
  <c r="AJ340" i="9"/>
  <c r="Z362" i="9"/>
  <c r="Z57" i="9"/>
  <c r="AD318" i="9"/>
  <c r="AD309" i="9"/>
  <c r="AD294" i="9"/>
  <c r="AE15" i="10"/>
  <c r="AE335" i="8" s="1"/>
  <c r="AC294" i="9"/>
  <c r="AC318" i="9"/>
  <c r="AC309" i="9"/>
  <c r="AG15" i="10"/>
  <c r="AG335" i="8"/>
  <c r="AC461" i="8"/>
  <c r="AB294" i="9"/>
  <c r="AB318" i="9"/>
  <c r="AB309" i="9"/>
  <c r="AF15" i="10"/>
  <c r="AF335" i="8" s="1"/>
  <c r="AB461" i="8"/>
  <c r="AH15" i="10"/>
  <c r="AH335" i="8"/>
  <c r="AE14" i="10"/>
  <c r="BM2" i="8"/>
  <c r="BK294" i="9"/>
  <c r="BK318" i="9"/>
  <c r="BK309" i="9"/>
  <c r="AQ3" i="20"/>
  <c r="AA461" i="8"/>
  <c r="Z53" i="10"/>
  <c r="AA318" i="9"/>
  <c r="AA294" i="9"/>
  <c r="AA309" i="9"/>
  <c r="BP340" i="9"/>
  <c r="Z294" i="9"/>
  <c r="Z318" i="9"/>
  <c r="Y318" i="9"/>
  <c r="Y294" i="9"/>
  <c r="Z696" i="8"/>
  <c r="D31" i="20"/>
  <c r="D19" i="20"/>
  <c r="L31" i="20"/>
  <c r="AA329" i="9" s="1"/>
  <c r="E31" i="20"/>
  <c r="M31" i="20"/>
  <c r="AB329" i="9"/>
  <c r="F31" i="20"/>
  <c r="N31" i="20"/>
  <c r="K31" i="20"/>
  <c r="G31" i="20"/>
  <c r="O31" i="20"/>
  <c r="H31" i="20"/>
  <c r="I31" i="20"/>
  <c r="J31" i="20"/>
  <c r="AO3" i="20"/>
  <c r="BI318" i="9"/>
  <c r="BJ318" i="9"/>
  <c r="AP3" i="20"/>
  <c r="AN3" i="20"/>
  <c r="BH318" i="9"/>
  <c r="AM3" i="20"/>
  <c r="BG318" i="9"/>
  <c r="X318" i="9"/>
  <c r="X294" i="9"/>
  <c r="L12" i="20"/>
  <c r="O12" i="20"/>
  <c r="AD329" i="9"/>
  <c r="N12" i="20"/>
  <c r="AC329" i="9"/>
  <c r="F12" i="20"/>
  <c r="K12" i="20"/>
  <c r="E12" i="20"/>
  <c r="H12" i="20"/>
  <c r="I12" i="20"/>
  <c r="J12" i="20"/>
  <c r="G12" i="20"/>
  <c r="M12" i="20"/>
  <c r="P31" i="20"/>
  <c r="AP31" i="20"/>
  <c r="AN19" i="20"/>
  <c r="AP19" i="20"/>
  <c r="AO31" i="20"/>
  <c r="AO19" i="20"/>
  <c r="AN31" i="20"/>
  <c r="T461" i="8"/>
  <c r="S461" i="8"/>
  <c r="G461" i="8"/>
  <c r="U461" i="8"/>
  <c r="R461" i="8"/>
  <c r="Q461" i="8"/>
  <c r="P461" i="8"/>
  <c r="O461" i="8"/>
  <c r="N461" i="8"/>
  <c r="M461" i="8"/>
  <c r="L461" i="8"/>
  <c r="K461" i="8"/>
  <c r="J461" i="8"/>
  <c r="I461" i="8"/>
  <c r="H461" i="8"/>
  <c r="U467" i="8"/>
  <c r="T467" i="8"/>
  <c r="S467" i="8"/>
  <c r="R467" i="8"/>
  <c r="Q467" i="8"/>
  <c r="P467" i="8"/>
  <c r="O467" i="8"/>
  <c r="N467" i="8"/>
  <c r="M467" i="8"/>
  <c r="L467" i="8"/>
  <c r="K467" i="8"/>
  <c r="U465" i="8"/>
  <c r="T465" i="8"/>
  <c r="S465" i="8"/>
  <c r="R465" i="8"/>
  <c r="Q465" i="8"/>
  <c r="P465" i="8"/>
  <c r="O465" i="8"/>
  <c r="N465" i="8"/>
  <c r="M465" i="8"/>
  <c r="L465" i="8"/>
  <c r="K465" i="8"/>
  <c r="V466" i="8"/>
  <c r="V467" i="8" s="1"/>
  <c r="V464" i="8"/>
  <c r="AF285" i="8"/>
  <c r="T40" i="8"/>
  <c r="T41" i="8" s="1"/>
  <c r="T36" i="8"/>
  <c r="W33" i="8"/>
  <c r="BI46" i="10"/>
  <c r="BK509" i="8" s="1"/>
  <c r="T509" i="8"/>
  <c r="S509" i="8"/>
  <c r="R509" i="8"/>
  <c r="Q509" i="8"/>
  <c r="P509" i="8"/>
  <c r="O509" i="8"/>
  <c r="N509" i="8"/>
  <c r="M509" i="8"/>
  <c r="L509" i="8"/>
  <c r="K509" i="8"/>
  <c r="J509" i="8"/>
  <c r="I509" i="8"/>
  <c r="H509" i="8"/>
  <c r="G509" i="8"/>
  <c r="BI33" i="10"/>
  <c r="BH33" i="10"/>
  <c r="BG33" i="10"/>
  <c r="BF33" i="10"/>
  <c r="BI34" i="10"/>
  <c r="BH34" i="10"/>
  <c r="BG34" i="10"/>
  <c r="BF34" i="10"/>
  <c r="BI37" i="10"/>
  <c r="BH37" i="10"/>
  <c r="BG37" i="10"/>
  <c r="BF37" i="10"/>
  <c r="BI35" i="10"/>
  <c r="BH35" i="10"/>
  <c r="BG35" i="10"/>
  <c r="BF35" i="10"/>
  <c r="BH46" i="10"/>
  <c r="BJ509" i="8" s="1"/>
  <c r="BG46" i="10"/>
  <c r="BH509" i="8" s="1"/>
  <c r="BF46" i="10"/>
  <c r="BG509" i="8" s="1"/>
  <c r="BI49" i="10"/>
  <c r="BH49" i="10"/>
  <c r="BG49" i="10"/>
  <c r="BF49" i="10"/>
  <c r="BG52" i="10"/>
  <c r="BF52" i="10"/>
  <c r="Y53" i="10"/>
  <c r="X53" i="10"/>
  <c r="W53" i="10"/>
  <c r="V53" i="10"/>
  <c r="U53" i="10"/>
  <c r="T53" i="10"/>
  <c r="S53" i="10"/>
  <c r="R53" i="10"/>
  <c r="Q53" i="10"/>
  <c r="P53" i="10"/>
  <c r="O53" i="10"/>
  <c r="N53" i="10"/>
  <c r="M53" i="10"/>
  <c r="L53" i="10"/>
  <c r="K53" i="10"/>
  <c r="X50" i="10"/>
  <c r="W50" i="10"/>
  <c r="BI50" i="10" s="1"/>
  <c r="V50" i="10"/>
  <c r="U50" i="10"/>
  <c r="T50" i="10"/>
  <c r="S50" i="10"/>
  <c r="R50" i="10"/>
  <c r="Q50" i="10"/>
  <c r="P50" i="10"/>
  <c r="O50" i="10"/>
  <c r="N50" i="10"/>
  <c r="M50" i="10"/>
  <c r="L50" i="10"/>
  <c r="K50" i="10"/>
  <c r="X47" i="10"/>
  <c r="X510" i="8" s="1"/>
  <c r="W47" i="10"/>
  <c r="V47" i="10"/>
  <c r="V510" i="8" s="1"/>
  <c r="U47" i="10"/>
  <c r="U510" i="8" s="1"/>
  <c r="T47" i="10"/>
  <c r="T510" i="8"/>
  <c r="S47" i="10"/>
  <c r="S510" i="8"/>
  <c r="R47" i="10"/>
  <c r="R510" i="8" s="1"/>
  <c r="Q47" i="10"/>
  <c r="Q510" i="8" s="1"/>
  <c r="P47" i="10"/>
  <c r="P510" i="8"/>
  <c r="O47" i="10"/>
  <c r="N47" i="10"/>
  <c r="N510" i="8" s="1"/>
  <c r="M47" i="10"/>
  <c r="M510" i="8" s="1"/>
  <c r="L47" i="10"/>
  <c r="L510" i="8" s="1"/>
  <c r="K47" i="10"/>
  <c r="K510" i="8" s="1"/>
  <c r="J47" i="10"/>
  <c r="J510" i="8" s="1"/>
  <c r="I47" i="10"/>
  <c r="I510" i="8" s="1"/>
  <c r="H47" i="10"/>
  <c r="H510" i="8" s="1"/>
  <c r="G47" i="10"/>
  <c r="G510" i="8" s="1"/>
  <c r="X41" i="10"/>
  <c r="X199" i="8" s="1"/>
  <c r="W41" i="10"/>
  <c r="V41" i="10"/>
  <c r="U41" i="10"/>
  <c r="T41" i="10"/>
  <c r="S41" i="10"/>
  <c r="R41" i="10"/>
  <c r="Q41" i="10"/>
  <c r="P41" i="10"/>
  <c r="O41" i="10"/>
  <c r="N41" i="10"/>
  <c r="M41" i="10"/>
  <c r="L41" i="10"/>
  <c r="K41" i="10"/>
  <c r="J41" i="10"/>
  <c r="I41" i="10"/>
  <c r="H41" i="10"/>
  <c r="G41" i="10"/>
  <c r="F41" i="10"/>
  <c r="E41" i="10"/>
  <c r="D41" i="10"/>
  <c r="V39" i="10"/>
  <c r="U39" i="10"/>
  <c r="T39" i="10"/>
  <c r="S39" i="10"/>
  <c r="R39" i="10"/>
  <c r="Q39" i="10"/>
  <c r="P39" i="10"/>
  <c r="O39" i="10"/>
  <c r="N39" i="10"/>
  <c r="M39" i="10"/>
  <c r="L39" i="10"/>
  <c r="K39" i="10"/>
  <c r="J39" i="10"/>
  <c r="I39" i="10"/>
  <c r="H39" i="10"/>
  <c r="G39" i="10"/>
  <c r="F39" i="10"/>
  <c r="E39" i="10"/>
  <c r="D39" i="10"/>
  <c r="C39" i="10"/>
  <c r="C199" i="8"/>
  <c r="U40" i="10"/>
  <c r="T40" i="10"/>
  <c r="S40" i="10"/>
  <c r="BH40" i="10" s="1"/>
  <c r="R40" i="10"/>
  <c r="Q40" i="10"/>
  <c r="P40" i="10"/>
  <c r="O40" i="10"/>
  <c r="N40" i="10"/>
  <c r="N199" i="8"/>
  <c r="M40" i="10"/>
  <c r="L40" i="10"/>
  <c r="K40" i="10"/>
  <c r="J40" i="10"/>
  <c r="I40" i="10"/>
  <c r="H40" i="10"/>
  <c r="G40" i="10"/>
  <c r="F40" i="10"/>
  <c r="F199" i="8"/>
  <c r="E40" i="10"/>
  <c r="D40" i="10"/>
  <c r="D199" i="8" s="1"/>
  <c r="S43" i="10"/>
  <c r="S132" i="16" s="1"/>
  <c r="S195" i="8"/>
  <c r="R43" i="10"/>
  <c r="R132" i="16" s="1"/>
  <c r="R195" i="8"/>
  <c r="Q43" i="10"/>
  <c r="Q132" i="16" s="1"/>
  <c r="Q195" i="8"/>
  <c r="P43" i="10"/>
  <c r="O43" i="10"/>
  <c r="O132" i="16" s="1"/>
  <c r="O195" i="8"/>
  <c r="N43" i="10"/>
  <c r="N132" i="16" s="1"/>
  <c r="N195" i="8"/>
  <c r="M43" i="10"/>
  <c r="M132" i="16" s="1"/>
  <c r="M195" i="8"/>
  <c r="L43" i="10"/>
  <c r="K43" i="10"/>
  <c r="J43" i="10"/>
  <c r="I43" i="10"/>
  <c r="H43" i="10"/>
  <c r="G43" i="10"/>
  <c r="F43" i="10"/>
  <c r="F195" i="8" s="1"/>
  <c r="E43" i="10"/>
  <c r="E195" i="8" s="1"/>
  <c r="D43" i="10"/>
  <c r="D195" i="8" s="1"/>
  <c r="C43" i="10"/>
  <c r="C195" i="8" s="1"/>
  <c r="T43" i="10"/>
  <c r="V43" i="10"/>
  <c r="V132" i="16" s="1"/>
  <c r="V195" i="8"/>
  <c r="U43" i="10"/>
  <c r="W43" i="10"/>
  <c r="F337" i="8"/>
  <c r="E337" i="8"/>
  <c r="D337" i="8"/>
  <c r="C337" i="8"/>
  <c r="X215" i="8"/>
  <c r="X212" i="8"/>
  <c r="X208" i="8"/>
  <c r="AY55" i="9"/>
  <c r="G199" i="8"/>
  <c r="O199" i="8"/>
  <c r="E199" i="8"/>
  <c r="M199" i="8"/>
  <c r="U199" i="8"/>
  <c r="H199" i="8"/>
  <c r="P199" i="8"/>
  <c r="I199" i="8"/>
  <c r="Q199" i="8"/>
  <c r="J199" i="8"/>
  <c r="R199" i="8"/>
  <c r="K199" i="8"/>
  <c r="S199" i="8"/>
  <c r="L199" i="8"/>
  <c r="T199" i="8"/>
  <c r="P12" i="20"/>
  <c r="AE329" i="9"/>
  <c r="Q31" i="20"/>
  <c r="BE40" i="10"/>
  <c r="BG43" i="10"/>
  <c r="BG47" i="10"/>
  <c r="BH510" i="8" s="1"/>
  <c r="BG40" i="10"/>
  <c r="BF39" i="10"/>
  <c r="BH39" i="10"/>
  <c r="BE39" i="10"/>
  <c r="BG39" i="10"/>
  <c r="BF53" i="10"/>
  <c r="BE43" i="10"/>
  <c r="BF41" i="10"/>
  <c r="BH41" i="10"/>
  <c r="BF50" i="10"/>
  <c r="BH50" i="10"/>
  <c r="BF43" i="10"/>
  <c r="BH43" i="10"/>
  <c r="BF40" i="10"/>
  <c r="BG53" i="10"/>
  <c r="BE41" i="10"/>
  <c r="BG41" i="10"/>
  <c r="BG50" i="10"/>
  <c r="BF47" i="10"/>
  <c r="BG510" i="8" s="1"/>
  <c r="O510" i="8"/>
  <c r="BH47" i="10"/>
  <c r="BJ510" i="8" s="1"/>
  <c r="AC285" i="8"/>
  <c r="AG285" i="8" s="1"/>
  <c r="AK285" i="8" s="1"/>
  <c r="BE47" i="10"/>
  <c r="BF510" i="8" s="1"/>
  <c r="W41" i="9"/>
  <c r="BI41" i="9" s="1"/>
  <c r="K35" i="12" s="1"/>
  <c r="X26" i="9"/>
  <c r="W28" i="9"/>
  <c r="BI28" i="9" s="1"/>
  <c r="W27" i="9"/>
  <c r="BI27" i="9" s="1"/>
  <c r="X15" i="9"/>
  <c r="X13" i="9"/>
  <c r="X458" i="8"/>
  <c r="X459" i="8" s="1"/>
  <c r="T458" i="8"/>
  <c r="T459" i="8" s="1"/>
  <c r="S455" i="8"/>
  <c r="S40" i="8" s="1"/>
  <c r="S144" i="8"/>
  <c r="T204" i="8"/>
  <c r="AF409" i="8"/>
  <c r="AJ409" i="8" s="1"/>
  <c r="AN409" i="8" s="1"/>
  <c r="X410" i="8"/>
  <c r="W410" i="8"/>
  <c r="AO480" i="8"/>
  <c r="AS480" i="8" s="1"/>
  <c r="AW480" i="8" s="1"/>
  <c r="T482" i="8"/>
  <c r="X478" i="8"/>
  <c r="X481" i="8"/>
  <c r="X496" i="8"/>
  <c r="X482" i="8"/>
  <c r="X475" i="8"/>
  <c r="X479" i="8"/>
  <c r="X538" i="8"/>
  <c r="X539" i="8" s="1"/>
  <c r="X524" i="8"/>
  <c r="X523" i="8"/>
  <c r="W586" i="8"/>
  <c r="X586" i="8"/>
  <c r="X592" i="8"/>
  <c r="X591" i="8"/>
  <c r="T475" i="8"/>
  <c r="X474" i="8"/>
  <c r="T479" i="8"/>
  <c r="S494" i="8"/>
  <c r="S495" i="8" s="1"/>
  <c r="S480" i="8"/>
  <c r="S477" i="8"/>
  <c r="S479" i="8" s="1"/>
  <c r="S473" i="8"/>
  <c r="BJ473" i="8" s="1"/>
  <c r="X408" i="8"/>
  <c r="S228" i="8"/>
  <c r="S214" i="8"/>
  <c r="W215" i="8" s="1"/>
  <c r="S211" i="8"/>
  <c r="BJ211" i="8" s="1"/>
  <c r="S207" i="8"/>
  <c r="W208" i="8" s="1"/>
  <c r="S36" i="8" s="1"/>
  <c r="T217" i="8"/>
  <c r="S217" i="8" s="1"/>
  <c r="X216" i="8"/>
  <c r="X213" i="8"/>
  <c r="X79" i="8"/>
  <c r="BK79" i="8" s="1"/>
  <c r="X617" i="8"/>
  <c r="X622" i="8"/>
  <c r="X628" i="8"/>
  <c r="X639" i="8"/>
  <c r="X571" i="8"/>
  <c r="X549" i="8"/>
  <c r="X554" i="8"/>
  <c r="X560" i="8"/>
  <c r="T483" i="8"/>
  <c r="T485" i="8" s="1"/>
  <c r="T495" i="8"/>
  <c r="X364" i="8"/>
  <c r="BK364" i="8" s="1"/>
  <c r="X209" i="8"/>
  <c r="Q12" i="20"/>
  <c r="AF329" i="9"/>
  <c r="R31" i="20"/>
  <c r="AG329" i="9" s="1"/>
  <c r="S482" i="8"/>
  <c r="BJ480" i="8"/>
  <c r="W145" i="8"/>
  <c r="T229" i="8"/>
  <c r="T216" i="8"/>
  <c r="X145" i="8"/>
  <c r="T209" i="8"/>
  <c r="T210" i="8" s="1"/>
  <c r="T213" i="8"/>
  <c r="T141" i="8"/>
  <c r="T142" i="8" s="1"/>
  <c r="Y481" i="8"/>
  <c r="S31" i="20"/>
  <c r="AH329" i="9"/>
  <c r="V16" i="16"/>
  <c r="W19" i="9"/>
  <c r="W70" i="9" s="1"/>
  <c r="W286" i="8"/>
  <c r="Q35" i="12"/>
  <c r="BL695" i="8"/>
  <c r="BK695" i="8"/>
  <c r="G43" i="14"/>
  <c r="G37" i="14"/>
  <c r="W330" i="9"/>
  <c r="W328" i="9" s="1"/>
  <c r="W321" i="9" s="1"/>
  <c r="W233" i="9"/>
  <c r="W75" i="9" s="1"/>
  <c r="W209" i="9"/>
  <c r="W362" i="9"/>
  <c r="W334" i="9"/>
  <c r="W336" i="9" s="1"/>
  <c r="W337" i="9" s="1"/>
  <c r="W319" i="9"/>
  <c r="X319" i="9" s="1"/>
  <c r="W323" i="9"/>
  <c r="W315" i="9"/>
  <c r="W307" i="9"/>
  <c r="W292" i="9"/>
  <c r="G28" i="14"/>
  <c r="G4" i="14"/>
  <c r="G17" i="14"/>
  <c r="AA708" i="8"/>
  <c r="AA696" i="8" s="1"/>
  <c r="BK703" i="8"/>
  <c r="W76" i="8"/>
  <c r="W75" i="8"/>
  <c r="W63" i="8"/>
  <c r="W58" i="8"/>
  <c r="W617" i="8"/>
  <c r="W628" i="8"/>
  <c r="W622" i="8"/>
  <c r="W639" i="8"/>
  <c r="W638" i="8"/>
  <c r="W603" i="8"/>
  <c r="W535" i="8"/>
  <c r="W592" i="8"/>
  <c r="W591" i="8"/>
  <c r="W554" i="8"/>
  <c r="W560" i="8"/>
  <c r="W549" i="8"/>
  <c r="W548" i="8"/>
  <c r="W570" i="8"/>
  <c r="R570" i="8"/>
  <c r="Q570" i="8"/>
  <c r="P570" i="8"/>
  <c r="O570" i="8"/>
  <c r="N570" i="8"/>
  <c r="M570" i="8"/>
  <c r="L570" i="8"/>
  <c r="K570" i="8"/>
  <c r="J570" i="8"/>
  <c r="I570" i="8"/>
  <c r="H570" i="8"/>
  <c r="G570" i="8"/>
  <c r="F570" i="8"/>
  <c r="E570" i="8"/>
  <c r="D570" i="8"/>
  <c r="C570" i="8"/>
  <c r="W495" i="8"/>
  <c r="W482" i="8"/>
  <c r="W479" i="8"/>
  <c r="W475" i="8"/>
  <c r="W496" i="8"/>
  <c r="F495" i="8"/>
  <c r="E495" i="8"/>
  <c r="D495" i="8"/>
  <c r="C495" i="8"/>
  <c r="F485" i="8"/>
  <c r="F486" i="8" s="1"/>
  <c r="E485" i="8"/>
  <c r="E487" i="8" s="1"/>
  <c r="D485" i="8"/>
  <c r="D486" i="8" s="1"/>
  <c r="C485" i="8"/>
  <c r="C487" i="8" s="1"/>
  <c r="BL483" i="8"/>
  <c r="F482" i="8"/>
  <c r="E482" i="8"/>
  <c r="D482" i="8"/>
  <c r="C482" i="8"/>
  <c r="F481" i="8"/>
  <c r="E481" i="8"/>
  <c r="D481" i="8"/>
  <c r="C481" i="8"/>
  <c r="F479" i="8"/>
  <c r="E479" i="8"/>
  <c r="D479" i="8"/>
  <c r="C479" i="8"/>
  <c r="F478" i="8"/>
  <c r="E478" i="8"/>
  <c r="D478" i="8"/>
  <c r="C478" i="8"/>
  <c r="F473" i="8"/>
  <c r="E473" i="8"/>
  <c r="E475" i="8" s="1"/>
  <c r="D473" i="8"/>
  <c r="D475" i="8" s="1"/>
  <c r="C473" i="8"/>
  <c r="W229" i="8"/>
  <c r="W204" i="8"/>
  <c r="W209" i="8"/>
  <c r="W216" i="8"/>
  <c r="W213" i="8"/>
  <c r="BL217" i="8"/>
  <c r="W455" i="8"/>
  <c r="W458" i="8" s="1"/>
  <c r="W408" i="8"/>
  <c r="W471" i="8"/>
  <c r="G24" i="14"/>
  <c r="G25" i="14"/>
  <c r="G44" i="14"/>
  <c r="W340" i="9"/>
  <c r="W342" i="9" s="1"/>
  <c r="Y215" i="8"/>
  <c r="BK483" i="8"/>
  <c r="BK217" i="8"/>
  <c r="W122" i="8"/>
  <c r="Z215" i="8"/>
  <c r="BK480" i="8"/>
  <c r="Z481" i="8"/>
  <c r="BJ224" i="9"/>
  <c r="BI224" i="9"/>
  <c r="W113" i="8"/>
  <c r="W112" i="8"/>
  <c r="W97" i="8"/>
  <c r="W90" i="8"/>
  <c r="AP2" i="16"/>
  <c r="W524" i="8"/>
  <c r="W523" i="8"/>
  <c r="W518" i="8"/>
  <c r="W344" i="8"/>
  <c r="W6" i="8" s="1"/>
  <c r="BK6" i="8" s="1"/>
  <c r="V343" i="8"/>
  <c r="U343" i="8"/>
  <c r="T343" i="8"/>
  <c r="S343" i="8"/>
  <c r="R343" i="8"/>
  <c r="Q343" i="8"/>
  <c r="P343" i="8"/>
  <c r="O343" i="8"/>
  <c r="N343" i="8"/>
  <c r="M343" i="8"/>
  <c r="L343" i="8"/>
  <c r="K343" i="8"/>
  <c r="J343" i="8"/>
  <c r="I343" i="8"/>
  <c r="H343" i="8"/>
  <c r="G343" i="8"/>
  <c r="W342" i="8"/>
  <c r="AD708" i="8"/>
  <c r="AC708" i="8"/>
  <c r="AC709" i="8" s="1"/>
  <c r="BR703" i="8"/>
  <c r="BR712" i="8" s="1"/>
  <c r="BL703" i="8"/>
  <c r="W15" i="9"/>
  <c r="W13" i="9"/>
  <c r="W8" i="9"/>
  <c r="W5" i="9"/>
  <c r="W65" i="8"/>
  <c r="W157" i="9"/>
  <c r="W149" i="9"/>
  <c r="W155" i="9"/>
  <c r="W156" i="9"/>
  <c r="W161" i="9"/>
  <c r="W162" i="9"/>
  <c r="W163" i="9"/>
  <c r="W164" i="9"/>
  <c r="W140" i="9"/>
  <c r="W160" i="9" s="1"/>
  <c r="W139" i="9"/>
  <c r="W129" i="9" s="1"/>
  <c r="W127" i="9"/>
  <c r="W123" i="9"/>
  <c r="W110" i="9"/>
  <c r="W108" i="9" s="1"/>
  <c r="W107" i="9"/>
  <c r="W103" i="9"/>
  <c r="W147" i="9" s="1"/>
  <c r="S535" i="8"/>
  <c r="BM480" i="8"/>
  <c r="BM214" i="8"/>
  <c r="BK214" i="8"/>
  <c r="BN480" i="8"/>
  <c r="AP480" i="8"/>
  <c r="AT480" i="8" s="1"/>
  <c r="AX480" i="8" s="1"/>
  <c r="BN214" i="8"/>
  <c r="AF287" i="9"/>
  <c r="AF288" i="9" s="1"/>
  <c r="U617" i="8"/>
  <c r="V617" i="8"/>
  <c r="J617" i="8"/>
  <c r="I617" i="8"/>
  <c r="H617" i="8"/>
  <c r="G617" i="8"/>
  <c r="F617" i="8"/>
  <c r="E617" i="8"/>
  <c r="D617" i="8"/>
  <c r="C617" i="8"/>
  <c r="BK99" i="9"/>
  <c r="BK156" i="9" s="1"/>
  <c r="BL480" i="8"/>
  <c r="BL214" i="8"/>
  <c r="AJ287" i="9"/>
  <c r="AJ288" i="9" s="1"/>
  <c r="AE212" i="8"/>
  <c r="AI212" i="8"/>
  <c r="BI36" i="10"/>
  <c r="Y36" i="10"/>
  <c r="Y42" i="10" s="1"/>
  <c r="Y197" i="8" s="1"/>
  <c r="X36" i="10"/>
  <c r="W36" i="10"/>
  <c r="V36" i="10"/>
  <c r="BH36" i="10" s="1"/>
  <c r="U36" i="10"/>
  <c r="T36" i="10"/>
  <c r="S36" i="10"/>
  <c r="R36" i="10"/>
  <c r="BG36" i="10" s="1"/>
  <c r="Q36" i="10"/>
  <c r="P36" i="10"/>
  <c r="O36" i="10"/>
  <c r="N36" i="10"/>
  <c r="M36" i="10"/>
  <c r="M42" i="10" s="1"/>
  <c r="L36" i="10"/>
  <c r="K36" i="10"/>
  <c r="J36" i="10"/>
  <c r="I36" i="10"/>
  <c r="H36" i="10"/>
  <c r="I42" i="10" s="1"/>
  <c r="G36" i="10"/>
  <c r="F36" i="10"/>
  <c r="E36" i="10"/>
  <c r="D36" i="10"/>
  <c r="C36" i="10"/>
  <c r="AM287" i="9"/>
  <c r="AM288" i="9" s="1"/>
  <c r="AM289" i="9" s="1"/>
  <c r="BL99" i="9"/>
  <c r="V42" i="10"/>
  <c r="V117" i="16" s="1"/>
  <c r="W42" i="10"/>
  <c r="W197" i="8" s="1"/>
  <c r="AN287" i="9"/>
  <c r="AN288" i="9" s="1"/>
  <c r="AE343" i="8"/>
  <c r="AO287" i="9"/>
  <c r="AO288" i="9" s="1"/>
  <c r="AP289" i="9" s="1"/>
  <c r="AP293" i="9" s="1"/>
  <c r="BM99" i="9"/>
  <c r="BM156" i="9" s="1"/>
  <c r="AR287" i="9"/>
  <c r="AR288" i="9" s="1"/>
  <c r="Y309" i="9"/>
  <c r="Z309" i="9"/>
  <c r="Y696" i="8"/>
  <c r="BL696" i="8"/>
  <c r="AQ2" i="16"/>
  <c r="AR2" i="16"/>
  <c r="AS2" i="16"/>
  <c r="AT2" i="16"/>
  <c r="AU2" i="16"/>
  <c r="AV2" i="16"/>
  <c r="AP47" i="16"/>
  <c r="AP44" i="16"/>
  <c r="AP36" i="16"/>
  <c r="AP219" i="16"/>
  <c r="AP35" i="16"/>
  <c r="AP32" i="16"/>
  <c r="AP23" i="16"/>
  <c r="AD231" i="16"/>
  <c r="AC231" i="16"/>
  <c r="AB231" i="16"/>
  <c r="AA231" i="16"/>
  <c r="AD183" i="16"/>
  <c r="AC183" i="16"/>
  <c r="AB183" i="16"/>
  <c r="AA183" i="16"/>
  <c r="BJ163" i="9"/>
  <c r="BJ99" i="9"/>
  <c r="BJ156" i="9" s="1"/>
  <c r="BJ41" i="9"/>
  <c r="L35" i="12" s="1"/>
  <c r="BL300" i="8"/>
  <c r="BL80" i="8"/>
  <c r="AS287" i="9"/>
  <c r="AS288" i="9" s="1"/>
  <c r="AP210" i="16"/>
  <c r="AP228" i="16"/>
  <c r="AP216" i="16"/>
  <c r="AP227" i="16"/>
  <c r="W39" i="10"/>
  <c r="BI39" i="10" s="1"/>
  <c r="W40" i="10"/>
  <c r="BI40" i="10" s="1"/>
  <c r="BR522" i="8"/>
  <c r="BR590" i="8"/>
  <c r="BJ74" i="8"/>
  <c r="BI294" i="9"/>
  <c r="BH294" i="9"/>
  <c r="BG294" i="9"/>
  <c r="BF294" i="9"/>
  <c r="BE294" i="9"/>
  <c r="BD294" i="9"/>
  <c r="W461" i="8"/>
  <c r="X309" i="9"/>
  <c r="Y15" i="10"/>
  <c r="Y335" i="8" s="1"/>
  <c r="X461" i="8"/>
  <c r="X701" i="8"/>
  <c r="X703" i="8" s="1"/>
  <c r="X706" i="8" s="1"/>
  <c r="W309" i="9"/>
  <c r="W294" i="9"/>
  <c r="W318" i="9"/>
  <c r="W696" i="8"/>
  <c r="S108" i="16"/>
  <c r="BL2" i="8"/>
  <c r="BJ309" i="9"/>
  <c r="BJ294" i="9"/>
  <c r="V159" i="16"/>
  <c r="V156" i="16"/>
  <c r="V147" i="16"/>
  <c r="V144" i="16"/>
  <c r="V145" i="16"/>
  <c r="V135" i="16"/>
  <c r="V130" i="16"/>
  <c r="V131" i="16"/>
  <c r="V104" i="16"/>
  <c r="V47" i="16"/>
  <c r="V228" i="16"/>
  <c r="V44" i="16"/>
  <c r="V227" i="16"/>
  <c r="AN227" i="16" s="1"/>
  <c r="V40" i="16"/>
  <c r="V223" i="16"/>
  <c r="V36" i="16"/>
  <c r="V219" i="16"/>
  <c r="V35" i="16"/>
  <c r="V33" i="16"/>
  <c r="V214" i="16"/>
  <c r="V32" i="16"/>
  <c r="V30" i="16"/>
  <c r="V31" i="16"/>
  <c r="V210" i="16"/>
  <c r="V10" i="16"/>
  <c r="V6" i="16"/>
  <c r="V180" i="16"/>
  <c r="AN29" i="16"/>
  <c r="AN12" i="16"/>
  <c r="AN20" i="16"/>
  <c r="V113" i="8"/>
  <c r="BJ113" i="8" s="1"/>
  <c r="V112" i="8"/>
  <c r="V97" i="8"/>
  <c r="BJ97" i="8" s="1"/>
  <c r="V26" i="9"/>
  <c r="S340" i="9"/>
  <c r="S342" i="9" s="1"/>
  <c r="V321" i="9"/>
  <c r="V322" i="9" s="1"/>
  <c r="V318" i="9"/>
  <c r="V317" i="9" s="1"/>
  <c r="V315" i="9"/>
  <c r="BH315" i="9" s="1"/>
  <c r="V309" i="9"/>
  <c r="V366" i="9"/>
  <c r="V365" i="9"/>
  <c r="V340" i="9"/>
  <c r="V342" i="9" s="1"/>
  <c r="BH342" i="9" s="1"/>
  <c r="V334" i="9"/>
  <c r="V336" i="9" s="1"/>
  <c r="E4" i="14"/>
  <c r="D4" i="14"/>
  <c r="C4" i="14"/>
  <c r="F4" i="14"/>
  <c r="F17" i="14"/>
  <c r="V294" i="9"/>
  <c r="V209" i="9"/>
  <c r="V218" i="9"/>
  <c r="V108" i="9"/>
  <c r="U108" i="9"/>
  <c r="T108" i="9"/>
  <c r="S108" i="9"/>
  <c r="R108" i="9"/>
  <c r="Q108" i="9"/>
  <c r="P108" i="9"/>
  <c r="O108" i="9"/>
  <c r="N108" i="9"/>
  <c r="M108" i="9"/>
  <c r="L108" i="9"/>
  <c r="K108" i="9"/>
  <c r="J108" i="9"/>
  <c r="I108" i="9"/>
  <c r="H108" i="9"/>
  <c r="G108" i="9"/>
  <c r="F108" i="9"/>
  <c r="E108" i="9"/>
  <c r="D108" i="9"/>
  <c r="C108" i="9"/>
  <c r="V670" i="8"/>
  <c r="V661" i="8"/>
  <c r="V127" i="9"/>
  <c r="BH127" i="9" s="1"/>
  <c r="V164" i="9"/>
  <c r="V163" i="9"/>
  <c r="V162" i="9"/>
  <c r="V160" i="9"/>
  <c r="V157" i="9"/>
  <c r="V156" i="9"/>
  <c r="V155" i="9"/>
  <c r="V149" i="9"/>
  <c r="BH109" i="9"/>
  <c r="BG109" i="9"/>
  <c r="BF109" i="9"/>
  <c r="BE109" i="9"/>
  <c r="BD109" i="9"/>
  <c r="U162" i="9"/>
  <c r="T162" i="9"/>
  <c r="S162" i="9"/>
  <c r="R162" i="9"/>
  <c r="Q162" i="9"/>
  <c r="P162" i="9"/>
  <c r="O162" i="9"/>
  <c r="N162" i="9"/>
  <c r="M162" i="9"/>
  <c r="L162" i="9"/>
  <c r="K162" i="9"/>
  <c r="J162" i="9"/>
  <c r="I162" i="9"/>
  <c r="H162" i="9"/>
  <c r="G162" i="9"/>
  <c r="F162" i="9"/>
  <c r="E162" i="9"/>
  <c r="D162" i="9"/>
  <c r="C162" i="9"/>
  <c r="C64" i="9" s="1"/>
  <c r="V139" i="9"/>
  <c r="V123" i="9"/>
  <c r="V148" i="9" s="1"/>
  <c r="V103" i="9"/>
  <c r="V147" i="9" s="1"/>
  <c r="V34" i="9"/>
  <c r="V19" i="9"/>
  <c r="V70" i="9" s="1"/>
  <c r="V15" i="9"/>
  <c r="V13" i="9"/>
  <c r="V8" i="9"/>
  <c r="V5" i="9"/>
  <c r="V3" i="9"/>
  <c r="V637" i="8"/>
  <c r="V626" i="8"/>
  <c r="Z627" i="8" s="1"/>
  <c r="V623" i="8"/>
  <c r="V620" i="8"/>
  <c r="V647" i="8"/>
  <c r="U603" i="8"/>
  <c r="Y604" i="8" s="1"/>
  <c r="T603" i="8"/>
  <c r="X604" i="8" s="1"/>
  <c r="S603" i="8"/>
  <c r="S44" i="8" s="1"/>
  <c r="R603" i="8"/>
  <c r="Q603" i="8"/>
  <c r="P603" i="8"/>
  <c r="O603" i="8"/>
  <c r="N603" i="8"/>
  <c r="M603" i="8"/>
  <c r="V603" i="8"/>
  <c r="Z604" i="8" s="1"/>
  <c r="V592" i="8"/>
  <c r="V591" i="8"/>
  <c r="V558" i="8"/>
  <c r="V569" i="8"/>
  <c r="V570" i="8" s="1"/>
  <c r="V555" i="8"/>
  <c r="V552" i="8"/>
  <c r="V579" i="8"/>
  <c r="V549" i="8"/>
  <c r="V548" i="8"/>
  <c r="V535" i="8"/>
  <c r="V48" i="8" s="1"/>
  <c r="T535" i="8"/>
  <c r="X536" i="8" s="1"/>
  <c r="R535" i="8"/>
  <c r="Q535" i="8"/>
  <c r="P535" i="8"/>
  <c r="O535" i="8"/>
  <c r="N535" i="8"/>
  <c r="M535" i="8"/>
  <c r="L535" i="8"/>
  <c r="K535" i="8"/>
  <c r="J535" i="8"/>
  <c r="I535" i="8"/>
  <c r="H535" i="8"/>
  <c r="G535" i="8"/>
  <c r="F535" i="8"/>
  <c r="E535" i="8"/>
  <c r="D535" i="8"/>
  <c r="C535" i="8"/>
  <c r="U535" i="8"/>
  <c r="V524" i="8"/>
  <c r="V523" i="8"/>
  <c r="V395" i="8"/>
  <c r="V397" i="8" s="1"/>
  <c r="V382" i="8"/>
  <c r="V379" i="8"/>
  <c r="V374" i="8"/>
  <c r="V663" i="8" s="1"/>
  <c r="V373" i="8"/>
  <c r="U373" i="8"/>
  <c r="U358" i="8"/>
  <c r="T358" i="8"/>
  <c r="S358" i="8"/>
  <c r="R358" i="8"/>
  <c r="Q358" i="8"/>
  <c r="P358" i="8"/>
  <c r="O358" i="8"/>
  <c r="N358" i="8"/>
  <c r="M358" i="8"/>
  <c r="L358" i="8"/>
  <c r="K358" i="8"/>
  <c r="J358" i="8"/>
  <c r="I358" i="8"/>
  <c r="H358" i="8"/>
  <c r="G358" i="8"/>
  <c r="F358" i="8"/>
  <c r="E358" i="8"/>
  <c r="D358" i="8"/>
  <c r="C358" i="8"/>
  <c r="V358" i="8"/>
  <c r="V347" i="8"/>
  <c r="V340" i="8"/>
  <c r="W340" i="8" s="1"/>
  <c r="V331" i="8"/>
  <c r="V310" i="8"/>
  <c r="V297" i="8"/>
  <c r="V298" i="8" s="1"/>
  <c r="V320" i="8"/>
  <c r="V296" i="8"/>
  <c r="Z296" i="8" s="1"/>
  <c r="Z294" i="8" s="1"/>
  <c r="Z295" i="8" s="1"/>
  <c r="V292" i="8"/>
  <c r="W292" i="8" s="1"/>
  <c r="AE292" i="8"/>
  <c r="AF292" i="8" s="1"/>
  <c r="AG292" i="8" s="1"/>
  <c r="AH292" i="8" s="1"/>
  <c r="AI292" i="8" s="1"/>
  <c r="AJ292" i="8" s="1"/>
  <c r="AK292" i="8" s="1"/>
  <c r="AL292" i="8" s="1"/>
  <c r="AM292" i="8" s="1"/>
  <c r="AN292" i="8" s="1"/>
  <c r="AO292" i="8" s="1"/>
  <c r="AP292" i="8" s="1"/>
  <c r="AQ292" i="8" s="1"/>
  <c r="AR292" i="8" s="1"/>
  <c r="AS292" i="8" s="1"/>
  <c r="AT292" i="8" s="1"/>
  <c r="AU292" i="8" s="1"/>
  <c r="V54" i="8"/>
  <c r="V383" i="8"/>
  <c r="AN39" i="16"/>
  <c r="AN43" i="16"/>
  <c r="AN46" i="16"/>
  <c r="AN49" i="16"/>
  <c r="BJ409" i="8"/>
  <c r="U482" i="8"/>
  <c r="V157" i="16"/>
  <c r="V216" i="16"/>
  <c r="V12" i="16"/>
  <c r="V13" i="16"/>
  <c r="V215" i="16"/>
  <c r="V136" i="16"/>
  <c r="V148" i="16"/>
  <c r="V160" i="16"/>
  <c r="V17" i="16"/>
  <c r="AA2" i="8"/>
  <c r="AN25" i="16"/>
  <c r="F24" i="14"/>
  <c r="U458" i="8"/>
  <c r="U459" i="8" s="1"/>
  <c r="U40" i="8"/>
  <c r="U41" i="8" s="1"/>
  <c r="AC409" i="8"/>
  <c r="AG409" i="8" s="1"/>
  <c r="AK409" i="8" s="1"/>
  <c r="AO409" i="8" s="1"/>
  <c r="AS409" i="8" s="1"/>
  <c r="AW409" i="8" s="1"/>
  <c r="BK409" i="8"/>
  <c r="U496" i="8"/>
  <c r="V189" i="16"/>
  <c r="V183" i="16" s="1"/>
  <c r="V185" i="16" s="1"/>
  <c r="V186" i="16" s="1"/>
  <c r="V217" i="16"/>
  <c r="AB2" i="8"/>
  <c r="AB15" i="10"/>
  <c r="AB14" i="10"/>
  <c r="AA14" i="10"/>
  <c r="AA15" i="10"/>
  <c r="AA335" i="8"/>
  <c r="AF482" i="8"/>
  <c r="AJ471" i="8"/>
  <c r="AJ482" i="8"/>
  <c r="V482" i="8"/>
  <c r="AA471" i="8"/>
  <c r="AA482" i="8"/>
  <c r="V190" i="16"/>
  <c r="AD2" i="8"/>
  <c r="AC2" i="8"/>
  <c r="AC15" i="10"/>
  <c r="AC14" i="10"/>
  <c r="BI109" i="9"/>
  <c r="AN485" i="8"/>
  <c r="AN490" i="8" s="1"/>
  <c r="AJ478" i="8"/>
  <c r="V458" i="8"/>
  <c r="V459" i="8" s="1"/>
  <c r="V40" i="8"/>
  <c r="V41" i="8" s="1"/>
  <c r="AD15" i="10"/>
  <c r="AD14" i="10"/>
  <c r="AN471" i="8"/>
  <c r="AN482" i="8"/>
  <c r="AN478" i="8"/>
  <c r="BL81" i="8"/>
  <c r="D177" i="12" s="1"/>
  <c r="BJ109" i="9"/>
  <c r="BM81" i="8"/>
  <c r="E177" i="12" s="1"/>
  <c r="BK109" i="9"/>
  <c r="BL109" i="9"/>
  <c r="J542" i="8"/>
  <c r="I542" i="8"/>
  <c r="H542" i="8"/>
  <c r="G542" i="8"/>
  <c r="U542" i="8"/>
  <c r="T542" i="8"/>
  <c r="S542" i="8"/>
  <c r="R542" i="8"/>
  <c r="Q542" i="8"/>
  <c r="P542" i="8"/>
  <c r="O542" i="8"/>
  <c r="N542" i="8"/>
  <c r="M542" i="8"/>
  <c r="L542" i="8"/>
  <c r="K542" i="8"/>
  <c r="U382" i="8"/>
  <c r="U383" i="8" s="1"/>
  <c r="U379" i="8"/>
  <c r="U395" i="8"/>
  <c r="BM109" i="9"/>
  <c r="BM162" i="9" s="1"/>
  <c r="E17" i="14"/>
  <c r="S321" i="9"/>
  <c r="S322" i="9" s="1"/>
  <c r="S315" i="9"/>
  <c r="S334" i="9"/>
  <c r="BJ122" i="9"/>
  <c r="BK122" i="9"/>
  <c r="AR23" i="16"/>
  <c r="I23" i="16"/>
  <c r="Q23" i="16"/>
  <c r="U23" i="16"/>
  <c r="S105" i="16"/>
  <c r="AO32" i="16"/>
  <c r="Q59" i="15"/>
  <c r="Q31" i="16"/>
  <c r="AI41" i="15"/>
  <c r="AI62" i="15"/>
  <c r="AI40" i="15"/>
  <c r="AI61" i="15"/>
  <c r="AI39" i="15"/>
  <c r="AI38" i="15"/>
  <c r="AI37" i="15"/>
  <c r="AI36" i="15"/>
  <c r="AI35" i="15"/>
  <c r="AI34" i="15"/>
  <c r="AI32" i="15"/>
  <c r="AI31" i="15"/>
  <c r="AI30" i="15"/>
  <c r="AI29" i="15"/>
  <c r="AI28" i="15"/>
  <c r="AI27" i="15"/>
  <c r="AI26" i="15"/>
  <c r="AI25" i="15"/>
  <c r="AI20" i="15"/>
  <c r="AI19" i="15"/>
  <c r="AI63" i="15"/>
  <c r="AI18" i="15"/>
  <c r="AI17" i="15"/>
  <c r="AI16" i="15"/>
  <c r="AI15" i="15"/>
  <c r="AI14" i="15"/>
  <c r="AI13" i="15"/>
  <c r="AI11" i="15"/>
  <c r="AI10" i="15"/>
  <c r="AI9" i="15"/>
  <c r="AI8" i="15"/>
  <c r="AI7" i="15"/>
  <c r="AI6" i="15"/>
  <c r="AI5" i="15"/>
  <c r="AI59" i="15"/>
  <c r="AJ59" i="15"/>
  <c r="AK59" i="15"/>
  <c r="AL59" i="15"/>
  <c r="AM59" i="15"/>
  <c r="AN59" i="15"/>
  <c r="AO59" i="15"/>
  <c r="AP59" i="15"/>
  <c r="AQ59" i="15"/>
  <c r="AI2" i="15"/>
  <c r="AI71" i="15"/>
  <c r="AI72" i="15"/>
  <c r="AI73" i="15"/>
  <c r="N105" i="16"/>
  <c r="M105" i="16"/>
  <c r="L105" i="16"/>
  <c r="K105" i="16"/>
  <c r="N157" i="16"/>
  <c r="M157" i="16"/>
  <c r="L157" i="16"/>
  <c r="K157" i="16"/>
  <c r="N145" i="16"/>
  <c r="M145" i="16"/>
  <c r="L145" i="16"/>
  <c r="K145" i="16"/>
  <c r="N131" i="16"/>
  <c r="M131" i="16"/>
  <c r="L131" i="16"/>
  <c r="K131" i="16"/>
  <c r="G122" i="16"/>
  <c r="H122" i="16"/>
  <c r="I122" i="16"/>
  <c r="J122" i="16"/>
  <c r="G136" i="16"/>
  <c r="H136" i="16"/>
  <c r="I136" i="16"/>
  <c r="J136" i="16"/>
  <c r="G148" i="16"/>
  <c r="H148" i="16"/>
  <c r="I148" i="16"/>
  <c r="J148" i="16"/>
  <c r="J160" i="16"/>
  <c r="I160" i="16"/>
  <c r="H160" i="16"/>
  <c r="G160" i="16"/>
  <c r="AK4" i="16"/>
  <c r="T4" i="16"/>
  <c r="T5" i="16"/>
  <c r="X5" i="16"/>
  <c r="S4" i="16"/>
  <c r="S5" i="16"/>
  <c r="W5" i="16"/>
  <c r="R4" i="16"/>
  <c r="R5" i="16"/>
  <c r="Q4" i="16"/>
  <c r="Q5" i="16"/>
  <c r="P4" i="16"/>
  <c r="P5" i="16"/>
  <c r="O4" i="16"/>
  <c r="O5" i="16"/>
  <c r="N4" i="16"/>
  <c r="N5" i="16"/>
  <c r="M4" i="16"/>
  <c r="M5" i="16"/>
  <c r="L4" i="16"/>
  <c r="L5" i="16"/>
  <c r="K4" i="16"/>
  <c r="K5" i="16"/>
  <c r="J4" i="16"/>
  <c r="J5" i="16"/>
  <c r="I4" i="16"/>
  <c r="I5" i="16"/>
  <c r="H4" i="16"/>
  <c r="H5" i="16"/>
  <c r="G4" i="16"/>
  <c r="G5" i="16"/>
  <c r="U4" i="16"/>
  <c r="U5" i="16"/>
  <c r="Y5" i="16"/>
  <c r="Z5" i="16"/>
  <c r="AA5" i="16"/>
  <c r="AA179" i="16"/>
  <c r="AI51" i="15"/>
  <c r="AS23" i="16"/>
  <c r="AI65" i="15"/>
  <c r="AI52" i="15"/>
  <c r="AI66" i="15"/>
  <c r="AI60" i="15"/>
  <c r="AI69" i="15"/>
  <c r="AI57" i="15"/>
  <c r="AI50" i="15"/>
  <c r="AL5" i="16"/>
  <c r="AM5" i="16"/>
  <c r="AK5" i="16"/>
  <c r="R311" i="8"/>
  <c r="Q311" i="8"/>
  <c r="P311" i="8"/>
  <c r="O311" i="8"/>
  <c r="N311" i="8"/>
  <c r="M311" i="8"/>
  <c r="L311" i="8"/>
  <c r="K311" i="8"/>
  <c r="J311" i="8"/>
  <c r="I311" i="8"/>
  <c r="H311" i="8"/>
  <c r="G311" i="8"/>
  <c r="F311" i="8"/>
  <c r="E311" i="8"/>
  <c r="D311" i="8"/>
  <c r="C311" i="8"/>
  <c r="T592" i="8"/>
  <c r="S592" i="8"/>
  <c r="R592" i="8"/>
  <c r="Q592" i="8"/>
  <c r="P592" i="8"/>
  <c r="O592" i="8"/>
  <c r="N592" i="8"/>
  <c r="T591" i="8"/>
  <c r="S591" i="8"/>
  <c r="R591" i="8"/>
  <c r="Q591" i="8"/>
  <c r="P591" i="8"/>
  <c r="O591" i="8"/>
  <c r="N591" i="8"/>
  <c r="U592" i="8"/>
  <c r="U591" i="8"/>
  <c r="V33" i="15"/>
  <c r="W33" i="15"/>
  <c r="X33" i="15"/>
  <c r="Y33" i="15"/>
  <c r="Z33" i="15"/>
  <c r="V24" i="15"/>
  <c r="W24" i="15"/>
  <c r="X24" i="15"/>
  <c r="Y24" i="15"/>
  <c r="Z24" i="15"/>
  <c r="Z12" i="15"/>
  <c r="Y12" i="15"/>
  <c r="X12" i="15"/>
  <c r="W12" i="15"/>
  <c r="V12" i="15"/>
  <c r="W42" i="15"/>
  <c r="V42" i="15"/>
  <c r="AB5" i="16"/>
  <c r="AC5" i="16"/>
  <c r="AO5" i="16"/>
  <c r="AI49" i="15"/>
  <c r="AI48" i="15"/>
  <c r="Z42" i="15"/>
  <c r="Z5" i="15"/>
  <c r="Z4" i="15"/>
  <c r="Z21" i="15"/>
  <c r="Y42" i="15"/>
  <c r="Y5" i="15"/>
  <c r="Y4" i="15"/>
  <c r="Y21" i="15"/>
  <c r="AI56" i="15"/>
  <c r="AI55" i="15"/>
  <c r="AJ57" i="15"/>
  <c r="AK57" i="15"/>
  <c r="AL57" i="15"/>
  <c r="AM57" i="15"/>
  <c r="AN57" i="15"/>
  <c r="AT23" i="16"/>
  <c r="X42" i="15"/>
  <c r="X5" i="15"/>
  <c r="X4" i="15"/>
  <c r="X21" i="15"/>
  <c r="V5" i="15"/>
  <c r="V4" i="15"/>
  <c r="V21" i="15"/>
  <c r="W5" i="15"/>
  <c r="W4" i="15"/>
  <c r="W21" i="15"/>
  <c r="AJ51" i="16"/>
  <c r="AI51" i="16"/>
  <c r="AH51" i="16"/>
  <c r="AG51" i="16"/>
  <c r="T51" i="16"/>
  <c r="S51" i="16"/>
  <c r="R51" i="16"/>
  <c r="Q51" i="16"/>
  <c r="P51" i="16"/>
  <c r="O51" i="16"/>
  <c r="N51" i="16"/>
  <c r="M51" i="16"/>
  <c r="L51" i="16"/>
  <c r="K51" i="16"/>
  <c r="J51" i="16"/>
  <c r="I51" i="16"/>
  <c r="H51" i="16"/>
  <c r="G51" i="16"/>
  <c r="Z183" i="16"/>
  <c r="Y183" i="16"/>
  <c r="X183" i="16"/>
  <c r="W183" i="16"/>
  <c r="BL122" i="9"/>
  <c r="AO57" i="15"/>
  <c r="AB179" i="16"/>
  <c r="AD5" i="16"/>
  <c r="AC179" i="16"/>
  <c r="AU23" i="16"/>
  <c r="AI54" i="15"/>
  <c r="AP57" i="15"/>
  <c r="AD179" i="16"/>
  <c r="AP5" i="16"/>
  <c r="AQ5" i="16"/>
  <c r="AR5" i="16"/>
  <c r="AS5" i="16"/>
  <c r="AT5" i="16"/>
  <c r="AU5" i="16"/>
  <c r="AV5" i="16"/>
  <c r="AV23" i="16"/>
  <c r="W156" i="16"/>
  <c r="X156" i="16"/>
  <c r="Y156" i="16"/>
  <c r="AL160" i="16"/>
  <c r="U160" i="16"/>
  <c r="Y160" i="16"/>
  <c r="AC160" i="16"/>
  <c r="T160" i="16"/>
  <c r="X160" i="16"/>
  <c r="AB160" i="16"/>
  <c r="S160" i="16"/>
  <c r="W160" i="16"/>
  <c r="AA160" i="16"/>
  <c r="R160" i="16"/>
  <c r="V161" i="16"/>
  <c r="Q160" i="16"/>
  <c r="P160" i="16"/>
  <c r="O160" i="16"/>
  <c r="N160" i="16"/>
  <c r="N161" i="16"/>
  <c r="M160" i="16"/>
  <c r="M161" i="16"/>
  <c r="L160" i="16"/>
  <c r="L161" i="16"/>
  <c r="K160" i="16"/>
  <c r="K161" i="16"/>
  <c r="AM160" i="16"/>
  <c r="AL157" i="16"/>
  <c r="U157" i="16"/>
  <c r="T157" i="16"/>
  <c r="S157" i="16"/>
  <c r="R157" i="16"/>
  <c r="Q157" i="16"/>
  <c r="P157" i="16"/>
  <c r="O157" i="16"/>
  <c r="AM157" i="16"/>
  <c r="Y144" i="16"/>
  <c r="AC144" i="16"/>
  <c r="X144" i="16"/>
  <c r="AB144" i="16"/>
  <c r="W144" i="16"/>
  <c r="AA144" i="16"/>
  <c r="Z144" i="16"/>
  <c r="AD144" i="16"/>
  <c r="U148" i="16"/>
  <c r="Y148" i="16"/>
  <c r="AC148" i="16"/>
  <c r="T148" i="16"/>
  <c r="X148" i="16"/>
  <c r="AB148" i="16"/>
  <c r="S148" i="16"/>
  <c r="W148" i="16"/>
  <c r="AA148" i="16"/>
  <c r="Q148" i="16"/>
  <c r="P148" i="16"/>
  <c r="O148" i="16"/>
  <c r="N148" i="16"/>
  <c r="N149" i="16"/>
  <c r="M148" i="16"/>
  <c r="M149" i="16"/>
  <c r="L148" i="16"/>
  <c r="L149" i="16"/>
  <c r="K148" i="16"/>
  <c r="K149" i="16"/>
  <c r="R148" i="16"/>
  <c r="U145" i="16"/>
  <c r="T145" i="16"/>
  <c r="S145" i="16"/>
  <c r="R145" i="16"/>
  <c r="Q145" i="16"/>
  <c r="P145" i="16"/>
  <c r="O145" i="16"/>
  <c r="AM144" i="16"/>
  <c r="AL144" i="16"/>
  <c r="AL145" i="16"/>
  <c r="U136" i="16"/>
  <c r="Y136" i="16"/>
  <c r="AC136" i="16"/>
  <c r="T136" i="16"/>
  <c r="X136" i="16"/>
  <c r="AB136" i="16"/>
  <c r="S136" i="16"/>
  <c r="W136" i="16"/>
  <c r="AA136" i="16"/>
  <c r="R136" i="16"/>
  <c r="Q136" i="16"/>
  <c r="P136" i="16"/>
  <c r="O136" i="16"/>
  <c r="N136" i="16"/>
  <c r="N137" i="16"/>
  <c r="M136" i="16"/>
  <c r="M137" i="16"/>
  <c r="L136" i="16"/>
  <c r="L137" i="16"/>
  <c r="K136" i="16"/>
  <c r="K137" i="16"/>
  <c r="AM135" i="16"/>
  <c r="AL135" i="16"/>
  <c r="U131" i="16"/>
  <c r="T131" i="16"/>
  <c r="S131" i="16"/>
  <c r="R131" i="16"/>
  <c r="Q131" i="16"/>
  <c r="P131" i="16"/>
  <c r="O131" i="16"/>
  <c r="AM130" i="16"/>
  <c r="AL130" i="16"/>
  <c r="T122" i="16"/>
  <c r="S122" i="16"/>
  <c r="R122" i="16"/>
  <c r="Q122" i="16"/>
  <c r="P122" i="16"/>
  <c r="O122" i="16"/>
  <c r="N122" i="16"/>
  <c r="N123" i="16"/>
  <c r="M122" i="16"/>
  <c r="M123" i="16"/>
  <c r="L122" i="16"/>
  <c r="L123" i="16"/>
  <c r="K122" i="16"/>
  <c r="K123" i="16"/>
  <c r="AL121" i="16"/>
  <c r="U121" i="16"/>
  <c r="AQ57" i="15"/>
  <c r="AC156" i="16"/>
  <c r="AC159" i="16"/>
  <c r="V121" i="16"/>
  <c r="AB156" i="16"/>
  <c r="AB159" i="16"/>
  <c r="AA156" i="16"/>
  <c r="Z148" i="16"/>
  <c r="AD148" i="16"/>
  <c r="AD147" i="16"/>
  <c r="V149" i="16"/>
  <c r="AC147" i="16"/>
  <c r="AB147" i="16"/>
  <c r="AP144" i="16"/>
  <c r="AA147" i="16"/>
  <c r="Z136" i="16"/>
  <c r="AD136" i="16"/>
  <c r="V137" i="16"/>
  <c r="AL136" i="16"/>
  <c r="Z156" i="16"/>
  <c r="AN156" i="16"/>
  <c r="AN157" i="16"/>
  <c r="O123" i="16"/>
  <c r="P123" i="16"/>
  <c r="Q123" i="16"/>
  <c r="T123" i="16"/>
  <c r="R123" i="16"/>
  <c r="S123" i="16"/>
  <c r="W159" i="16"/>
  <c r="U149" i="16"/>
  <c r="U122" i="16"/>
  <c r="AM131" i="16"/>
  <c r="X159" i="16"/>
  <c r="S137" i="16"/>
  <c r="Y147" i="16"/>
  <c r="W147" i="16"/>
  <c r="X147" i="16"/>
  <c r="AM145" i="16"/>
  <c r="Q149" i="16"/>
  <c r="O149" i="16"/>
  <c r="R161" i="16"/>
  <c r="T149" i="16"/>
  <c r="Y159" i="16"/>
  <c r="S161" i="16"/>
  <c r="P161" i="16"/>
  <c r="T161" i="16"/>
  <c r="AM161" i="16"/>
  <c r="O161" i="16"/>
  <c r="U161" i="16"/>
  <c r="Q161" i="16"/>
  <c r="P149" i="16"/>
  <c r="S149" i="16"/>
  <c r="R149" i="16"/>
  <c r="AN144" i="16"/>
  <c r="O137" i="16"/>
  <c r="Q137" i="16"/>
  <c r="AM136" i="16"/>
  <c r="P137" i="16"/>
  <c r="R137" i="16"/>
  <c r="T137" i="16"/>
  <c r="U137" i="16"/>
  <c r="AL131" i="16"/>
  <c r="AO144" i="16"/>
  <c r="AA159" i="16"/>
  <c r="V122" i="16"/>
  <c r="V195" i="16"/>
  <c r="Z147" i="16"/>
  <c r="AP147" i="16"/>
  <c r="AP148" i="16"/>
  <c r="AQ144" i="16"/>
  <c r="AR144" i="16"/>
  <c r="AS144" i="16"/>
  <c r="AT144" i="16"/>
  <c r="AU144" i="16"/>
  <c r="AV144" i="16"/>
  <c r="AP145" i="16"/>
  <c r="AO156" i="16"/>
  <c r="AO157" i="16"/>
  <c r="AD156" i="16"/>
  <c r="AP156" i="16"/>
  <c r="AM137" i="16"/>
  <c r="U123" i="16"/>
  <c r="AN159" i="16"/>
  <c r="AN160" i="16"/>
  <c r="AN161" i="16"/>
  <c r="Z160" i="16"/>
  <c r="AD160" i="16"/>
  <c r="AO145" i="16"/>
  <c r="AN145" i="16"/>
  <c r="X471" i="8"/>
  <c r="V123" i="16"/>
  <c r="AD159" i="16"/>
  <c r="AP159" i="16"/>
  <c r="AP160" i="16"/>
  <c r="AP157" i="16"/>
  <c r="AQ156" i="16"/>
  <c r="AR156" i="16"/>
  <c r="AS156" i="16"/>
  <c r="AT156" i="16"/>
  <c r="AU156" i="16"/>
  <c r="AV156" i="16"/>
  <c r="Z159" i="16"/>
  <c r="AO159" i="16"/>
  <c r="AO160" i="16"/>
  <c r="BN122" i="9"/>
  <c r="AF471" i="8"/>
  <c r="E17" i="17"/>
  <c r="O17" i="17" s="1"/>
  <c r="AB471" i="8"/>
  <c r="E18" i="17" s="1"/>
  <c r="L18" i="17" s="1"/>
  <c r="AB482" i="8"/>
  <c r="X40" i="8"/>
  <c r="AP161" i="16"/>
  <c r="AO161" i="16"/>
  <c r="AQ160" i="16"/>
  <c r="AQ159" i="16"/>
  <c r="AR160" i="16"/>
  <c r="AR159" i="16"/>
  <c r="AS160" i="16"/>
  <c r="AS159" i="16"/>
  <c r="AT160" i="16"/>
  <c r="AT159" i="16"/>
  <c r="AU160" i="16"/>
  <c r="AN108" i="9"/>
  <c r="AU159" i="16"/>
  <c r="AV160" i="16"/>
  <c r="AV159" i="16"/>
  <c r="AO108" i="9"/>
  <c r="AK110" i="16"/>
  <c r="T105" i="16"/>
  <c r="R105" i="16"/>
  <c r="Q105" i="16"/>
  <c r="P105" i="16"/>
  <c r="O105" i="16"/>
  <c r="U105" i="16"/>
  <c r="AM108" i="16"/>
  <c r="AL109" i="16"/>
  <c r="AK114" i="16"/>
  <c r="AK116" i="16"/>
  <c r="AL104" i="16"/>
  <c r="BM110" i="9"/>
  <c r="BM165" i="9" s="1"/>
  <c r="AP108" i="9"/>
  <c r="J108" i="16"/>
  <c r="I108" i="16"/>
  <c r="H108" i="16"/>
  <c r="G108" i="16"/>
  <c r="AL110" i="16"/>
  <c r="AL4" i="16"/>
  <c r="AM122" i="16"/>
  <c r="AM4" i="16"/>
  <c r="AL105" i="16"/>
  <c r="AL122" i="16"/>
  <c r="AM110" i="16"/>
  <c r="AL114" i="16"/>
  <c r="AL116" i="16"/>
  <c r="AM105" i="16"/>
  <c r="AM109" i="16"/>
  <c r="AM114" i="16"/>
  <c r="AM116" i="16"/>
  <c r="AM147" i="16"/>
  <c r="AM148" i="16"/>
  <c r="AL147" i="16"/>
  <c r="AL148" i="16"/>
  <c r="S300" i="9"/>
  <c r="O300" i="9"/>
  <c r="K300" i="9"/>
  <c r="K299" i="9" s="1"/>
  <c r="J300" i="9"/>
  <c r="I300" i="9"/>
  <c r="H300" i="9"/>
  <c r="G300" i="9"/>
  <c r="F300" i="9"/>
  <c r="E300" i="9"/>
  <c r="D300" i="9"/>
  <c r="C300" i="9"/>
  <c r="V141" i="9"/>
  <c r="U297" i="8"/>
  <c r="Y297" i="8" s="1"/>
  <c r="Y299" i="8" s="1"/>
  <c r="U294" i="8"/>
  <c r="U310" i="8"/>
  <c r="U312" i="8" s="1"/>
  <c r="T320" i="8"/>
  <c r="S320" i="8"/>
  <c r="J320" i="8"/>
  <c r="I320" i="8"/>
  <c r="H320" i="8"/>
  <c r="G320" i="8"/>
  <c r="U320" i="8"/>
  <c r="BF319" i="8"/>
  <c r="BE319" i="8"/>
  <c r="T524" i="8"/>
  <c r="S524" i="8"/>
  <c r="R524" i="8"/>
  <c r="Q524" i="8"/>
  <c r="P524" i="8"/>
  <c r="O524" i="8"/>
  <c r="N524" i="8"/>
  <c r="M524" i="8"/>
  <c r="L524" i="8"/>
  <c r="K524" i="8"/>
  <c r="J524" i="8"/>
  <c r="I524" i="8"/>
  <c r="H524" i="8"/>
  <c r="G524" i="8"/>
  <c r="T523" i="8"/>
  <c r="S523" i="8"/>
  <c r="R523" i="8"/>
  <c r="Q523" i="8"/>
  <c r="P523" i="8"/>
  <c r="P522" i="8" s="1"/>
  <c r="O523" i="8"/>
  <c r="N523" i="8"/>
  <c r="M523" i="8"/>
  <c r="L523" i="8"/>
  <c r="L522" i="8" s="1"/>
  <c r="K523" i="8"/>
  <c r="J523" i="8"/>
  <c r="I523" i="8"/>
  <c r="H523" i="8"/>
  <c r="G523" i="8"/>
  <c r="U523" i="8"/>
  <c r="BF578" i="8"/>
  <c r="BE578" i="8"/>
  <c r="U647" i="8"/>
  <c r="T647" i="8"/>
  <c r="S647" i="8"/>
  <c r="T579" i="8"/>
  <c r="S579" i="8"/>
  <c r="U579" i="8"/>
  <c r="P108" i="16"/>
  <c r="V108" i="16"/>
  <c r="V111" i="16"/>
  <c r="V114" i="16"/>
  <c r="AM123" i="16"/>
  <c r="M114" i="16"/>
  <c r="G114" i="16"/>
  <c r="J114" i="16"/>
  <c r="H114" i="16"/>
  <c r="I114" i="16"/>
  <c r="K108" i="16"/>
  <c r="K109" i="16"/>
  <c r="N114" i="16"/>
  <c r="L108" i="16"/>
  <c r="L109" i="16"/>
  <c r="N108" i="16"/>
  <c r="N109" i="16"/>
  <c r="M108" i="16"/>
  <c r="M109" i="16"/>
  <c r="L114" i="16"/>
  <c r="K114" i="16"/>
  <c r="AM149" i="16"/>
  <c r="S114" i="16"/>
  <c r="U114" i="16"/>
  <c r="U108" i="16"/>
  <c r="O114" i="16"/>
  <c r="O409" i="8"/>
  <c r="S410" i="8" s="1"/>
  <c r="T108" i="16"/>
  <c r="O108" i="16"/>
  <c r="Q114" i="16"/>
  <c r="Q409" i="8"/>
  <c r="U410" i="8" s="1"/>
  <c r="P114" i="16"/>
  <c r="P409" i="8"/>
  <c r="T410" i="8" s="1"/>
  <c r="Q108" i="16"/>
  <c r="T114" i="16"/>
  <c r="R108" i="16"/>
  <c r="R114" i="16"/>
  <c r="R409" i="8"/>
  <c r="V410" i="8" s="1"/>
  <c r="AL115" i="16"/>
  <c r="AM115" i="16"/>
  <c r="S23" i="16"/>
  <c r="S210" i="16"/>
  <c r="T23" i="16"/>
  <c r="AM23" i="16"/>
  <c r="AO23" i="16"/>
  <c r="AL23" i="16"/>
  <c r="AK23" i="16"/>
  <c r="AO47" i="16"/>
  <c r="AO44" i="16"/>
  <c r="AO36" i="16"/>
  <c r="T73" i="15"/>
  <c r="X73" i="15"/>
  <c r="S73" i="15"/>
  <c r="W73" i="15"/>
  <c r="R73" i="15"/>
  <c r="V73" i="15"/>
  <c r="Z73" i="15"/>
  <c r="Q73" i="15"/>
  <c r="P73" i="15"/>
  <c r="O73" i="15"/>
  <c r="N73" i="15"/>
  <c r="M73" i="15"/>
  <c r="L73" i="15"/>
  <c r="K73" i="15"/>
  <c r="J73" i="15"/>
  <c r="I73" i="15"/>
  <c r="H73" i="15"/>
  <c r="G73" i="15"/>
  <c r="T72" i="15"/>
  <c r="X72" i="15"/>
  <c r="S72" i="15"/>
  <c r="W72" i="15"/>
  <c r="R72" i="15"/>
  <c r="V72" i="15"/>
  <c r="Z72" i="15"/>
  <c r="Q72" i="15"/>
  <c r="P72" i="15"/>
  <c r="O72" i="15"/>
  <c r="N72" i="15"/>
  <c r="M72" i="15"/>
  <c r="L72" i="15"/>
  <c r="K72" i="15"/>
  <c r="J72" i="15"/>
  <c r="I72" i="15"/>
  <c r="H72" i="15"/>
  <c r="G72" i="15"/>
  <c r="T71" i="15"/>
  <c r="X71" i="15"/>
  <c r="S71" i="15"/>
  <c r="W71" i="15"/>
  <c r="R71" i="15"/>
  <c r="V71" i="15"/>
  <c r="Q71" i="15"/>
  <c r="P71" i="15"/>
  <c r="O71" i="15"/>
  <c r="N71" i="15"/>
  <c r="M71" i="15"/>
  <c r="L71" i="15"/>
  <c r="K71" i="15"/>
  <c r="J71" i="15"/>
  <c r="I71" i="15"/>
  <c r="H71" i="15"/>
  <c r="G71" i="15"/>
  <c r="U73" i="15"/>
  <c r="Y73" i="15"/>
  <c r="U72" i="15"/>
  <c r="Y72" i="15"/>
  <c r="U71" i="15"/>
  <c r="Y71" i="15"/>
  <c r="U66" i="15"/>
  <c r="T66" i="15"/>
  <c r="S66" i="15"/>
  <c r="R66" i="15"/>
  <c r="Q66" i="15"/>
  <c r="P66" i="15"/>
  <c r="O66" i="15"/>
  <c r="N66" i="15"/>
  <c r="L66" i="15"/>
  <c r="K66" i="15"/>
  <c r="J66" i="15"/>
  <c r="I66" i="15"/>
  <c r="H66" i="15"/>
  <c r="G66" i="15"/>
  <c r="M66" i="15"/>
  <c r="T65" i="15"/>
  <c r="S65" i="15"/>
  <c r="R65" i="15"/>
  <c r="Q65" i="15"/>
  <c r="P65" i="15"/>
  <c r="O65" i="15"/>
  <c r="N65" i="15"/>
  <c r="M65" i="15"/>
  <c r="L65" i="15"/>
  <c r="K65" i="15"/>
  <c r="J65" i="15"/>
  <c r="I65" i="15"/>
  <c r="H65" i="15"/>
  <c r="G65" i="15"/>
  <c r="T63" i="15"/>
  <c r="S63" i="15"/>
  <c r="R63" i="15"/>
  <c r="Q63" i="15"/>
  <c r="P63" i="15"/>
  <c r="O63" i="15"/>
  <c r="N63" i="15"/>
  <c r="M63" i="15"/>
  <c r="L63" i="15"/>
  <c r="K63" i="15"/>
  <c r="J63" i="15"/>
  <c r="I63" i="15"/>
  <c r="H63" i="15"/>
  <c r="G63" i="15"/>
  <c r="T62" i="15"/>
  <c r="S62" i="15"/>
  <c r="R62" i="15"/>
  <c r="Q62" i="15"/>
  <c r="P62" i="15"/>
  <c r="O62" i="15"/>
  <c r="N62" i="15"/>
  <c r="M62" i="15"/>
  <c r="L62" i="15"/>
  <c r="K62" i="15"/>
  <c r="J62" i="15"/>
  <c r="I62" i="15"/>
  <c r="H62" i="15"/>
  <c r="G62" i="15"/>
  <c r="S61" i="15"/>
  <c r="R61" i="15"/>
  <c r="Q61" i="15"/>
  <c r="P61" i="15"/>
  <c r="O61" i="15"/>
  <c r="N61" i="15"/>
  <c r="M61" i="15"/>
  <c r="L61" i="15"/>
  <c r="K61" i="15"/>
  <c r="J61" i="15"/>
  <c r="I61" i="15"/>
  <c r="H61" i="15"/>
  <c r="G61" i="15"/>
  <c r="T59" i="15"/>
  <c r="S59" i="15"/>
  <c r="R59" i="15"/>
  <c r="R31" i="16"/>
  <c r="P59" i="15"/>
  <c r="P31" i="16"/>
  <c r="O59" i="15"/>
  <c r="O31" i="16"/>
  <c r="N59" i="15"/>
  <c r="N31" i="16"/>
  <c r="M59" i="15"/>
  <c r="M31" i="16"/>
  <c r="L59" i="15"/>
  <c r="K59" i="15"/>
  <c r="J59" i="15"/>
  <c r="J31" i="16"/>
  <c r="I59" i="15"/>
  <c r="H59" i="15"/>
  <c r="H31" i="16"/>
  <c r="G59" i="15"/>
  <c r="G31" i="16"/>
  <c r="T57" i="15"/>
  <c r="S57" i="15"/>
  <c r="R57" i="15"/>
  <c r="Q57" i="15"/>
  <c r="Q56" i="15"/>
  <c r="P57" i="15"/>
  <c r="O57" i="15"/>
  <c r="N57" i="15"/>
  <c r="M57" i="15"/>
  <c r="L57" i="15"/>
  <c r="K57" i="15"/>
  <c r="J57" i="15"/>
  <c r="I57" i="15"/>
  <c r="H57" i="15"/>
  <c r="G57" i="15"/>
  <c r="U65" i="15"/>
  <c r="U63" i="15"/>
  <c r="U62" i="15"/>
  <c r="U61" i="15"/>
  <c r="U59" i="15"/>
  <c r="U57" i="15"/>
  <c r="U52" i="15"/>
  <c r="U51" i="15"/>
  <c r="U50" i="15"/>
  <c r="S12" i="15"/>
  <c r="S50" i="15"/>
  <c r="S52" i="15"/>
  <c r="R52" i="15"/>
  <c r="Q52" i="15"/>
  <c r="P52" i="15"/>
  <c r="O52" i="15"/>
  <c r="N52" i="15"/>
  <c r="M52" i="15"/>
  <c r="L52" i="15"/>
  <c r="K52" i="15"/>
  <c r="J52" i="15"/>
  <c r="I52" i="15"/>
  <c r="H52" i="15"/>
  <c r="G52" i="15"/>
  <c r="S51" i="15"/>
  <c r="R51" i="15"/>
  <c r="Q51" i="15"/>
  <c r="P51" i="15"/>
  <c r="O51" i="15"/>
  <c r="N51" i="15"/>
  <c r="M51" i="15"/>
  <c r="L51" i="15"/>
  <c r="K51" i="15"/>
  <c r="J51" i="15"/>
  <c r="I51" i="15"/>
  <c r="H51" i="15"/>
  <c r="G51" i="15"/>
  <c r="R50" i="15"/>
  <c r="Q50" i="15"/>
  <c r="P50" i="15"/>
  <c r="O50" i="15"/>
  <c r="N50" i="15"/>
  <c r="M50" i="15"/>
  <c r="L50" i="15"/>
  <c r="K50" i="15"/>
  <c r="J50" i="15"/>
  <c r="I50" i="15"/>
  <c r="H50" i="15"/>
  <c r="G50" i="15"/>
  <c r="U12" i="15"/>
  <c r="AI12" i="15"/>
  <c r="T12" i="15"/>
  <c r="R12" i="15"/>
  <c r="Q12" i="15"/>
  <c r="P12" i="15"/>
  <c r="O12" i="15"/>
  <c r="N12" i="15"/>
  <c r="M12" i="15"/>
  <c r="L12" i="15"/>
  <c r="K12" i="15"/>
  <c r="J12" i="15"/>
  <c r="I12" i="15"/>
  <c r="H12" i="15"/>
  <c r="G12" i="15"/>
  <c r="T40" i="15"/>
  <c r="T61" i="15"/>
  <c r="T51" i="15"/>
  <c r="T52" i="15"/>
  <c r="U33" i="15"/>
  <c r="AI33" i="15"/>
  <c r="U24" i="15"/>
  <c r="AI24" i="15"/>
  <c r="U4" i="15"/>
  <c r="AI4" i="15"/>
  <c r="U52" i="16"/>
  <c r="V52" i="16"/>
  <c r="U53" i="16"/>
  <c r="V53" i="16"/>
  <c r="U29" i="16"/>
  <c r="R17" i="16"/>
  <c r="Q17" i="16"/>
  <c r="P17" i="16"/>
  <c r="O17" i="16"/>
  <c r="M17" i="16"/>
  <c r="L17" i="16"/>
  <c r="K17" i="16"/>
  <c r="J17" i="16"/>
  <c r="H17" i="16"/>
  <c r="G17" i="16"/>
  <c r="V109" i="16"/>
  <c r="V115" i="16"/>
  <c r="P56" i="15"/>
  <c r="M49" i="15"/>
  <c r="M48" i="15"/>
  <c r="H60" i="15"/>
  <c r="P60" i="15"/>
  <c r="U60" i="15"/>
  <c r="U49" i="15"/>
  <c r="U48" i="15"/>
  <c r="K49" i="15"/>
  <c r="K48" i="15"/>
  <c r="I49" i="15"/>
  <c r="Q49" i="15"/>
  <c r="Q48" i="15"/>
  <c r="H56" i="15"/>
  <c r="S49" i="15"/>
  <c r="N49" i="15"/>
  <c r="N48" i="15"/>
  <c r="J49" i="15"/>
  <c r="J48" i="15"/>
  <c r="R49" i="15"/>
  <c r="R48" i="15"/>
  <c r="O49" i="15"/>
  <c r="O48" i="15"/>
  <c r="G49" i="15"/>
  <c r="G48" i="15"/>
  <c r="H49" i="15"/>
  <c r="H48" i="15"/>
  <c r="P49" i="15"/>
  <c r="P48" i="15"/>
  <c r="L49" i="15"/>
  <c r="L48" i="15"/>
  <c r="T60" i="15"/>
  <c r="I60" i="15"/>
  <c r="Q60" i="15"/>
  <c r="Q55" i="15"/>
  <c r="K60" i="15"/>
  <c r="S60" i="15"/>
  <c r="O56" i="15"/>
  <c r="G60" i="15"/>
  <c r="J60" i="15"/>
  <c r="R60" i="15"/>
  <c r="P109" i="16"/>
  <c r="O60" i="15"/>
  <c r="M60" i="15"/>
  <c r="U56" i="15"/>
  <c r="U55" i="15"/>
  <c r="U31" i="16"/>
  <c r="I56" i="15"/>
  <c r="I31" i="16"/>
  <c r="K56" i="15"/>
  <c r="K31" i="16"/>
  <c r="M56" i="15"/>
  <c r="N56" i="15"/>
  <c r="W53" i="16"/>
  <c r="S56" i="15"/>
  <c r="S31" i="16"/>
  <c r="G56" i="15"/>
  <c r="J56" i="15"/>
  <c r="R56" i="15"/>
  <c r="L56" i="15"/>
  <c r="L31" i="16"/>
  <c r="T56" i="15"/>
  <c r="T31" i="16"/>
  <c r="N60" i="15"/>
  <c r="K18" i="16"/>
  <c r="Q18" i="16"/>
  <c r="L18" i="16"/>
  <c r="O18" i="16"/>
  <c r="P18" i="16"/>
  <c r="Q109" i="16"/>
  <c r="P115" i="16"/>
  <c r="Q115" i="16"/>
  <c r="O109" i="16"/>
  <c r="K115" i="16"/>
  <c r="L115" i="16"/>
  <c r="O115" i="16"/>
  <c r="N115" i="16"/>
  <c r="M115" i="16"/>
  <c r="U51" i="16"/>
  <c r="V69" i="15"/>
  <c r="Z71" i="15"/>
  <c r="Z69" i="15"/>
  <c r="W69" i="15"/>
  <c r="Y69" i="15"/>
  <c r="X69" i="15"/>
  <c r="R109" i="16"/>
  <c r="R115" i="16"/>
  <c r="T115" i="16"/>
  <c r="U109" i="16"/>
  <c r="T109" i="16"/>
  <c r="U115" i="16"/>
  <c r="S115" i="16"/>
  <c r="T7" i="16"/>
  <c r="AO147" i="16"/>
  <c r="W33" i="16"/>
  <c r="V29" i="16"/>
  <c r="W30" i="16"/>
  <c r="U7" i="16"/>
  <c r="P69" i="15"/>
  <c r="L69" i="15"/>
  <c r="T69" i="15"/>
  <c r="H69" i="15"/>
  <c r="I17" i="16"/>
  <c r="M18" i="16"/>
  <c r="J69" i="15"/>
  <c r="R69" i="15"/>
  <c r="N69" i="15"/>
  <c r="U69" i="15"/>
  <c r="S7" i="16"/>
  <c r="K69" i="15"/>
  <c r="S69" i="15"/>
  <c r="I69" i="15"/>
  <c r="Q69" i="15"/>
  <c r="G69" i="15"/>
  <c r="O69" i="15"/>
  <c r="M69" i="15"/>
  <c r="L60" i="15"/>
  <c r="H55" i="15"/>
  <c r="U42" i="15"/>
  <c r="AI42" i="15"/>
  <c r="U21" i="15"/>
  <c r="R7" i="16"/>
  <c r="S17" i="16"/>
  <c r="U17" i="16"/>
  <c r="T17" i="16"/>
  <c r="N17" i="16"/>
  <c r="N18" i="16"/>
  <c r="U12" i="16"/>
  <c r="BN110" i="9"/>
  <c r="P55" i="15"/>
  <c r="AO148" i="16"/>
  <c r="AP149" i="16"/>
  <c r="K55" i="15"/>
  <c r="K54" i="15"/>
  <c r="K46" i="15"/>
  <c r="N55" i="15"/>
  <c r="N54" i="15"/>
  <c r="S46" i="15"/>
  <c r="N46" i="15"/>
  <c r="U54" i="15"/>
  <c r="R46" i="15"/>
  <c r="J55" i="15"/>
  <c r="J54" i="15"/>
  <c r="I46" i="15"/>
  <c r="S48" i="15"/>
  <c r="M46" i="15"/>
  <c r="I48" i="15"/>
  <c r="Q46" i="15"/>
  <c r="P46" i="15"/>
  <c r="J46" i="15"/>
  <c r="G55" i="15"/>
  <c r="G54" i="15"/>
  <c r="H46" i="15"/>
  <c r="S55" i="15"/>
  <c r="O46" i="15"/>
  <c r="T55" i="15"/>
  <c r="I55" i="15"/>
  <c r="R55" i="15"/>
  <c r="R54" i="15"/>
  <c r="O55" i="15"/>
  <c r="O54" i="15"/>
  <c r="L46" i="15"/>
  <c r="X53" i="16"/>
  <c r="M55" i="15"/>
  <c r="M54" i="15"/>
  <c r="U43" i="15"/>
  <c r="AI43" i="15"/>
  <c r="AI21" i="15"/>
  <c r="L55" i="15"/>
  <c r="L54" i="15"/>
  <c r="W52" i="16"/>
  <c r="X17" i="16"/>
  <c r="AB17" i="16"/>
  <c r="T18" i="16"/>
  <c r="U18" i="16"/>
  <c r="Y17" i="16"/>
  <c r="AC17" i="16"/>
  <c r="S18" i="16"/>
  <c r="W17" i="16"/>
  <c r="AA17" i="16"/>
  <c r="R18" i="16"/>
  <c r="V51" i="16"/>
  <c r="V204" i="16"/>
  <c r="AN148" i="16"/>
  <c r="AN149" i="16"/>
  <c r="W29" i="16"/>
  <c r="AO35" i="16"/>
  <c r="X30" i="16"/>
  <c r="X33" i="16"/>
  <c r="U13" i="16"/>
  <c r="H54" i="15"/>
  <c r="P54" i="15"/>
  <c r="Q54" i="15"/>
  <c r="U20" i="16"/>
  <c r="I54" i="15"/>
  <c r="V216" i="8"/>
  <c r="V204" i="8"/>
  <c r="Y53" i="16"/>
  <c r="W51" i="16"/>
  <c r="Y33" i="16"/>
  <c r="Y30" i="16"/>
  <c r="U21" i="16"/>
  <c r="U56" i="16"/>
  <c r="S54" i="15"/>
  <c r="X52" i="16"/>
  <c r="AQ148" i="16"/>
  <c r="AO149" i="16"/>
  <c r="Y13" i="16"/>
  <c r="AC13" i="16"/>
  <c r="U39" i="16"/>
  <c r="X29" i="16"/>
  <c r="U25" i="16"/>
  <c r="U60" i="16"/>
  <c r="V36" i="8"/>
  <c r="V37" i="8" s="1"/>
  <c r="BJ141" i="9"/>
  <c r="BJ161" i="9" s="1"/>
  <c r="Y29" i="16"/>
  <c r="Z30" i="16"/>
  <c r="AA30" i="16"/>
  <c r="Z33" i="16"/>
  <c r="Z53" i="16"/>
  <c r="AA53" i="16"/>
  <c r="Y52" i="16"/>
  <c r="X51" i="16"/>
  <c r="U26" i="16"/>
  <c r="U61" i="16"/>
  <c r="AR148" i="16"/>
  <c r="AQ147" i="16"/>
  <c r="U57" i="16"/>
  <c r="U41" i="16"/>
  <c r="U43" i="16"/>
  <c r="U46" i="16"/>
  <c r="U49" i="16"/>
  <c r="AO30" i="16"/>
  <c r="AO215" i="16"/>
  <c r="Z52" i="16"/>
  <c r="AA52" i="16"/>
  <c r="AB52" i="16"/>
  <c r="AB30" i="16"/>
  <c r="AA33" i="16"/>
  <c r="AA29" i="16"/>
  <c r="AB53" i="16"/>
  <c r="Y51" i="16"/>
  <c r="AO33" i="16"/>
  <c r="Z29" i="16"/>
  <c r="AO29" i="16"/>
  <c r="AO53" i="16"/>
  <c r="AS148" i="16"/>
  <c r="AR147" i="16"/>
  <c r="U6" i="8"/>
  <c r="U5" i="8"/>
  <c r="AO52" i="16"/>
  <c r="AO51" i="16"/>
  <c r="AO204" i="16"/>
  <c r="AB51" i="16"/>
  <c r="AC52" i="16"/>
  <c r="AD52" i="16"/>
  <c r="AP52" i="16"/>
  <c r="AA51" i="16"/>
  <c r="AC53" i="16"/>
  <c r="Z51" i="16"/>
  <c r="AB33" i="16"/>
  <c r="AC30" i="16"/>
  <c r="AT148" i="16"/>
  <c r="AS147" i="16"/>
  <c r="U315" i="9"/>
  <c r="U321" i="9"/>
  <c r="U322" i="9" s="1"/>
  <c r="U340" i="9"/>
  <c r="U342" i="9" s="1"/>
  <c r="U334" i="9"/>
  <c r="U336" i="9" s="1"/>
  <c r="U337" i="9" s="1"/>
  <c r="U335" i="9" s="1"/>
  <c r="E24" i="14"/>
  <c r="E3" i="14"/>
  <c r="F3" i="14"/>
  <c r="G3" i="14"/>
  <c r="H3" i="14"/>
  <c r="I3" i="14"/>
  <c r="J3" i="14"/>
  <c r="K3" i="14"/>
  <c r="U209" i="9"/>
  <c r="G140" i="9"/>
  <c r="G160" i="9" s="1"/>
  <c r="F140" i="9"/>
  <c r="BD140" i="9" s="1"/>
  <c r="BD160" i="9" s="1"/>
  <c r="E140" i="9"/>
  <c r="E160" i="9" s="1"/>
  <c r="D140" i="9"/>
  <c r="D160" i="9" s="1"/>
  <c r="C140" i="9"/>
  <c r="C160" i="9" s="1"/>
  <c r="H140" i="9"/>
  <c r="H160" i="9" s="1"/>
  <c r="I140" i="9"/>
  <c r="I160" i="9" s="1"/>
  <c r="Q165" i="9"/>
  <c r="P165" i="9"/>
  <c r="O165" i="9"/>
  <c r="M165" i="9"/>
  <c r="L165" i="9"/>
  <c r="K165" i="9"/>
  <c r="J165" i="9"/>
  <c r="I165" i="9"/>
  <c r="H165" i="9"/>
  <c r="G165" i="9"/>
  <c r="F165" i="9"/>
  <c r="E165" i="9"/>
  <c r="D165" i="9"/>
  <c r="T164" i="9"/>
  <c r="S164" i="9"/>
  <c r="R164" i="9"/>
  <c r="Q164" i="9"/>
  <c r="P164" i="9"/>
  <c r="O164" i="9"/>
  <c r="N164" i="9"/>
  <c r="M164" i="9"/>
  <c r="L164" i="9"/>
  <c r="K164" i="9"/>
  <c r="J164" i="9"/>
  <c r="I164" i="9"/>
  <c r="H164" i="9"/>
  <c r="G164" i="9"/>
  <c r="F164" i="9"/>
  <c r="E164" i="9"/>
  <c r="D164" i="9"/>
  <c r="C164" i="9"/>
  <c r="T163" i="9"/>
  <c r="S163" i="9"/>
  <c r="R163" i="9"/>
  <c r="Q163" i="9"/>
  <c r="P163" i="9"/>
  <c r="O163" i="9"/>
  <c r="N163" i="9"/>
  <c r="M163" i="9"/>
  <c r="L163" i="9"/>
  <c r="K163" i="9"/>
  <c r="J163" i="9"/>
  <c r="I163" i="9"/>
  <c r="H163" i="9"/>
  <c r="G163" i="9"/>
  <c r="F163" i="9"/>
  <c r="E163" i="9"/>
  <c r="D163" i="9"/>
  <c r="C163" i="9"/>
  <c r="T161" i="9"/>
  <c r="S161" i="9"/>
  <c r="R161" i="9"/>
  <c r="Q161" i="9"/>
  <c r="P161" i="9"/>
  <c r="O161" i="9"/>
  <c r="N161" i="9"/>
  <c r="M161" i="9"/>
  <c r="L161" i="9"/>
  <c r="K161" i="9"/>
  <c r="J161" i="9"/>
  <c r="I161" i="9"/>
  <c r="H161" i="9"/>
  <c r="G161" i="9"/>
  <c r="F161" i="9"/>
  <c r="E161" i="9"/>
  <c r="D161" i="9"/>
  <c r="C161" i="9"/>
  <c r="T160" i="9"/>
  <c r="S160" i="9"/>
  <c r="R160" i="9"/>
  <c r="Q160" i="9"/>
  <c r="P160" i="9"/>
  <c r="O160" i="9"/>
  <c r="N160" i="9"/>
  <c r="M160" i="9"/>
  <c r="L160" i="9"/>
  <c r="K160" i="9"/>
  <c r="J160" i="9"/>
  <c r="T157" i="9"/>
  <c r="S157" i="9"/>
  <c r="R157" i="9"/>
  <c r="Q157" i="9"/>
  <c r="P157" i="9"/>
  <c r="O157" i="9"/>
  <c r="N157" i="9"/>
  <c r="M157" i="9"/>
  <c r="L157" i="9"/>
  <c r="K157" i="9"/>
  <c r="J157" i="9"/>
  <c r="I157" i="9"/>
  <c r="H157" i="9"/>
  <c r="G157" i="9"/>
  <c r="F157" i="9"/>
  <c r="E157" i="9"/>
  <c r="D157" i="9"/>
  <c r="C157" i="9"/>
  <c r="T156" i="9"/>
  <c r="S156" i="9"/>
  <c r="R156" i="9"/>
  <c r="Q156" i="9"/>
  <c r="P156" i="9"/>
  <c r="O156" i="9"/>
  <c r="N156" i="9"/>
  <c r="M156" i="9"/>
  <c r="L156" i="9"/>
  <c r="K156" i="9"/>
  <c r="J156" i="9"/>
  <c r="I156" i="9"/>
  <c r="H156" i="9"/>
  <c r="G156" i="9"/>
  <c r="F156" i="9"/>
  <c r="E156" i="9"/>
  <c r="D156" i="9"/>
  <c r="C156" i="9"/>
  <c r="T155" i="9"/>
  <c r="S155" i="9"/>
  <c r="R155" i="9"/>
  <c r="Q155" i="9"/>
  <c r="P155" i="9"/>
  <c r="O155" i="9"/>
  <c r="N155" i="9"/>
  <c r="M155" i="9"/>
  <c r="L155" i="9"/>
  <c r="K155" i="9"/>
  <c r="J155" i="9"/>
  <c r="I155" i="9"/>
  <c r="H155" i="9"/>
  <c r="G155" i="9"/>
  <c r="F155" i="9"/>
  <c r="E155" i="9"/>
  <c r="D155" i="9"/>
  <c r="C155" i="9"/>
  <c r="T149" i="9"/>
  <c r="S149" i="9"/>
  <c r="R149" i="9"/>
  <c r="Q149" i="9"/>
  <c r="P149" i="9"/>
  <c r="O149" i="9"/>
  <c r="N149" i="9"/>
  <c r="M149" i="9"/>
  <c r="L149" i="9"/>
  <c r="K149" i="9"/>
  <c r="J149" i="9"/>
  <c r="I149" i="9"/>
  <c r="H149" i="9"/>
  <c r="G149" i="9"/>
  <c r="F149" i="9"/>
  <c r="E149" i="9"/>
  <c r="D149" i="9"/>
  <c r="C149" i="9"/>
  <c r="T148" i="9"/>
  <c r="S148" i="9"/>
  <c r="R148" i="9"/>
  <c r="Q148" i="9"/>
  <c r="P148" i="9"/>
  <c r="O148" i="9"/>
  <c r="N148" i="9"/>
  <c r="M148" i="9"/>
  <c r="L148" i="9"/>
  <c r="K148" i="9"/>
  <c r="J148" i="9"/>
  <c r="I148" i="9"/>
  <c r="H148" i="9"/>
  <c r="G148" i="9"/>
  <c r="F148" i="9"/>
  <c r="E148" i="9"/>
  <c r="D148" i="9"/>
  <c r="C148" i="9"/>
  <c r="T147" i="9"/>
  <c r="S147" i="9"/>
  <c r="R147" i="9"/>
  <c r="Q147" i="9"/>
  <c r="P147" i="9"/>
  <c r="O147" i="9"/>
  <c r="N147" i="9"/>
  <c r="M147" i="9"/>
  <c r="L147" i="9"/>
  <c r="K147" i="9"/>
  <c r="J147" i="9"/>
  <c r="I147" i="9"/>
  <c r="H147" i="9"/>
  <c r="G147" i="9"/>
  <c r="F147" i="9"/>
  <c r="E147" i="9"/>
  <c r="D147" i="9"/>
  <c r="C147" i="9"/>
  <c r="U164" i="9"/>
  <c r="U149" i="9"/>
  <c r="U139" i="9"/>
  <c r="U129" i="9" s="1"/>
  <c r="U127" i="9"/>
  <c r="U123" i="9"/>
  <c r="U193" i="9" s="1"/>
  <c r="U107" i="9"/>
  <c r="U103" i="9"/>
  <c r="U147" i="9" s="1"/>
  <c r="U19" i="9"/>
  <c r="U70" i="9" s="1"/>
  <c r="U15" i="9"/>
  <c r="U13" i="9"/>
  <c r="U8" i="9"/>
  <c r="U5" i="9"/>
  <c r="U3" i="9"/>
  <c r="U208" i="9" s="1"/>
  <c r="U54" i="8"/>
  <c r="U4" i="9" s="1"/>
  <c r="U626" i="8"/>
  <c r="U623" i="8"/>
  <c r="Y624" i="8" s="1"/>
  <c r="U620" i="8"/>
  <c r="Y621" i="8" s="1"/>
  <c r="U637" i="8"/>
  <c r="U555" i="8"/>
  <c r="Y556" i="8" s="1"/>
  <c r="U552" i="8"/>
  <c r="Y553" i="8" s="1"/>
  <c r="U569" i="8"/>
  <c r="BK141" i="9"/>
  <c r="BK161" i="9" s="1"/>
  <c r="AC33" i="16"/>
  <c r="AC29" i="16"/>
  <c r="AD53" i="16"/>
  <c r="AP53" i="16"/>
  <c r="AP51" i="16"/>
  <c r="AP204" i="16"/>
  <c r="AB29" i="16"/>
  <c r="AC51" i="16"/>
  <c r="AD30" i="16"/>
  <c r="AU148" i="16"/>
  <c r="AT147" i="16"/>
  <c r="U670" i="8"/>
  <c r="U560" i="8"/>
  <c r="U545" i="8"/>
  <c r="U549" i="8"/>
  <c r="U548" i="8"/>
  <c r="U524" i="8"/>
  <c r="U374" i="8"/>
  <c r="U663" i="8" s="1"/>
  <c r="U347" i="8"/>
  <c r="Y347" i="8" s="1"/>
  <c r="U340" i="8"/>
  <c r="U288" i="8"/>
  <c r="U292" i="8"/>
  <c r="AD33" i="16"/>
  <c r="AP33" i="16"/>
  <c r="AP214" i="16"/>
  <c r="AD51" i="16"/>
  <c r="AP30" i="16"/>
  <c r="AP215" i="16"/>
  <c r="AV148" i="16"/>
  <c r="AV147" i="16"/>
  <c r="AU147" i="16"/>
  <c r="T347" i="8"/>
  <c r="C347" i="8"/>
  <c r="D347" i="8"/>
  <c r="E347" i="8"/>
  <c r="F347" i="8"/>
  <c r="G347" i="8"/>
  <c r="H347" i="8"/>
  <c r="I347" i="8"/>
  <c r="J347" i="8"/>
  <c r="K347" i="8"/>
  <c r="L347" i="8"/>
  <c r="M347" i="8"/>
  <c r="N347" i="8"/>
  <c r="O347" i="8"/>
  <c r="P347" i="8"/>
  <c r="Q347" i="8"/>
  <c r="R347" i="8"/>
  <c r="S347" i="8"/>
  <c r="AD29" i="16"/>
  <c r="AP29" i="16"/>
  <c r="BL141" i="9"/>
  <c r="BL161" i="9" s="1"/>
  <c r="S340" i="8"/>
  <c r="R340" i="8"/>
  <c r="Q340" i="8"/>
  <c r="P340" i="8"/>
  <c r="O340" i="8"/>
  <c r="N340" i="8"/>
  <c r="M340" i="8"/>
  <c r="L340" i="8"/>
  <c r="K340" i="8"/>
  <c r="J340" i="8"/>
  <c r="I340" i="8"/>
  <c r="H340" i="8"/>
  <c r="G340" i="8"/>
  <c r="T340" i="8"/>
  <c r="BH310" i="8"/>
  <c r="BG310" i="8"/>
  <c r="BF310" i="8"/>
  <c r="BE310" i="8"/>
  <c r="BH395" i="8"/>
  <c r="BH397" i="8" s="1"/>
  <c r="BG395" i="8"/>
  <c r="BG397" i="8" s="1"/>
  <c r="BF395" i="8"/>
  <c r="BF397" i="8" s="1"/>
  <c r="BE395" i="8"/>
  <c r="BE397" i="8" s="1"/>
  <c r="Q7" i="16"/>
  <c r="P7" i="16"/>
  <c r="O7" i="16"/>
  <c r="N7" i="16"/>
  <c r="M7" i="16"/>
  <c r="L7" i="16"/>
  <c r="K7" i="16"/>
  <c r="S29" i="16"/>
  <c r="R29" i="16"/>
  <c r="Q29" i="16"/>
  <c r="P29" i="16"/>
  <c r="O29" i="16"/>
  <c r="N29" i="16"/>
  <c r="M29" i="16"/>
  <c r="L29" i="16"/>
  <c r="K29" i="16"/>
  <c r="J29" i="16"/>
  <c r="I29" i="16"/>
  <c r="H29" i="16"/>
  <c r="G29" i="16"/>
  <c r="AQ53" i="16"/>
  <c r="AM53" i="16"/>
  <c r="AL53" i="16"/>
  <c r="AK53" i="16"/>
  <c r="AM52" i="16"/>
  <c r="AL52" i="16"/>
  <c r="AK52" i="16"/>
  <c r="AM47" i="16"/>
  <c r="AL47" i="16"/>
  <c r="AK47" i="16"/>
  <c r="AM44" i="16"/>
  <c r="AL44" i="16"/>
  <c r="AK44" i="16"/>
  <c r="AM40" i="16"/>
  <c r="AL40" i="16"/>
  <c r="AK40" i="16"/>
  <c r="AM36" i="16"/>
  <c r="AL36" i="16"/>
  <c r="AK36" i="16"/>
  <c r="AM35" i="16"/>
  <c r="AL35" i="16"/>
  <c r="AK35" i="16"/>
  <c r="AM33" i="16"/>
  <c r="AL33" i="16"/>
  <c r="AK33" i="16"/>
  <c r="AM32" i="16"/>
  <c r="AL32" i="16"/>
  <c r="AK32" i="16"/>
  <c r="AN31" i="16"/>
  <c r="AM30" i="16"/>
  <c r="AL30" i="16"/>
  <c r="AK30" i="16"/>
  <c r="AM16" i="16"/>
  <c r="AL16" i="16"/>
  <c r="AK16" i="16"/>
  <c r="AM10" i="16"/>
  <c r="AL10" i="16"/>
  <c r="AK10" i="16"/>
  <c r="AM6" i="16"/>
  <c r="AL6" i="16"/>
  <c r="AK6" i="16"/>
  <c r="T29" i="16"/>
  <c r="T12" i="16"/>
  <c r="S12" i="16"/>
  <c r="R12" i="16"/>
  <c r="Q12" i="16"/>
  <c r="P12" i="16"/>
  <c r="O12" i="16"/>
  <c r="N12" i="16"/>
  <c r="M12" i="16"/>
  <c r="L12" i="16"/>
  <c r="K12" i="16"/>
  <c r="J12" i="16"/>
  <c r="I12" i="16"/>
  <c r="H12" i="16"/>
  <c r="G12" i="16"/>
  <c r="S637" i="8"/>
  <c r="S638" i="8" s="1"/>
  <c r="T637" i="8"/>
  <c r="T638" i="8" s="1"/>
  <c r="N549" i="8"/>
  <c r="T623" i="8"/>
  <c r="T625" i="8" s="1"/>
  <c r="T620" i="8"/>
  <c r="T622" i="8" s="1"/>
  <c r="T555" i="8"/>
  <c r="T552" i="8"/>
  <c r="T553" i="8" s="1"/>
  <c r="T382" i="8"/>
  <c r="T383" i="8" s="1"/>
  <c r="T379" i="8"/>
  <c r="T297" i="8"/>
  <c r="X297" i="8" s="1"/>
  <c r="X299" i="8" s="1"/>
  <c r="AF297" i="8"/>
  <c r="AJ297" i="8" s="1"/>
  <c r="AN297" i="8" s="1"/>
  <c r="AR297" i="8" s="1"/>
  <c r="AV297" i="8" s="1"/>
  <c r="T294" i="8"/>
  <c r="S623" i="8"/>
  <c r="S624" i="8" s="1"/>
  <c r="S620" i="8"/>
  <c r="S555" i="8"/>
  <c r="S552" i="8"/>
  <c r="S379" i="8"/>
  <c r="S297" i="8"/>
  <c r="S299" i="8" s="1"/>
  <c r="S294" i="8"/>
  <c r="S92" i="8"/>
  <c r="S569" i="8"/>
  <c r="S570" i="8" s="1"/>
  <c r="S395" i="8"/>
  <c r="S310" i="8"/>
  <c r="S311" i="8" s="1"/>
  <c r="L668" i="8"/>
  <c r="S670" i="8"/>
  <c r="R670" i="8"/>
  <c r="Q670" i="8"/>
  <c r="P670" i="8"/>
  <c r="O670" i="8"/>
  <c r="N670" i="8"/>
  <c r="M670" i="8"/>
  <c r="L670" i="8"/>
  <c r="K670" i="8"/>
  <c r="J670" i="8"/>
  <c r="I670" i="8"/>
  <c r="H670" i="8"/>
  <c r="G670" i="8"/>
  <c r="F670" i="8"/>
  <c r="E670" i="8"/>
  <c r="D670" i="8"/>
  <c r="C670" i="8"/>
  <c r="S668" i="8"/>
  <c r="R668" i="8"/>
  <c r="Q668" i="8"/>
  <c r="P668" i="8"/>
  <c r="O668" i="8"/>
  <c r="N668" i="8"/>
  <c r="M668" i="8"/>
  <c r="K668" i="8"/>
  <c r="J668" i="8"/>
  <c r="I668" i="8"/>
  <c r="H668" i="8"/>
  <c r="G668" i="8"/>
  <c r="F668" i="8"/>
  <c r="E668" i="8"/>
  <c r="D668" i="8"/>
  <c r="C668" i="8"/>
  <c r="R667" i="8"/>
  <c r="Q667" i="8"/>
  <c r="P667" i="8"/>
  <c r="O667" i="8"/>
  <c r="N667" i="8"/>
  <c r="M667" i="8"/>
  <c r="L667" i="8"/>
  <c r="K667" i="8"/>
  <c r="J667" i="8"/>
  <c r="I667" i="8"/>
  <c r="H667" i="8"/>
  <c r="G667" i="8"/>
  <c r="F667" i="8"/>
  <c r="E667" i="8"/>
  <c r="D667" i="8"/>
  <c r="C667" i="8"/>
  <c r="R666" i="8"/>
  <c r="Q666" i="8"/>
  <c r="P666" i="8"/>
  <c r="O666" i="8"/>
  <c r="N666" i="8"/>
  <c r="M666" i="8"/>
  <c r="L666" i="8"/>
  <c r="K666" i="8"/>
  <c r="J666" i="8"/>
  <c r="I666" i="8"/>
  <c r="H666" i="8"/>
  <c r="G666" i="8"/>
  <c r="F666" i="8"/>
  <c r="E666" i="8"/>
  <c r="D666" i="8"/>
  <c r="C666" i="8"/>
  <c r="T670" i="8"/>
  <c r="R629" i="8"/>
  <c r="Q629" i="8"/>
  <c r="Q631" i="8" s="1"/>
  <c r="P629" i="8"/>
  <c r="P631" i="8" s="1"/>
  <c r="O629" i="8"/>
  <c r="N629" i="8"/>
  <c r="N631" i="8" s="1"/>
  <c r="M629" i="8"/>
  <c r="R561" i="8"/>
  <c r="R563" i="8" s="1"/>
  <c r="Q561" i="8"/>
  <c r="Q563" i="8" s="1"/>
  <c r="P561" i="8"/>
  <c r="P563" i="8" s="1"/>
  <c r="O561" i="8"/>
  <c r="N561" i="8"/>
  <c r="M561" i="8"/>
  <c r="L561" i="8"/>
  <c r="L563" i="8" s="1"/>
  <c r="K561" i="8"/>
  <c r="J561" i="8"/>
  <c r="I561" i="8"/>
  <c r="I563" i="8" s="1"/>
  <c r="H561" i="8"/>
  <c r="H563" i="8" s="1"/>
  <c r="G561" i="8"/>
  <c r="F561" i="8"/>
  <c r="E561" i="8"/>
  <c r="D561" i="8"/>
  <c r="C561" i="8"/>
  <c r="C565" i="8" s="1"/>
  <c r="R387" i="8"/>
  <c r="Q387" i="8"/>
  <c r="P387" i="8"/>
  <c r="O387" i="8"/>
  <c r="N387" i="8"/>
  <c r="M387" i="8"/>
  <c r="L387" i="8"/>
  <c r="K387" i="8"/>
  <c r="J387" i="8"/>
  <c r="I387" i="8"/>
  <c r="H387" i="8"/>
  <c r="G387" i="8"/>
  <c r="F387" i="8"/>
  <c r="F388" i="8" s="1"/>
  <c r="E387" i="8"/>
  <c r="E388" i="8" s="1"/>
  <c r="D387" i="8"/>
  <c r="D388" i="8" s="1"/>
  <c r="C387" i="8"/>
  <c r="C388" i="8" s="1"/>
  <c r="R301" i="8"/>
  <c r="R303" i="8" s="1"/>
  <c r="Q301" i="8"/>
  <c r="P301" i="8"/>
  <c r="P303" i="8" s="1"/>
  <c r="O301" i="8"/>
  <c r="O303" i="8" s="1"/>
  <c r="N301" i="8"/>
  <c r="M301" i="8"/>
  <c r="M303" i="8" s="1"/>
  <c r="L301" i="8"/>
  <c r="K301" i="8"/>
  <c r="J301" i="8"/>
  <c r="J303" i="8" s="1"/>
  <c r="I301" i="8"/>
  <c r="I303" i="8" s="1"/>
  <c r="H301" i="8"/>
  <c r="G301" i="8"/>
  <c r="F301" i="8"/>
  <c r="E301" i="8"/>
  <c r="D301" i="8"/>
  <c r="C301" i="8"/>
  <c r="C303" i="8" s="1"/>
  <c r="T626" i="8"/>
  <c r="T627" i="8" s="1"/>
  <c r="T569" i="8"/>
  <c r="T570" i="8" s="1"/>
  <c r="T395" i="8"/>
  <c r="T397" i="8" s="1"/>
  <c r="T310" i="8"/>
  <c r="T311" i="8" s="1"/>
  <c r="T50" i="15"/>
  <c r="T49" i="15"/>
  <c r="F73" i="15"/>
  <c r="E73" i="15"/>
  <c r="D73" i="15"/>
  <c r="C73" i="15"/>
  <c r="F72" i="15"/>
  <c r="E72" i="15"/>
  <c r="D72" i="15"/>
  <c r="C72" i="15"/>
  <c r="F71" i="15"/>
  <c r="E71" i="15"/>
  <c r="D71" i="15"/>
  <c r="C71" i="15"/>
  <c r="F66" i="15"/>
  <c r="E66" i="15"/>
  <c r="D66" i="15"/>
  <c r="C66" i="15"/>
  <c r="F64" i="15"/>
  <c r="E64" i="15"/>
  <c r="D64" i="15"/>
  <c r="C64" i="15"/>
  <c r="F63" i="15"/>
  <c r="E63" i="15"/>
  <c r="D63" i="15"/>
  <c r="C63" i="15"/>
  <c r="F62" i="15"/>
  <c r="E62" i="15"/>
  <c r="D62" i="15"/>
  <c r="C62" i="15"/>
  <c r="F61" i="15"/>
  <c r="E61" i="15"/>
  <c r="D61" i="15"/>
  <c r="C61" i="15"/>
  <c r="F59" i="15"/>
  <c r="E59" i="15"/>
  <c r="D59" i="15"/>
  <c r="C59" i="15"/>
  <c r="F58" i="15"/>
  <c r="E58" i="15"/>
  <c r="D58" i="15"/>
  <c r="C58" i="15"/>
  <c r="F57" i="15"/>
  <c r="E57" i="15"/>
  <c r="D57" i="15"/>
  <c r="C57" i="15"/>
  <c r="F52" i="15"/>
  <c r="E52" i="15"/>
  <c r="D52" i="15"/>
  <c r="C52" i="15"/>
  <c r="F51" i="15"/>
  <c r="E51" i="15"/>
  <c r="D51" i="15"/>
  <c r="C51" i="15"/>
  <c r="F50" i="15"/>
  <c r="E50" i="15"/>
  <c r="D50" i="15"/>
  <c r="C50" i="15"/>
  <c r="AJ2" i="15"/>
  <c r="AK2" i="15"/>
  <c r="AL2" i="15"/>
  <c r="AM2" i="15"/>
  <c r="AN2" i="15"/>
  <c r="AO2" i="15"/>
  <c r="AP2" i="15"/>
  <c r="AQ2" i="15"/>
  <c r="AF32" i="15"/>
  <c r="AG32" i="15"/>
  <c r="AH32" i="15"/>
  <c r="AH41" i="15"/>
  <c r="AH62" i="15"/>
  <c r="AG41" i="15"/>
  <c r="AG62" i="15"/>
  <c r="AF41" i="15"/>
  <c r="AF62" i="15"/>
  <c r="AH40" i="15"/>
  <c r="AH61" i="15"/>
  <c r="AG40" i="15"/>
  <c r="AG61" i="15"/>
  <c r="AF40" i="15"/>
  <c r="AF61" i="15"/>
  <c r="AH39" i="15"/>
  <c r="AG39" i="15"/>
  <c r="AF39" i="15"/>
  <c r="AH38" i="15"/>
  <c r="AG38" i="15"/>
  <c r="AF38" i="15"/>
  <c r="AH37" i="15"/>
  <c r="AG37" i="15"/>
  <c r="AF37" i="15"/>
  <c r="AH36" i="15"/>
  <c r="AG36" i="15"/>
  <c r="AF36" i="15"/>
  <c r="AH35" i="15"/>
  <c r="AG35" i="15"/>
  <c r="AF35" i="15"/>
  <c r="AH34" i="15"/>
  <c r="AG34" i="15"/>
  <c r="AF34" i="15"/>
  <c r="AH31" i="15"/>
  <c r="AG31" i="15"/>
  <c r="AF31" i="15"/>
  <c r="AH30" i="15"/>
  <c r="AG30" i="15"/>
  <c r="AF30" i="15"/>
  <c r="AH29" i="15"/>
  <c r="AG29" i="15"/>
  <c r="AF29" i="15"/>
  <c r="AH28" i="15"/>
  <c r="AG28" i="15"/>
  <c r="AF28" i="15"/>
  <c r="AH27" i="15"/>
  <c r="AG27" i="15"/>
  <c r="AF27" i="15"/>
  <c r="AH26" i="15"/>
  <c r="AG26" i="15"/>
  <c r="AF26" i="15"/>
  <c r="AH25" i="15"/>
  <c r="AG25" i="15"/>
  <c r="AF25" i="15"/>
  <c r="AH20" i="15"/>
  <c r="AG20" i="15"/>
  <c r="AF20" i="15"/>
  <c r="AH19" i="15"/>
  <c r="AH63" i="15"/>
  <c r="AG19" i="15"/>
  <c r="AG63" i="15"/>
  <c r="AF19" i="15"/>
  <c r="AF63" i="15"/>
  <c r="AH18" i="15"/>
  <c r="AG18" i="15"/>
  <c r="AF18" i="15"/>
  <c r="AH17" i="15"/>
  <c r="AG17" i="15"/>
  <c r="AF17" i="15"/>
  <c r="AH16" i="15"/>
  <c r="AG16" i="15"/>
  <c r="AF16" i="15"/>
  <c r="AH15" i="15"/>
  <c r="AG15" i="15"/>
  <c r="AF15" i="15"/>
  <c r="AH14" i="15"/>
  <c r="AG14" i="15"/>
  <c r="AF14" i="15"/>
  <c r="AH13" i="15"/>
  <c r="AG13" i="15"/>
  <c r="AF13" i="15"/>
  <c r="AH11" i="15"/>
  <c r="AG11" i="15"/>
  <c r="AF11" i="15"/>
  <c r="AH10" i="15"/>
  <c r="AG10" i="15"/>
  <c r="AF10" i="15"/>
  <c r="AH9" i="15"/>
  <c r="AG9" i="15"/>
  <c r="AF9" i="15"/>
  <c r="AH8" i="15"/>
  <c r="AG8" i="15"/>
  <c r="AF8" i="15"/>
  <c r="AH7" i="15"/>
  <c r="AG7" i="15"/>
  <c r="AF7" i="15"/>
  <c r="AH6" i="15"/>
  <c r="AG6" i="15"/>
  <c r="AF6" i="15"/>
  <c r="AH5" i="15"/>
  <c r="AG5" i="15"/>
  <c r="AF5" i="15"/>
  <c r="T33" i="15"/>
  <c r="S33" i="15"/>
  <c r="R33" i="15"/>
  <c r="Q33" i="15"/>
  <c r="P33" i="15"/>
  <c r="O33" i="15"/>
  <c r="N33" i="15"/>
  <c r="M33" i="15"/>
  <c r="L33" i="15"/>
  <c r="K33" i="15"/>
  <c r="J33" i="15"/>
  <c r="I33" i="15"/>
  <c r="H33" i="15"/>
  <c r="G33" i="15"/>
  <c r="T24" i="15"/>
  <c r="S24" i="15"/>
  <c r="R24" i="15"/>
  <c r="AH24" i="15"/>
  <c r="Q24" i="15"/>
  <c r="P24" i="15"/>
  <c r="O24" i="15"/>
  <c r="N24" i="15"/>
  <c r="AG24" i="15"/>
  <c r="M24" i="15"/>
  <c r="L24" i="15"/>
  <c r="K24" i="15"/>
  <c r="J24" i="15"/>
  <c r="AF24" i="15"/>
  <c r="I24" i="15"/>
  <c r="H24" i="15"/>
  <c r="G24" i="15"/>
  <c r="AH12" i="15"/>
  <c r="AG12" i="15"/>
  <c r="AF12" i="15"/>
  <c r="S4" i="15"/>
  <c r="R4" i="15"/>
  <c r="AH4" i="15"/>
  <c r="Q4" i="15"/>
  <c r="P4" i="15"/>
  <c r="O4" i="15"/>
  <c r="N4" i="15"/>
  <c r="AG4" i="15"/>
  <c r="M4" i="15"/>
  <c r="L4" i="15"/>
  <c r="K4" i="15"/>
  <c r="J4" i="15"/>
  <c r="AF4" i="15"/>
  <c r="I4" i="15"/>
  <c r="H4" i="15"/>
  <c r="G4" i="15"/>
  <c r="T4" i="15"/>
  <c r="L661" i="8"/>
  <c r="K661" i="8"/>
  <c r="J661" i="8"/>
  <c r="I661" i="8"/>
  <c r="H661" i="8"/>
  <c r="G661" i="8"/>
  <c r="F661" i="8"/>
  <c r="E661" i="8"/>
  <c r="D661" i="8"/>
  <c r="C661" i="8"/>
  <c r="T661" i="8"/>
  <c r="S661" i="8"/>
  <c r="R661" i="8"/>
  <c r="Q661" i="8"/>
  <c r="P661" i="8"/>
  <c r="O661" i="8"/>
  <c r="N661" i="8"/>
  <c r="M661" i="8"/>
  <c r="R624" i="8"/>
  <c r="Q624" i="8"/>
  <c r="R621" i="8"/>
  <c r="Q621" i="8"/>
  <c r="BH637" i="8"/>
  <c r="BG637" i="8"/>
  <c r="BH626" i="8"/>
  <c r="BG626" i="8"/>
  <c r="BH623" i="8"/>
  <c r="BG623" i="8"/>
  <c r="BH620" i="8"/>
  <c r="BG620" i="8"/>
  <c r="BH613" i="8"/>
  <c r="BG613" i="8"/>
  <c r="BH609" i="8"/>
  <c r="BG609" i="8"/>
  <c r="BJ330" i="8"/>
  <c r="BH330" i="8"/>
  <c r="BG330" i="8"/>
  <c r="BF330" i="8"/>
  <c r="BE330" i="8"/>
  <c r="BJ329" i="8"/>
  <c r="BH329" i="8"/>
  <c r="BG329" i="8"/>
  <c r="BF329" i="8"/>
  <c r="BE329" i="8"/>
  <c r="BJ328" i="8"/>
  <c r="BH328" i="8"/>
  <c r="BG328" i="8"/>
  <c r="BF328" i="8"/>
  <c r="BE328" i="8"/>
  <c r="BJ327" i="8"/>
  <c r="BH327" i="8"/>
  <c r="BG327" i="8"/>
  <c r="BF327" i="8"/>
  <c r="BE327" i="8"/>
  <c r="BJ326" i="8"/>
  <c r="BH326" i="8"/>
  <c r="BG326" i="8"/>
  <c r="BF326" i="8"/>
  <c r="BE326" i="8"/>
  <c r="T286" i="8"/>
  <c r="S286" i="8"/>
  <c r="R286" i="8"/>
  <c r="Q286" i="8"/>
  <c r="P286" i="8"/>
  <c r="O286" i="8"/>
  <c r="N286" i="8"/>
  <c r="M286" i="8"/>
  <c r="L286" i="8"/>
  <c r="K286" i="8"/>
  <c r="J286" i="8"/>
  <c r="I286" i="8"/>
  <c r="H286" i="8"/>
  <c r="G286" i="8"/>
  <c r="BE547" i="8"/>
  <c r="BF547" i="8"/>
  <c r="BG547" i="8"/>
  <c r="BH547" i="8"/>
  <c r="BE552" i="8"/>
  <c r="BF552" i="8"/>
  <c r="BG552" i="8"/>
  <c r="BH552" i="8"/>
  <c r="BE555" i="8"/>
  <c r="BF555" i="8"/>
  <c r="BG555" i="8"/>
  <c r="BH555" i="8"/>
  <c r="BE558" i="8"/>
  <c r="BF558" i="8"/>
  <c r="BG558" i="8"/>
  <c r="BH558" i="8"/>
  <c r="BH559" i="8" s="1"/>
  <c r="BE569" i="8"/>
  <c r="BF569" i="8"/>
  <c r="BG569" i="8"/>
  <c r="BH569" i="8"/>
  <c r="BH541" i="8"/>
  <c r="BG541" i="8"/>
  <c r="BF541" i="8"/>
  <c r="BE541" i="8"/>
  <c r="BH385" i="8"/>
  <c r="BG385" i="8"/>
  <c r="BF385" i="8"/>
  <c r="BE385" i="8"/>
  <c r="BH382" i="8"/>
  <c r="BG382" i="8"/>
  <c r="BF382" i="8"/>
  <c r="BE382" i="8"/>
  <c r="BH379" i="8"/>
  <c r="BG379" i="8"/>
  <c r="BF379" i="8"/>
  <c r="BE379" i="8"/>
  <c r="BH372" i="8"/>
  <c r="BG372" i="8"/>
  <c r="BF372" i="8"/>
  <c r="BE372" i="8"/>
  <c r="BH364" i="8"/>
  <c r="BG364" i="8"/>
  <c r="BF364" i="8"/>
  <c r="BE364" i="8"/>
  <c r="BK300" i="8"/>
  <c r="BJ300" i="8"/>
  <c r="BH300" i="8"/>
  <c r="BG300" i="8"/>
  <c r="BF300" i="8"/>
  <c r="BE300" i="8"/>
  <c r="BH297" i="8"/>
  <c r="BG297" i="8"/>
  <c r="BF297" i="8"/>
  <c r="BE297" i="8"/>
  <c r="BH294" i="8"/>
  <c r="BG294" i="8"/>
  <c r="BF294" i="8"/>
  <c r="BE294" i="8"/>
  <c r="BH288" i="8"/>
  <c r="BG288" i="8"/>
  <c r="BF288" i="8"/>
  <c r="BE288" i="8"/>
  <c r="BH285" i="8"/>
  <c r="BG285" i="8"/>
  <c r="BF285" i="8"/>
  <c r="BE285" i="8"/>
  <c r="R638" i="8"/>
  <c r="Q638" i="8"/>
  <c r="P638" i="8"/>
  <c r="O638" i="8"/>
  <c r="N638" i="8"/>
  <c r="M638" i="8"/>
  <c r="S628" i="8"/>
  <c r="R628" i="8"/>
  <c r="Q628" i="8"/>
  <c r="P628" i="8"/>
  <c r="O628" i="8"/>
  <c r="N628" i="8"/>
  <c r="M628" i="8"/>
  <c r="R625" i="8"/>
  <c r="Q625" i="8"/>
  <c r="P625" i="8"/>
  <c r="O625" i="8"/>
  <c r="N625" i="8"/>
  <c r="M625" i="8"/>
  <c r="R622" i="8"/>
  <c r="Q622" i="8"/>
  <c r="P622" i="8"/>
  <c r="O622" i="8"/>
  <c r="N622" i="8"/>
  <c r="M622" i="8"/>
  <c r="T615" i="8"/>
  <c r="S615" i="8"/>
  <c r="R615" i="8"/>
  <c r="Q615" i="8"/>
  <c r="P615" i="8"/>
  <c r="O615" i="8"/>
  <c r="N615" i="8"/>
  <c r="N616" i="8" s="1"/>
  <c r="M615" i="8"/>
  <c r="M617" i="8" s="1"/>
  <c r="T614" i="8"/>
  <c r="S614" i="8"/>
  <c r="R614" i="8"/>
  <c r="Q614" i="8"/>
  <c r="T610" i="8"/>
  <c r="S610" i="8"/>
  <c r="R610" i="8"/>
  <c r="Q610" i="8"/>
  <c r="T560" i="8"/>
  <c r="S560" i="8"/>
  <c r="R560" i="8"/>
  <c r="Q560" i="8"/>
  <c r="P560" i="8"/>
  <c r="O560" i="8"/>
  <c r="N560" i="8"/>
  <c r="M560" i="8"/>
  <c r="L560" i="8"/>
  <c r="K560" i="8"/>
  <c r="J560" i="8"/>
  <c r="I560" i="8"/>
  <c r="H560" i="8"/>
  <c r="G560" i="8"/>
  <c r="F560" i="8"/>
  <c r="E560" i="8"/>
  <c r="D560" i="8"/>
  <c r="C560" i="8"/>
  <c r="T559" i="8"/>
  <c r="S559" i="8"/>
  <c r="R559" i="8"/>
  <c r="Q559" i="8"/>
  <c r="P559" i="8"/>
  <c r="O559" i="8"/>
  <c r="N559" i="8"/>
  <c r="M559" i="8"/>
  <c r="L559" i="8"/>
  <c r="K559" i="8"/>
  <c r="J559" i="8"/>
  <c r="I559" i="8"/>
  <c r="H559" i="8"/>
  <c r="G559" i="8"/>
  <c r="F559" i="8"/>
  <c r="E559" i="8"/>
  <c r="D559" i="8"/>
  <c r="C559" i="8"/>
  <c r="R557" i="8"/>
  <c r="Q557" i="8"/>
  <c r="P557" i="8"/>
  <c r="O557" i="8"/>
  <c r="N557" i="8"/>
  <c r="M557" i="8"/>
  <c r="L557" i="8"/>
  <c r="K557" i="8"/>
  <c r="J557" i="8"/>
  <c r="I557" i="8"/>
  <c r="H557" i="8"/>
  <c r="G557" i="8"/>
  <c r="F557" i="8"/>
  <c r="E557" i="8"/>
  <c r="D557" i="8"/>
  <c r="C557" i="8"/>
  <c r="R556" i="8"/>
  <c r="Q556" i="8"/>
  <c r="P556" i="8"/>
  <c r="O556" i="8"/>
  <c r="N556" i="8"/>
  <c r="M556" i="8"/>
  <c r="L556" i="8"/>
  <c r="K556" i="8"/>
  <c r="J556" i="8"/>
  <c r="I556" i="8"/>
  <c r="H556" i="8"/>
  <c r="G556" i="8"/>
  <c r="F556" i="8"/>
  <c r="E556" i="8"/>
  <c r="D556" i="8"/>
  <c r="C556" i="8"/>
  <c r="F554" i="8"/>
  <c r="E554" i="8"/>
  <c r="D554" i="8"/>
  <c r="C554" i="8"/>
  <c r="R554" i="8"/>
  <c r="Q554" i="8"/>
  <c r="P554" i="8"/>
  <c r="O554" i="8"/>
  <c r="N554" i="8"/>
  <c r="M554" i="8"/>
  <c r="L554" i="8"/>
  <c r="K554" i="8"/>
  <c r="J554" i="8"/>
  <c r="I554" i="8"/>
  <c r="H554" i="8"/>
  <c r="G554" i="8"/>
  <c r="R553" i="8"/>
  <c r="Q553" i="8"/>
  <c r="P553" i="8"/>
  <c r="O553" i="8"/>
  <c r="N553" i="8"/>
  <c r="M553" i="8"/>
  <c r="L553" i="8"/>
  <c r="K553" i="8"/>
  <c r="J553" i="8"/>
  <c r="I553" i="8"/>
  <c r="H553" i="8"/>
  <c r="G553" i="8"/>
  <c r="F553" i="8"/>
  <c r="E553" i="8"/>
  <c r="D553" i="8"/>
  <c r="C553" i="8"/>
  <c r="T549" i="8"/>
  <c r="S549" i="8"/>
  <c r="R549" i="8"/>
  <c r="Q549" i="8"/>
  <c r="P549" i="8"/>
  <c r="O549" i="8"/>
  <c r="M549" i="8"/>
  <c r="L549" i="8"/>
  <c r="K549" i="8"/>
  <c r="J549" i="8"/>
  <c r="I549" i="8"/>
  <c r="H549" i="8"/>
  <c r="G549" i="8"/>
  <c r="F549" i="8"/>
  <c r="E549" i="8"/>
  <c r="D549" i="8"/>
  <c r="T548" i="8"/>
  <c r="S548" i="8"/>
  <c r="R548" i="8"/>
  <c r="Q548" i="8"/>
  <c r="P548" i="8"/>
  <c r="O548" i="8"/>
  <c r="N548" i="8"/>
  <c r="M548" i="8"/>
  <c r="L548" i="8"/>
  <c r="K548" i="8"/>
  <c r="J548" i="8"/>
  <c r="I548" i="8"/>
  <c r="H548" i="8"/>
  <c r="G548" i="8"/>
  <c r="T545" i="8"/>
  <c r="S545" i="8"/>
  <c r="R545" i="8"/>
  <c r="Q545" i="8"/>
  <c r="P545" i="8"/>
  <c r="O545" i="8"/>
  <c r="N545" i="8"/>
  <c r="M545" i="8"/>
  <c r="L545" i="8"/>
  <c r="K545" i="8"/>
  <c r="J545" i="8"/>
  <c r="I545" i="8"/>
  <c r="H545" i="8"/>
  <c r="G545" i="8"/>
  <c r="F545" i="8"/>
  <c r="E545" i="8"/>
  <c r="D545" i="8"/>
  <c r="C549" i="8"/>
  <c r="C545" i="8"/>
  <c r="F522" i="8"/>
  <c r="E522" i="8"/>
  <c r="D522" i="8"/>
  <c r="C522" i="8"/>
  <c r="T289" i="8"/>
  <c r="S290" i="8"/>
  <c r="T290" i="8"/>
  <c r="S289" i="8"/>
  <c r="R289" i="8"/>
  <c r="Q289" i="8"/>
  <c r="P289" i="8"/>
  <c r="O289" i="8"/>
  <c r="N289" i="8"/>
  <c r="M289" i="8"/>
  <c r="L289" i="8"/>
  <c r="K289" i="8"/>
  <c r="J289" i="8"/>
  <c r="I289" i="8"/>
  <c r="H289" i="8"/>
  <c r="G289" i="8"/>
  <c r="R290" i="8"/>
  <c r="Q290" i="8"/>
  <c r="Q292" i="8" s="1"/>
  <c r="P290" i="8"/>
  <c r="O290" i="8"/>
  <c r="N290" i="8"/>
  <c r="N292" i="8" s="1"/>
  <c r="M290" i="8"/>
  <c r="L290" i="8"/>
  <c r="K290" i="8"/>
  <c r="K292" i="8" s="1"/>
  <c r="J290" i="8"/>
  <c r="I290" i="8"/>
  <c r="H290" i="8"/>
  <c r="H292" i="8" s="1"/>
  <c r="G290" i="8"/>
  <c r="F290" i="8"/>
  <c r="E290" i="8"/>
  <c r="D290" i="8"/>
  <c r="C290" i="8"/>
  <c r="C292" i="8" s="1"/>
  <c r="F296" i="8"/>
  <c r="E296" i="8"/>
  <c r="D296" i="8"/>
  <c r="C296" i="8"/>
  <c r="F299" i="8"/>
  <c r="E299" i="8"/>
  <c r="D299" i="8"/>
  <c r="C299" i="8"/>
  <c r="AG297" i="8"/>
  <c r="AK297" i="8" s="1"/>
  <c r="AO297" i="8" s="1"/>
  <c r="AS297" i="8" s="1"/>
  <c r="AW297" i="8" s="1"/>
  <c r="R299" i="8"/>
  <c r="Q299" i="8"/>
  <c r="P299" i="8"/>
  <c r="O299" i="8"/>
  <c r="N299" i="8"/>
  <c r="M299" i="8"/>
  <c r="L299" i="8"/>
  <c r="K299" i="8"/>
  <c r="J299" i="8"/>
  <c r="I299" i="8"/>
  <c r="H299" i="8"/>
  <c r="G299" i="8"/>
  <c r="R298" i="8"/>
  <c r="Q298" i="8"/>
  <c r="P298" i="8"/>
  <c r="O298" i="8"/>
  <c r="N298" i="8"/>
  <c r="M298" i="8"/>
  <c r="L298" i="8"/>
  <c r="K298" i="8"/>
  <c r="J298" i="8"/>
  <c r="I298" i="8"/>
  <c r="H298" i="8"/>
  <c r="G298" i="8"/>
  <c r="R296" i="8"/>
  <c r="Q296" i="8"/>
  <c r="P296" i="8"/>
  <c r="O296" i="8"/>
  <c r="N296" i="8"/>
  <c r="M296" i="8"/>
  <c r="L296" i="8"/>
  <c r="K296" i="8"/>
  <c r="J296" i="8"/>
  <c r="I296" i="8"/>
  <c r="H296" i="8"/>
  <c r="R295" i="8"/>
  <c r="Q295" i="8"/>
  <c r="P295" i="8"/>
  <c r="O295" i="8"/>
  <c r="N295" i="8"/>
  <c r="M295" i="8"/>
  <c r="L295" i="8"/>
  <c r="K295" i="8"/>
  <c r="J295" i="8"/>
  <c r="I295" i="8"/>
  <c r="H295" i="8"/>
  <c r="G296" i="8"/>
  <c r="G295" i="8"/>
  <c r="T365" i="8"/>
  <c r="S365" i="8"/>
  <c r="R365" i="8"/>
  <c r="Q365" i="8"/>
  <c r="P365" i="8"/>
  <c r="O365" i="8"/>
  <c r="N365" i="8"/>
  <c r="M365" i="8"/>
  <c r="L365" i="8"/>
  <c r="K365" i="8"/>
  <c r="J365" i="8"/>
  <c r="I365" i="8"/>
  <c r="H365" i="8"/>
  <c r="G365" i="8"/>
  <c r="F298" i="8"/>
  <c r="E298" i="8"/>
  <c r="D298" i="8"/>
  <c r="C298" i="8"/>
  <c r="F295" i="8"/>
  <c r="E295" i="8"/>
  <c r="D295" i="8"/>
  <c r="C295" i="8"/>
  <c r="S383" i="8"/>
  <c r="R383" i="8"/>
  <c r="Q383" i="8"/>
  <c r="P383" i="8"/>
  <c r="O383" i="8"/>
  <c r="N383" i="8"/>
  <c r="M383" i="8"/>
  <c r="L383" i="8"/>
  <c r="K383" i="8"/>
  <c r="J383" i="8"/>
  <c r="I383" i="8"/>
  <c r="H383" i="8"/>
  <c r="G383" i="8"/>
  <c r="R380" i="8"/>
  <c r="Q380" i="8"/>
  <c r="P380" i="8"/>
  <c r="O380" i="8"/>
  <c r="N380" i="8"/>
  <c r="M380" i="8"/>
  <c r="L380" i="8"/>
  <c r="K380" i="8"/>
  <c r="J380" i="8"/>
  <c r="I380" i="8"/>
  <c r="H380" i="8"/>
  <c r="G380" i="8"/>
  <c r="F383" i="8"/>
  <c r="E383" i="8"/>
  <c r="D383" i="8"/>
  <c r="C383" i="8"/>
  <c r="F380" i="8"/>
  <c r="E380" i="8"/>
  <c r="D380" i="8"/>
  <c r="C380" i="8"/>
  <c r="S374" i="8"/>
  <c r="R374" i="8"/>
  <c r="Q374" i="8"/>
  <c r="P374" i="8"/>
  <c r="O374" i="8"/>
  <c r="N374" i="8"/>
  <c r="M374" i="8"/>
  <c r="L374" i="8"/>
  <c r="L376" i="8" s="1"/>
  <c r="K374" i="8"/>
  <c r="J374" i="8"/>
  <c r="I374" i="8"/>
  <c r="H374" i="8"/>
  <c r="G374" i="8"/>
  <c r="F374" i="8"/>
  <c r="E374" i="8"/>
  <c r="E376" i="8" s="1"/>
  <c r="D374" i="8"/>
  <c r="D376" i="8" s="1"/>
  <c r="C374" i="8"/>
  <c r="T374" i="8"/>
  <c r="W330" i="8"/>
  <c r="X330" i="8" s="1"/>
  <c r="Y330" i="8" s="1"/>
  <c r="Z330" i="8" s="1"/>
  <c r="W329" i="8"/>
  <c r="X329" i="8" s="1"/>
  <c r="Y329" i="8" s="1"/>
  <c r="Z329" i="8" s="1"/>
  <c r="W328" i="8"/>
  <c r="X328" i="8" s="1"/>
  <c r="Y328" i="8" s="1"/>
  <c r="Z328" i="8" s="1"/>
  <c r="W327" i="8"/>
  <c r="X327" i="8" s="1"/>
  <c r="Y327" i="8" s="1"/>
  <c r="Z327" i="8" s="1"/>
  <c r="W326" i="8"/>
  <c r="BH52" i="10"/>
  <c r="Y50" i="10"/>
  <c r="Y47" i="10"/>
  <c r="Y41" i="10"/>
  <c r="Y43" i="10"/>
  <c r="Y195" i="8"/>
  <c r="X43" i="10"/>
  <c r="X195" i="8"/>
  <c r="Y40" i="10"/>
  <c r="X40" i="10"/>
  <c r="Y39" i="10"/>
  <c r="Y199" i="8" s="1"/>
  <c r="X39" i="10"/>
  <c r="V40" i="10"/>
  <c r="U331" i="8"/>
  <c r="T331" i="8"/>
  <c r="S331" i="8"/>
  <c r="R331" i="8"/>
  <c r="Q331" i="8"/>
  <c r="P331" i="8"/>
  <c r="O331" i="8"/>
  <c r="N331" i="8"/>
  <c r="M331" i="8"/>
  <c r="L331" i="8"/>
  <c r="K331" i="8"/>
  <c r="J331" i="8"/>
  <c r="I331" i="8"/>
  <c r="H331" i="8"/>
  <c r="G331" i="8"/>
  <c r="F331" i="8"/>
  <c r="E331" i="8"/>
  <c r="D331" i="8"/>
  <c r="C331" i="8"/>
  <c r="AL555" i="8"/>
  <c r="AF65" i="15"/>
  <c r="H334" i="8"/>
  <c r="P334" i="8"/>
  <c r="L334" i="8"/>
  <c r="I334" i="8"/>
  <c r="S334" i="8"/>
  <c r="AM51" i="16"/>
  <c r="T334" i="8"/>
  <c r="M334" i="8"/>
  <c r="U334" i="8"/>
  <c r="N334" i="8"/>
  <c r="J334" i="8"/>
  <c r="R334" i="8"/>
  <c r="AH57" i="15"/>
  <c r="AH51" i="15"/>
  <c r="G334" i="8"/>
  <c r="O334" i="8"/>
  <c r="K334" i="8"/>
  <c r="Q334" i="8"/>
  <c r="AF66" i="15"/>
  <c r="AF59" i="15"/>
  <c r="AK31" i="16"/>
  <c r="S42" i="15"/>
  <c r="AF50" i="15"/>
  <c r="AF52" i="15"/>
  <c r="AG59" i="15"/>
  <c r="AL31" i="16"/>
  <c r="AG65" i="15"/>
  <c r="AG50" i="15"/>
  <c r="AG52" i="15"/>
  <c r="AH59" i="15"/>
  <c r="AH65" i="15"/>
  <c r="D49" i="15"/>
  <c r="D48" i="15"/>
  <c r="D69" i="15"/>
  <c r="T48" i="15"/>
  <c r="T54" i="15"/>
  <c r="T46" i="15"/>
  <c r="U46" i="15"/>
  <c r="AR53" i="16"/>
  <c r="AS53" i="16"/>
  <c r="AG66" i="15"/>
  <c r="AQ52" i="16"/>
  <c r="AR52" i="16"/>
  <c r="AF57" i="15"/>
  <c r="AH50" i="15"/>
  <c r="AH52" i="15"/>
  <c r="AF51" i="15"/>
  <c r="E49" i="15"/>
  <c r="E48" i="15"/>
  <c r="E60" i="15"/>
  <c r="AH66" i="15"/>
  <c r="AG57" i="15"/>
  <c r="AG51" i="15"/>
  <c r="AK51" i="16"/>
  <c r="AL51" i="16"/>
  <c r="AN51" i="16"/>
  <c r="H20" i="16"/>
  <c r="P20" i="16"/>
  <c r="AK17" i="16"/>
  <c r="G13" i="16"/>
  <c r="O13" i="16"/>
  <c r="I13" i="16"/>
  <c r="J13" i="16"/>
  <c r="R13" i="16"/>
  <c r="V14" i="16"/>
  <c r="K13" i="16"/>
  <c r="S13" i="16"/>
  <c r="L13" i="16"/>
  <c r="M13" i="16"/>
  <c r="AK29" i="16"/>
  <c r="AH73" i="15"/>
  <c r="AH72" i="15"/>
  <c r="AF71" i="15"/>
  <c r="AG71" i="15"/>
  <c r="AH71" i="15"/>
  <c r="AF73" i="15"/>
  <c r="AF72" i="15"/>
  <c r="AG73" i="15"/>
  <c r="AG72" i="15"/>
  <c r="F69" i="15"/>
  <c r="H42" i="15"/>
  <c r="M42" i="15"/>
  <c r="N42" i="15"/>
  <c r="AG42" i="15"/>
  <c r="G42" i="15"/>
  <c r="O42" i="15"/>
  <c r="P42" i="15"/>
  <c r="I42" i="15"/>
  <c r="Q42" i="15"/>
  <c r="J42" i="15"/>
  <c r="AF42" i="15"/>
  <c r="R42" i="15"/>
  <c r="AH42" i="15"/>
  <c r="E69" i="15"/>
  <c r="K42" i="15"/>
  <c r="L42" i="15"/>
  <c r="T42" i="15"/>
  <c r="AG33" i="15"/>
  <c r="C49" i="15"/>
  <c r="C48" i="15"/>
  <c r="F56" i="15"/>
  <c r="F60" i="15"/>
  <c r="D56" i="15"/>
  <c r="E56" i="15"/>
  <c r="C56" i="15"/>
  <c r="AF33" i="15"/>
  <c r="AH33" i="15"/>
  <c r="D60" i="15"/>
  <c r="F49" i="15"/>
  <c r="C69" i="15"/>
  <c r="C60" i="15"/>
  <c r="AM18" i="16"/>
  <c r="AM17" i="16"/>
  <c r="AL18" i="16"/>
  <c r="AL17" i="16"/>
  <c r="AL7" i="16"/>
  <c r="AK12" i="16"/>
  <c r="T20" i="16"/>
  <c r="T21" i="16"/>
  <c r="T13" i="16"/>
  <c r="AL12" i="16"/>
  <c r="AM12" i="16"/>
  <c r="Q13" i="16"/>
  <c r="AM7" i="16"/>
  <c r="AM29" i="16"/>
  <c r="AL29" i="16"/>
  <c r="N13" i="16"/>
  <c r="I20" i="16"/>
  <c r="K20" i="16"/>
  <c r="Q20" i="16"/>
  <c r="S20" i="16"/>
  <c r="P13" i="16"/>
  <c r="L20" i="16"/>
  <c r="M20" i="16"/>
  <c r="N20" i="16"/>
  <c r="G20" i="16"/>
  <c r="G21" i="16"/>
  <c r="O20" i="16"/>
  <c r="H13" i="16"/>
  <c r="J20" i="16"/>
  <c r="R20" i="16"/>
  <c r="H21" i="15"/>
  <c r="P21" i="15"/>
  <c r="G21" i="15"/>
  <c r="O21" i="15"/>
  <c r="I21" i="15"/>
  <c r="J21" i="15"/>
  <c r="R21" i="15"/>
  <c r="K21" i="15"/>
  <c r="S21" i="15"/>
  <c r="M21" i="15"/>
  <c r="M43" i="15"/>
  <c r="N21" i="15"/>
  <c r="Q21" i="15"/>
  <c r="T21" i="15"/>
  <c r="L21" i="15"/>
  <c r="AG296" i="8"/>
  <c r="R340" i="9"/>
  <c r="T340" i="9"/>
  <c r="T342" i="9" s="1"/>
  <c r="R321" i="9"/>
  <c r="R322" i="9" s="1"/>
  <c r="BG322" i="9" s="1"/>
  <c r="T321" i="9"/>
  <c r="T322" i="9" s="1"/>
  <c r="T334" i="9"/>
  <c r="T336" i="9" s="1"/>
  <c r="T337" i="9" s="1"/>
  <c r="T335" i="9" s="1"/>
  <c r="R334" i="9"/>
  <c r="T315" i="9"/>
  <c r="R315" i="9"/>
  <c r="BG315" i="9" s="1"/>
  <c r="BM141" i="9"/>
  <c r="BM161" i="9" s="1"/>
  <c r="E55" i="15"/>
  <c r="Y334" i="8"/>
  <c r="W334" i="8"/>
  <c r="AN555" i="8"/>
  <c r="AR555" i="8" s="1"/>
  <c r="AV555" i="8" s="1"/>
  <c r="BL310" i="8"/>
  <c r="AE329" i="8"/>
  <c r="AF329" i="8" s="1"/>
  <c r="AG329" i="8" s="1"/>
  <c r="AH329" i="8" s="1"/>
  <c r="AE328" i="8"/>
  <c r="AE330" i="8"/>
  <c r="AF330" i="8" s="1"/>
  <c r="AG330" i="8" s="1"/>
  <c r="AH330" i="8" s="1"/>
  <c r="BK555" i="8"/>
  <c r="AK555" i="8"/>
  <c r="AF60" i="15"/>
  <c r="AF56" i="15"/>
  <c r="AF49" i="15"/>
  <c r="AF46" i="15"/>
  <c r="AH49" i="15"/>
  <c r="AH48" i="15"/>
  <c r="AH56" i="15"/>
  <c r="AJ56" i="15"/>
  <c r="X334" i="8"/>
  <c r="AQ47" i="16"/>
  <c r="I21" i="16"/>
  <c r="P21" i="16"/>
  <c r="O21" i="16"/>
  <c r="K21" i="16"/>
  <c r="J21" i="16"/>
  <c r="N21" i="16"/>
  <c r="S21" i="16"/>
  <c r="H21" i="16"/>
  <c r="M21" i="16"/>
  <c r="Q21" i="16"/>
  <c r="L21" i="16"/>
  <c r="R21" i="16"/>
  <c r="R56" i="16"/>
  <c r="R39" i="16"/>
  <c r="R25" i="16"/>
  <c r="R60" i="16"/>
  <c r="AH60" i="15"/>
  <c r="AG60" i="15"/>
  <c r="AS52" i="16"/>
  <c r="AT52" i="16"/>
  <c r="AG49" i="15"/>
  <c r="V334" i="8"/>
  <c r="AF48" i="15"/>
  <c r="AN130" i="16"/>
  <c r="AN131" i="16"/>
  <c r="AN135" i="16"/>
  <c r="AM31" i="16"/>
  <c r="F48" i="15"/>
  <c r="G46" i="15"/>
  <c r="AG56" i="15"/>
  <c r="L43" i="15"/>
  <c r="Z334" i="8"/>
  <c r="O43" i="15"/>
  <c r="AT53" i="16"/>
  <c r="AU53" i="16"/>
  <c r="AN114" i="16"/>
  <c r="AN115" i="16"/>
  <c r="AQ30" i="16"/>
  <c r="Q56" i="16"/>
  <c r="O56" i="16"/>
  <c r="K56" i="16"/>
  <c r="G56" i="16"/>
  <c r="I56" i="16"/>
  <c r="T56" i="16"/>
  <c r="P56" i="16"/>
  <c r="N56" i="16"/>
  <c r="H56" i="16"/>
  <c r="M56" i="16"/>
  <c r="L56" i="16"/>
  <c r="J56" i="16"/>
  <c r="S56" i="16"/>
  <c r="P25" i="16"/>
  <c r="P14" i="16"/>
  <c r="H39" i="16"/>
  <c r="H41" i="16"/>
  <c r="H25" i="16"/>
  <c r="N14" i="16"/>
  <c r="AM13" i="16"/>
  <c r="T14" i="16"/>
  <c r="X13" i="16"/>
  <c r="AB13" i="16"/>
  <c r="L14" i="16"/>
  <c r="Z13" i="16"/>
  <c r="AD13" i="16"/>
  <c r="R14" i="16"/>
  <c r="Q14" i="16"/>
  <c r="U14" i="16"/>
  <c r="S14" i="16"/>
  <c r="W13" i="16"/>
  <c r="AA13" i="16"/>
  <c r="M14" i="16"/>
  <c r="K14" i="16"/>
  <c r="O14" i="16"/>
  <c r="AQ33" i="16"/>
  <c r="AL13" i="16"/>
  <c r="P39" i="16"/>
  <c r="P41" i="16"/>
  <c r="AK13" i="16"/>
  <c r="AH69" i="15"/>
  <c r="AG69" i="15"/>
  <c r="AF69" i="15"/>
  <c r="T25" i="16"/>
  <c r="T43" i="15"/>
  <c r="D55" i="15"/>
  <c r="P43" i="15"/>
  <c r="I43" i="15"/>
  <c r="S43" i="15"/>
  <c r="K43" i="15"/>
  <c r="Q43" i="15"/>
  <c r="C55" i="15"/>
  <c r="F55" i="15"/>
  <c r="R43" i="15"/>
  <c r="AH43" i="15"/>
  <c r="AH21" i="15"/>
  <c r="M39" i="16"/>
  <c r="M41" i="16"/>
  <c r="M25" i="16"/>
  <c r="I25" i="16"/>
  <c r="I39" i="16"/>
  <c r="I43" i="16"/>
  <c r="L39" i="16"/>
  <c r="L41" i="16"/>
  <c r="L25" i="16"/>
  <c r="O25" i="16"/>
  <c r="AM20" i="16"/>
  <c r="O39" i="16"/>
  <c r="O43" i="16"/>
  <c r="O46" i="16"/>
  <c r="G25" i="16"/>
  <c r="AK20" i="16"/>
  <c r="G39" i="16"/>
  <c r="G41" i="16"/>
  <c r="N39" i="16"/>
  <c r="N43" i="16"/>
  <c r="N25" i="16"/>
  <c r="Q25" i="16"/>
  <c r="Q39" i="16"/>
  <c r="T39" i="16"/>
  <c r="S39" i="16"/>
  <c r="S25" i="16"/>
  <c r="J25" i="16"/>
  <c r="J39" i="16"/>
  <c r="J43" i="16"/>
  <c r="K39" i="16"/>
  <c r="K43" i="16"/>
  <c r="K46" i="16"/>
  <c r="K25" i="16"/>
  <c r="AL20" i="16"/>
  <c r="N43" i="15"/>
  <c r="AG43" i="15"/>
  <c r="AG21" i="15"/>
  <c r="H43" i="15"/>
  <c r="AF21" i="15"/>
  <c r="J43" i="15"/>
  <c r="AF43" i="15"/>
  <c r="G43" i="15"/>
  <c r="AF55" i="15"/>
  <c r="AF54" i="15"/>
  <c r="BM555" i="8"/>
  <c r="AF364" i="8"/>
  <c r="AF264" i="8" s="1"/>
  <c r="BL555" i="8"/>
  <c r="AH46" i="15"/>
  <c r="AH55" i="15"/>
  <c r="AH54" i="15"/>
  <c r="AI46" i="15"/>
  <c r="AG55" i="15"/>
  <c r="R41" i="16"/>
  <c r="AR47" i="16"/>
  <c r="S41" i="16"/>
  <c r="Q41" i="16"/>
  <c r="AG48" i="15"/>
  <c r="AG46" i="15"/>
  <c r="AN136" i="16"/>
  <c r="AN137" i="16"/>
  <c r="AU52" i="16"/>
  <c r="AV52" i="16"/>
  <c r="AV53" i="16"/>
  <c r="K26" i="16"/>
  <c r="Q26" i="16"/>
  <c r="U27" i="16"/>
  <c r="R26" i="16"/>
  <c r="O26" i="16"/>
  <c r="P26" i="16"/>
  <c r="T26" i="16"/>
  <c r="S26" i="16"/>
  <c r="G26" i="16"/>
  <c r="H60" i="16"/>
  <c r="H61" i="16"/>
  <c r="H26" i="16"/>
  <c r="J60" i="16"/>
  <c r="J61" i="16"/>
  <c r="J26" i="16"/>
  <c r="N60" i="16"/>
  <c r="N61" i="16"/>
  <c r="N26" i="16"/>
  <c r="L60" i="16"/>
  <c r="L61" i="16"/>
  <c r="L26" i="16"/>
  <c r="M60" i="16"/>
  <c r="M61" i="16"/>
  <c r="M26" i="16"/>
  <c r="I60" i="16"/>
  <c r="I61" i="16"/>
  <c r="I26" i="16"/>
  <c r="R61" i="16"/>
  <c r="O60" i="16"/>
  <c r="O61" i="16"/>
  <c r="P60" i="16"/>
  <c r="P61" i="16"/>
  <c r="S60" i="16"/>
  <c r="S61" i="16"/>
  <c r="T60" i="16"/>
  <c r="T61" i="16"/>
  <c r="AM56" i="16"/>
  <c r="AM21" i="16"/>
  <c r="AK56" i="16"/>
  <c r="AK21" i="16"/>
  <c r="AL56" i="16"/>
  <c r="AL21" i="16"/>
  <c r="H57" i="16"/>
  <c r="P57" i="16"/>
  <c r="AR30" i="16"/>
  <c r="AQ29" i="16"/>
  <c r="AQ51" i="16"/>
  <c r="H43" i="16"/>
  <c r="H46" i="16"/>
  <c r="P43" i="16"/>
  <c r="P46" i="16"/>
  <c r="P49" i="16"/>
  <c r="M43" i="16"/>
  <c r="M46" i="16"/>
  <c r="M49" i="16"/>
  <c r="O41" i="16"/>
  <c r="G60" i="16"/>
  <c r="AK25" i="16"/>
  <c r="I46" i="16"/>
  <c r="I49" i="16"/>
  <c r="K60" i="16"/>
  <c r="AL25" i="16"/>
  <c r="L43" i="16"/>
  <c r="J46" i="16"/>
  <c r="J49" i="16"/>
  <c r="N46" i="16"/>
  <c r="N49" i="16"/>
  <c r="K41" i="16"/>
  <c r="AL14" i="16"/>
  <c r="AM14" i="16"/>
  <c r="Q60" i="16"/>
  <c r="AM25" i="16"/>
  <c r="AR33" i="16"/>
  <c r="I57" i="16"/>
  <c r="J57" i="16"/>
  <c r="G57" i="16"/>
  <c r="J41" i="16"/>
  <c r="I41" i="16"/>
  <c r="N41" i="16"/>
  <c r="G43" i="16"/>
  <c r="AL39" i="16"/>
  <c r="AL41" i="16"/>
  <c r="T57" i="16"/>
  <c r="S43" i="16"/>
  <c r="Q43" i="16"/>
  <c r="T43" i="16"/>
  <c r="T41" i="16"/>
  <c r="AM39" i="16"/>
  <c r="AM41" i="16"/>
  <c r="R43" i="16"/>
  <c r="S57" i="16"/>
  <c r="N57" i="16"/>
  <c r="O57" i="16"/>
  <c r="K57" i="16"/>
  <c r="Q57" i="16"/>
  <c r="M57" i="16"/>
  <c r="R57" i="16"/>
  <c r="AK39" i="16"/>
  <c r="AK41" i="16"/>
  <c r="L57" i="16"/>
  <c r="AG54" i="15"/>
  <c r="S46" i="16"/>
  <c r="S49" i="16"/>
  <c r="AS47" i="16"/>
  <c r="AT47" i="16"/>
  <c r="N27" i="16"/>
  <c r="P27" i="16"/>
  <c r="T27" i="16"/>
  <c r="M27" i="16"/>
  <c r="K27" i="16"/>
  <c r="L27" i="16"/>
  <c r="O27" i="16"/>
  <c r="Q27" i="16"/>
  <c r="S27" i="16"/>
  <c r="R27" i="16"/>
  <c r="T58" i="16"/>
  <c r="L58" i="16"/>
  <c r="AK60" i="16"/>
  <c r="AK61" i="16"/>
  <c r="AK26" i="16"/>
  <c r="AM60" i="16"/>
  <c r="AM61" i="16"/>
  <c r="AM26" i="16"/>
  <c r="AL60" i="16"/>
  <c r="AL61" i="16"/>
  <c r="AL26" i="16"/>
  <c r="AS30" i="16"/>
  <c r="AR29" i="16"/>
  <c r="K61" i="16"/>
  <c r="Q61" i="16"/>
  <c r="G61" i="16"/>
  <c r="AR51" i="16"/>
  <c r="AL43" i="16"/>
  <c r="N58" i="16"/>
  <c r="M58" i="16"/>
  <c r="O58" i="16"/>
  <c r="S58" i="16"/>
  <c r="R46" i="16"/>
  <c r="R49" i="16"/>
  <c r="G46" i="16"/>
  <c r="G49" i="16"/>
  <c r="R58" i="16"/>
  <c r="Q58" i="16"/>
  <c r="U58" i="16"/>
  <c r="K58" i="16"/>
  <c r="Q46" i="16"/>
  <c r="Q49" i="16"/>
  <c r="T46" i="16"/>
  <c r="T49" i="16"/>
  <c r="L46" i="16"/>
  <c r="L49" i="16"/>
  <c r="P58" i="16"/>
  <c r="AS33" i="16"/>
  <c r="AM57" i="16"/>
  <c r="AL57" i="16"/>
  <c r="AK57" i="16"/>
  <c r="AK58" i="16"/>
  <c r="AK43" i="16"/>
  <c r="AM43" i="16"/>
  <c r="K49" i="16"/>
  <c r="O49" i="16"/>
  <c r="H49" i="16"/>
  <c r="AJ338" i="9"/>
  <c r="AK338" i="9" s="1"/>
  <c r="AL338" i="9" s="1"/>
  <c r="AM338" i="9" s="1"/>
  <c r="AN338" i="9" s="1"/>
  <c r="AO338" i="9" s="1"/>
  <c r="AP338" i="9" s="1"/>
  <c r="AQ338" i="9" s="1"/>
  <c r="AR338" i="9" s="1"/>
  <c r="AS338" i="9" s="1"/>
  <c r="AT338" i="9" s="1"/>
  <c r="AU338" i="9" s="1"/>
  <c r="AV338" i="9" s="1"/>
  <c r="AW338" i="9" s="1"/>
  <c r="AX338" i="9" s="1"/>
  <c r="AE326" i="8"/>
  <c r="AF326" i="8" s="1"/>
  <c r="AG326" i="8" s="1"/>
  <c r="AH326" i="8" s="1"/>
  <c r="AF216" i="8"/>
  <c r="AU47" i="16"/>
  <c r="AV47" i="16"/>
  <c r="AM27" i="16"/>
  <c r="AL27" i="16"/>
  <c r="AT51" i="16"/>
  <c r="AT30" i="16"/>
  <c r="AU30" i="16"/>
  <c r="AT33" i="16"/>
  <c r="AS51" i="16"/>
  <c r="AM46" i="16"/>
  <c r="AL46" i="16"/>
  <c r="AK46" i="16"/>
  <c r="AL58" i="16"/>
  <c r="AM58" i="16"/>
  <c r="AS29" i="16"/>
  <c r="AL49" i="16"/>
  <c r="AK49" i="16"/>
  <c r="AM49" i="16"/>
  <c r="D17" i="14"/>
  <c r="C17" i="14"/>
  <c r="C24" i="14"/>
  <c r="AJ216" i="8"/>
  <c r="AJ145" i="8"/>
  <c r="AF204" i="8"/>
  <c r="AV30" i="16"/>
  <c r="AU33" i="16"/>
  <c r="AV33" i="16"/>
  <c r="AT29" i="16"/>
  <c r="AV51" i="16"/>
  <c r="AU51" i="16"/>
  <c r="D24" i="14"/>
  <c r="N586" i="8"/>
  <c r="BG586" i="8" s="1"/>
  <c r="M586" i="8"/>
  <c r="H516" i="8"/>
  <c r="I516" i="8" s="1"/>
  <c r="J516" i="8" s="1"/>
  <c r="K516" i="8" s="1"/>
  <c r="L516" i="8" s="1"/>
  <c r="M516" i="8" s="1"/>
  <c r="N516" i="8" s="1"/>
  <c r="O516" i="8" s="1"/>
  <c r="P516" i="8" s="1"/>
  <c r="Q516" i="8" s="1"/>
  <c r="R516" i="8" s="1"/>
  <c r="S516" i="8" s="1"/>
  <c r="T516" i="8" s="1"/>
  <c r="U516" i="8" s="1"/>
  <c r="V516" i="8" s="1"/>
  <c r="W516" i="8" s="1"/>
  <c r="X516" i="8" s="1"/>
  <c r="Y516" i="8" s="1"/>
  <c r="Z516" i="8" s="1"/>
  <c r="AA516" i="8" s="1"/>
  <c r="AB516" i="8" s="1"/>
  <c r="AC516" i="8" s="1"/>
  <c r="AD516" i="8" s="1"/>
  <c r="AE516" i="8" s="1"/>
  <c r="AF516" i="8" s="1"/>
  <c r="AG516" i="8" s="1"/>
  <c r="AH516" i="8" s="1"/>
  <c r="AI516" i="8" s="1"/>
  <c r="AJ516" i="8" s="1"/>
  <c r="AK516" i="8" s="1"/>
  <c r="AL516" i="8" s="1"/>
  <c r="AM516" i="8" s="1"/>
  <c r="AN516" i="8" s="1"/>
  <c r="AO516" i="8" s="1"/>
  <c r="AP516" i="8" s="1"/>
  <c r="AQ516" i="8" s="1"/>
  <c r="AR516" i="8" s="1"/>
  <c r="AS516" i="8" s="1"/>
  <c r="AT516" i="8" s="1"/>
  <c r="AU516" i="8" s="1"/>
  <c r="AV516" i="8" s="1"/>
  <c r="AW516" i="8" s="1"/>
  <c r="AX516" i="8" s="1"/>
  <c r="V4" i="8"/>
  <c r="BJ4" i="8" s="1"/>
  <c r="AN84" i="8"/>
  <c r="AN145" i="8"/>
  <c r="AN216" i="8"/>
  <c r="BO214" i="8"/>
  <c r="AJ212" i="8"/>
  <c r="AJ204" i="8"/>
  <c r="AV29" i="16"/>
  <c r="AU29" i="16"/>
  <c r="AE327" i="8"/>
  <c r="AF327" i="8" s="1"/>
  <c r="AG327" i="8" s="1"/>
  <c r="AH327" i="8" s="1"/>
  <c r="Y287" i="9"/>
  <c r="Y288" i="9" s="1"/>
  <c r="X287" i="9"/>
  <c r="X288" i="9" s="1"/>
  <c r="W287" i="9"/>
  <c r="W288" i="9" s="1"/>
  <c r="V287" i="9"/>
  <c r="V288" i="9" s="1"/>
  <c r="U287" i="9"/>
  <c r="U288" i="9" s="1"/>
  <c r="T287" i="9"/>
  <c r="T288" i="9" s="1"/>
  <c r="S287" i="9"/>
  <c r="S288" i="9" s="1"/>
  <c r="R287" i="9"/>
  <c r="R288" i="9" s="1"/>
  <c r="Q287" i="9"/>
  <c r="Q288" i="9" s="1"/>
  <c r="P287" i="9"/>
  <c r="P288" i="9" s="1"/>
  <c r="O287" i="9"/>
  <c r="O288" i="9" s="1"/>
  <c r="N287" i="9"/>
  <c r="N288" i="9" s="1"/>
  <c r="M287" i="9"/>
  <c r="M288" i="9" s="1"/>
  <c r="L287" i="9"/>
  <c r="L288" i="9" s="1"/>
  <c r="K287" i="9"/>
  <c r="K288" i="9" s="1"/>
  <c r="J287" i="9"/>
  <c r="J288" i="9" s="1"/>
  <c r="I287" i="9"/>
  <c r="I288" i="9" s="1"/>
  <c r="H287" i="9"/>
  <c r="H288" i="9" s="1"/>
  <c r="G287" i="9"/>
  <c r="G288" i="9" s="1"/>
  <c r="F287" i="9"/>
  <c r="F288" i="9" s="1"/>
  <c r="E287" i="9"/>
  <c r="E288" i="9" s="1"/>
  <c r="D287" i="9"/>
  <c r="D288" i="9" s="1"/>
  <c r="C287" i="9"/>
  <c r="C288" i="9" s="1"/>
  <c r="S121" i="8"/>
  <c r="BH588" i="8"/>
  <c r="BG588" i="8"/>
  <c r="BG592" i="8" s="1"/>
  <c r="BH587" i="8"/>
  <c r="BG587" i="8"/>
  <c r="BG591" i="8" s="1"/>
  <c r="BH520" i="8"/>
  <c r="BG520" i="8"/>
  <c r="BF520" i="8"/>
  <c r="BE520" i="8"/>
  <c r="BE524" i="8" s="1"/>
  <c r="BH519" i="8"/>
  <c r="BG519" i="8"/>
  <c r="BF519" i="8"/>
  <c r="BE519" i="8"/>
  <c r="BE523" i="8" s="1"/>
  <c r="BH344" i="8"/>
  <c r="BG344" i="8"/>
  <c r="BF344" i="8"/>
  <c r="BE344" i="8"/>
  <c r="BJ339" i="8"/>
  <c r="BH339" i="8"/>
  <c r="BG339" i="8"/>
  <c r="BF339" i="8"/>
  <c r="BE339" i="8"/>
  <c r="Q4" i="8"/>
  <c r="R4" i="8"/>
  <c r="BH4" i="8" s="1"/>
  <c r="S4" i="8"/>
  <c r="T4" i="8"/>
  <c r="U4" i="8"/>
  <c r="BE4" i="8"/>
  <c r="BF4" i="8"/>
  <c r="BG4" i="8"/>
  <c r="Q5" i="8"/>
  <c r="R5" i="8"/>
  <c r="BH5" i="8" s="1"/>
  <c r="S5" i="8"/>
  <c r="T5" i="8"/>
  <c r="BE5" i="8"/>
  <c r="BF5" i="8"/>
  <c r="BG5" i="8"/>
  <c r="Q6" i="8"/>
  <c r="R6" i="8"/>
  <c r="S6" i="8"/>
  <c r="T6" i="8"/>
  <c r="BE6" i="8"/>
  <c r="BF6" i="8"/>
  <c r="BG6" i="8"/>
  <c r="T586" i="8"/>
  <c r="S586" i="8"/>
  <c r="R586" i="8"/>
  <c r="BH586" i="8" s="1"/>
  <c r="Q586" i="8"/>
  <c r="P586" i="8"/>
  <c r="O586" i="8"/>
  <c r="T518" i="8"/>
  <c r="S518" i="8"/>
  <c r="R518" i="8"/>
  <c r="BH518" i="8" s="1"/>
  <c r="Q518" i="8"/>
  <c r="P518" i="8"/>
  <c r="O518" i="8"/>
  <c r="N518" i="8"/>
  <c r="BG518" i="8" s="1"/>
  <c r="M518" i="8"/>
  <c r="L518" i="8"/>
  <c r="K518" i="8"/>
  <c r="J518" i="8"/>
  <c r="BF518" i="8" s="1"/>
  <c r="I518" i="8"/>
  <c r="H518" i="8"/>
  <c r="G518" i="8"/>
  <c r="F518" i="8"/>
  <c r="BE518" i="8" s="1"/>
  <c r="BE532" i="8" s="1"/>
  <c r="E518" i="8"/>
  <c r="D518" i="8"/>
  <c r="C518" i="8"/>
  <c r="L655" i="8"/>
  <c r="K655" i="8"/>
  <c r="H655" i="8"/>
  <c r="G655" i="8"/>
  <c r="BK520" i="8"/>
  <c r="D655" i="8"/>
  <c r="E655" i="8"/>
  <c r="F655" i="8"/>
  <c r="F656" i="8" s="1"/>
  <c r="U518" i="8"/>
  <c r="BJ519" i="8"/>
  <c r="BJ520" i="8"/>
  <c r="C655" i="8"/>
  <c r="J655" i="8"/>
  <c r="M655" i="8"/>
  <c r="V518" i="8"/>
  <c r="Q655" i="8"/>
  <c r="N655" i="8"/>
  <c r="V5" i="8"/>
  <c r="BJ5" i="8" s="1"/>
  <c r="AY225" i="9"/>
  <c r="BG57" i="9"/>
  <c r="BF57" i="9"/>
  <c r="BL520" i="8"/>
  <c r="BK519" i="8"/>
  <c r="BE307" i="9"/>
  <c r="BE300" i="9"/>
  <c r="BD300" i="9"/>
  <c r="P655" i="8"/>
  <c r="R655" i="8"/>
  <c r="I655" i="8"/>
  <c r="BD307" i="9"/>
  <c r="O655" i="8"/>
  <c r="S655" i="8"/>
  <c r="AB4" i="8"/>
  <c r="AF347" i="8"/>
  <c r="AJ347" i="8" s="1"/>
  <c r="AA518" i="8"/>
  <c r="AA526" i="8" s="1"/>
  <c r="X518" i="8"/>
  <c r="X526" i="8" s="1"/>
  <c r="AC4" i="8"/>
  <c r="AB5" i="8"/>
  <c r="AB518" i="8"/>
  <c r="Y518" i="8"/>
  <c r="Y526" i="8" s="1"/>
  <c r="Z518" i="8"/>
  <c r="Z526" i="8" s="1"/>
  <c r="AE340" i="8"/>
  <c r="AF340" i="8" s="1"/>
  <c r="AB6" i="8"/>
  <c r="AC518" i="8"/>
  <c r="AC5" i="8"/>
  <c r="BL339" i="8"/>
  <c r="AD4" i="8"/>
  <c r="AE518" i="8"/>
  <c r="BM518" i="8" s="1"/>
  <c r="AD518" i="8"/>
  <c r="BL519" i="8"/>
  <c r="AD5" i="8"/>
  <c r="BE292" i="9"/>
  <c r="BD292" i="9"/>
  <c r="S292" i="9"/>
  <c r="O292" i="9"/>
  <c r="K292" i="9"/>
  <c r="S284" i="9"/>
  <c r="S285" i="9" s="1"/>
  <c r="R284" i="9"/>
  <c r="R285" i="9" s="1"/>
  <c r="Q284" i="9"/>
  <c r="Q285" i="9" s="1"/>
  <c r="P284" i="9"/>
  <c r="P285" i="9" s="1"/>
  <c r="O284" i="9"/>
  <c r="O285" i="9" s="1"/>
  <c r="N284" i="9"/>
  <c r="N285" i="9" s="1"/>
  <c r="M284" i="9"/>
  <c r="M285" i="9" s="1"/>
  <c r="L284" i="9"/>
  <c r="L285" i="9" s="1"/>
  <c r="K284" i="9"/>
  <c r="K285" i="9" s="1"/>
  <c r="J284" i="9"/>
  <c r="J285" i="9" s="1"/>
  <c r="I284" i="9"/>
  <c r="I285" i="9" s="1"/>
  <c r="H284" i="9"/>
  <c r="H285" i="9" s="1"/>
  <c r="G284" i="9"/>
  <c r="G285" i="9" s="1"/>
  <c r="F284" i="9"/>
  <c r="F285" i="9" s="1"/>
  <c r="E284" i="9"/>
  <c r="E285" i="9" s="1"/>
  <c r="D284" i="9"/>
  <c r="D285" i="9" s="1"/>
  <c r="C284" i="9"/>
  <c r="C285" i="9" s="1"/>
  <c r="T284" i="9"/>
  <c r="U282" i="9" s="1"/>
  <c r="S362" i="9"/>
  <c r="R362" i="9"/>
  <c r="S366" i="9"/>
  <c r="R366" i="9"/>
  <c r="S365" i="9"/>
  <c r="R365" i="9"/>
  <c r="T366" i="9"/>
  <c r="T365" i="9"/>
  <c r="S302" i="9"/>
  <c r="T302" i="9"/>
  <c r="S303" i="9"/>
  <c r="T303" i="9"/>
  <c r="S307" i="9"/>
  <c r="T57" i="9"/>
  <c r="O307" i="9"/>
  <c r="K307" i="9"/>
  <c r="Q303" i="9"/>
  <c r="P303" i="9"/>
  <c r="O303" i="9"/>
  <c r="N303" i="9"/>
  <c r="M303" i="9"/>
  <c r="L303" i="9"/>
  <c r="K303" i="9"/>
  <c r="J303" i="9"/>
  <c r="I303" i="9"/>
  <c r="H303" i="9"/>
  <c r="G303" i="9"/>
  <c r="F303" i="9"/>
  <c r="E303" i="9"/>
  <c r="D303" i="9"/>
  <c r="C303" i="9"/>
  <c r="Q302" i="9"/>
  <c r="P302" i="9"/>
  <c r="O302" i="9"/>
  <c r="N302" i="9"/>
  <c r="M302" i="9"/>
  <c r="L302" i="9"/>
  <c r="K302" i="9"/>
  <c r="J302" i="9"/>
  <c r="I302" i="9"/>
  <c r="H302" i="9"/>
  <c r="G302" i="9"/>
  <c r="F302" i="9"/>
  <c r="E302" i="9"/>
  <c r="D302" i="9"/>
  <c r="C302" i="9"/>
  <c r="R303" i="9"/>
  <c r="R302" i="9"/>
  <c r="S280" i="9"/>
  <c r="O280" i="9"/>
  <c r="K280" i="9"/>
  <c r="K279" i="9" s="1"/>
  <c r="J280" i="9"/>
  <c r="I280" i="9"/>
  <c r="H280" i="9"/>
  <c r="G280" i="9"/>
  <c r="F280" i="9"/>
  <c r="E280" i="9"/>
  <c r="D280" i="9"/>
  <c r="C280" i="9"/>
  <c r="AB233" i="9"/>
  <c r="AB75" i="9" s="1"/>
  <c r="BJ230" i="9"/>
  <c r="P300" i="9"/>
  <c r="P299" i="9" s="1"/>
  <c r="L300" i="9"/>
  <c r="L299" i="9" s="1"/>
  <c r="T300" i="9"/>
  <c r="T299" i="9" s="1"/>
  <c r="T292" i="9"/>
  <c r="T307" i="9"/>
  <c r="T362" i="9"/>
  <c r="U57" i="9"/>
  <c r="L292" i="9"/>
  <c r="P292" i="9"/>
  <c r="BD280" i="9"/>
  <c r="BE280" i="9"/>
  <c r="P280" i="9"/>
  <c r="P279" i="9" s="1"/>
  <c r="P307" i="9"/>
  <c r="L307" i="9"/>
  <c r="T280" i="9"/>
  <c r="L280" i="9"/>
  <c r="L279" i="9" s="1"/>
  <c r="T76" i="8"/>
  <c r="T58" i="8"/>
  <c r="S58" i="8"/>
  <c r="R58" i="8"/>
  <c r="Q58" i="8"/>
  <c r="P58" i="8"/>
  <c r="O58" i="8"/>
  <c r="N58" i="8"/>
  <c r="M58" i="8"/>
  <c r="L58" i="8"/>
  <c r="K58" i="8"/>
  <c r="J58" i="8"/>
  <c r="H58" i="8"/>
  <c r="G58" i="8"/>
  <c r="I58" i="8"/>
  <c r="BK230" i="9"/>
  <c r="U292" i="9"/>
  <c r="V292" i="9"/>
  <c r="U362" i="9"/>
  <c r="U307" i="9"/>
  <c r="M307" i="9"/>
  <c r="M300" i="9"/>
  <c r="M299" i="9" s="1"/>
  <c r="Q300" i="9"/>
  <c r="Q299" i="9" s="1"/>
  <c r="Q307" i="9"/>
  <c r="V362" i="9"/>
  <c r="V57" i="9"/>
  <c r="V307" i="9"/>
  <c r="R307" i="9"/>
  <c r="N307" i="9"/>
  <c r="V233" i="9"/>
  <c r="BH230" i="9"/>
  <c r="BI230" i="9"/>
  <c r="BG230" i="9"/>
  <c r="BG233" i="9" s="1"/>
  <c r="BF230" i="9"/>
  <c r="BF233" i="9" s="1"/>
  <c r="BE230" i="9"/>
  <c r="BE233" i="9" s="1"/>
  <c r="BD230" i="9"/>
  <c r="BD233" i="9" s="1"/>
  <c r="T233" i="9"/>
  <c r="T75" i="9" s="1"/>
  <c r="S233" i="9"/>
  <c r="R233" i="9"/>
  <c r="Q233" i="9"/>
  <c r="P233" i="9"/>
  <c r="P75" i="9" s="1"/>
  <c r="O233" i="9"/>
  <c r="N233" i="9"/>
  <c r="N75" i="9" s="1"/>
  <c r="M233" i="9"/>
  <c r="L233" i="9"/>
  <c r="L75" i="9" s="1"/>
  <c r="K233" i="9"/>
  <c r="K75" i="9" s="1"/>
  <c r="J233" i="9"/>
  <c r="J75" i="9" s="1"/>
  <c r="I233" i="9"/>
  <c r="I75" i="9" s="1"/>
  <c r="H233" i="9"/>
  <c r="H75" i="9" s="1"/>
  <c r="G233" i="9"/>
  <c r="F233" i="9"/>
  <c r="E233" i="9"/>
  <c r="E75" i="9" s="1"/>
  <c r="BF307" i="9"/>
  <c r="BG307" i="9"/>
  <c r="U233" i="9"/>
  <c r="U75" i="9" s="1"/>
  <c r="G68" i="12"/>
  <c r="H68" i="12" s="1"/>
  <c r="I68" i="12" s="1"/>
  <c r="J68" i="12" s="1"/>
  <c r="K68" i="12" s="1"/>
  <c r="L68" i="12" s="1"/>
  <c r="M68" i="12" s="1"/>
  <c r="N68" i="12" s="1"/>
  <c r="O68" i="12" s="1"/>
  <c r="P68" i="12" s="1"/>
  <c r="Q68" i="12" s="1"/>
  <c r="R68" i="12" s="1"/>
  <c r="S68" i="12" s="1"/>
  <c r="T68" i="12" s="1"/>
  <c r="U68" i="12" s="1"/>
  <c r="G46" i="12"/>
  <c r="H46" i="12" s="1"/>
  <c r="I46" i="12" s="1"/>
  <c r="J46" i="12" s="1"/>
  <c r="K46" i="12" s="1"/>
  <c r="L46" i="12" s="1"/>
  <c r="M46" i="12" s="1"/>
  <c r="N46" i="12" s="1"/>
  <c r="O46" i="12" s="1"/>
  <c r="P46" i="12" s="1"/>
  <c r="Q46" i="12" s="1"/>
  <c r="R46" i="12" s="1"/>
  <c r="S46" i="12" s="1"/>
  <c r="T46" i="12" s="1"/>
  <c r="U46" i="12" s="1"/>
  <c r="G2" i="12"/>
  <c r="H2" i="12" s="1"/>
  <c r="I2" i="12" s="1"/>
  <c r="J2" i="12" s="1"/>
  <c r="K2" i="12" s="1"/>
  <c r="L2" i="12" s="1"/>
  <c r="M2" i="12" s="1"/>
  <c r="N2" i="12" s="1"/>
  <c r="O2" i="12" s="1"/>
  <c r="P2" i="12" s="1"/>
  <c r="Q2" i="12" s="1"/>
  <c r="R2" i="12" s="1"/>
  <c r="S2" i="12" s="1"/>
  <c r="T2" i="12" s="1"/>
  <c r="U2" i="12" s="1"/>
  <c r="C2" i="11"/>
  <c r="E2" i="11" s="1"/>
  <c r="BE509" i="8"/>
  <c r="Z509" i="8"/>
  <c r="Y509" i="8"/>
  <c r="X509" i="8"/>
  <c r="W509" i="8"/>
  <c r="V509" i="8"/>
  <c r="T318" i="9"/>
  <c r="T317" i="9" s="1"/>
  <c r="S318" i="9"/>
  <c r="S317" i="9" s="1"/>
  <c r="R318" i="9"/>
  <c r="R317" i="9" s="1"/>
  <c r="Q318" i="9"/>
  <c r="P318" i="9"/>
  <c r="O318" i="9"/>
  <c r="N318" i="9"/>
  <c r="M318" i="9"/>
  <c r="L318" i="9"/>
  <c r="K318" i="9"/>
  <c r="BK2" i="8"/>
  <c r="BJ2" i="8"/>
  <c r="BH2" i="8"/>
  <c r="BG2" i="8"/>
  <c r="BF2" i="8"/>
  <c r="BE2" i="8"/>
  <c r="Z2" i="8"/>
  <c r="Y2" i="8"/>
  <c r="X2" i="8"/>
  <c r="W2" i="8"/>
  <c r="V2" i="8"/>
  <c r="U2" i="8"/>
  <c r="T2" i="8"/>
  <c r="S2" i="8"/>
  <c r="R2" i="8"/>
  <c r="Q2" i="8"/>
  <c r="P2" i="8"/>
  <c r="O2" i="8"/>
  <c r="N2" i="8"/>
  <c r="M2" i="8"/>
  <c r="L2" i="8"/>
  <c r="K2" i="8"/>
  <c r="J2" i="8"/>
  <c r="I2" i="8"/>
  <c r="H2" i="8"/>
  <c r="G2" i="8"/>
  <c r="F2" i="8"/>
  <c r="E2" i="8"/>
  <c r="D2" i="8"/>
  <c r="C2" i="8"/>
  <c r="BG207" i="9"/>
  <c r="BG66" i="9" s="1"/>
  <c r="BF207" i="9"/>
  <c r="BE207" i="9"/>
  <c r="BE66" i="9" s="1"/>
  <c r="BD207" i="9"/>
  <c r="BD66" i="9" s="1"/>
  <c r="BH276" i="9"/>
  <c r="BG276" i="9"/>
  <c r="BD276" i="9"/>
  <c r="BH269" i="9"/>
  <c r="BG269" i="9"/>
  <c r="BD269" i="9"/>
  <c r="BH222" i="9"/>
  <c r="BG222" i="9"/>
  <c r="BD222" i="9"/>
  <c r="BH205" i="9"/>
  <c r="BG205" i="9"/>
  <c r="BD205" i="9"/>
  <c r="BH96" i="9"/>
  <c r="BG96" i="9"/>
  <c r="BD96" i="9"/>
  <c r="BI141" i="9"/>
  <c r="BI161" i="9" s="1"/>
  <c r="BG141" i="9"/>
  <c r="BG161" i="9" s="1"/>
  <c r="BF141" i="9"/>
  <c r="BF161" i="9" s="1"/>
  <c r="BE141" i="9"/>
  <c r="BE161" i="9" s="1"/>
  <c r="BD141" i="9"/>
  <c r="BD161" i="9" s="1"/>
  <c r="BG140" i="9"/>
  <c r="BG160" i="9" s="1"/>
  <c r="BF140" i="9"/>
  <c r="BF160" i="9" s="1"/>
  <c r="BE140" i="9"/>
  <c r="BF139" i="9"/>
  <c r="BE139" i="9"/>
  <c r="BD139" i="9"/>
  <c r="BH135" i="9"/>
  <c r="BG135" i="9"/>
  <c r="BF135" i="9"/>
  <c r="BE135" i="9"/>
  <c r="BD135" i="9"/>
  <c r="BG132" i="9"/>
  <c r="BF132" i="9"/>
  <c r="BE132" i="9"/>
  <c r="BD132" i="9"/>
  <c r="BG130" i="9"/>
  <c r="BF130" i="9"/>
  <c r="BE130" i="9"/>
  <c r="BD130" i="9"/>
  <c r="BE127" i="9"/>
  <c r="BD127" i="9"/>
  <c r="BI163" i="9"/>
  <c r="BH163" i="9"/>
  <c r="BG163" i="9"/>
  <c r="BF163" i="9"/>
  <c r="BE163" i="9"/>
  <c r="BD163" i="9"/>
  <c r="BG123" i="9"/>
  <c r="BF123" i="9"/>
  <c r="BE123" i="9"/>
  <c r="BD123" i="9"/>
  <c r="BG122" i="9"/>
  <c r="BF122" i="9"/>
  <c r="BE122" i="9"/>
  <c r="BD122" i="9"/>
  <c r="BG118" i="9"/>
  <c r="BF118" i="9"/>
  <c r="BE118" i="9"/>
  <c r="BD118" i="9"/>
  <c r="BG117" i="9"/>
  <c r="BF117" i="9"/>
  <c r="BE117" i="9"/>
  <c r="BD117" i="9"/>
  <c r="BD157" i="9" s="1"/>
  <c r="BG119" i="9"/>
  <c r="BF119" i="9"/>
  <c r="BE119" i="9"/>
  <c r="BD119" i="9"/>
  <c r="BG113" i="9"/>
  <c r="BF113" i="9"/>
  <c r="BE113" i="9"/>
  <c r="BD113" i="9"/>
  <c r="BG114" i="9"/>
  <c r="BF114" i="9"/>
  <c r="BE114" i="9"/>
  <c r="BD114" i="9"/>
  <c r="BG112" i="9"/>
  <c r="BF112" i="9"/>
  <c r="BE112" i="9"/>
  <c r="BD112" i="9"/>
  <c r="BG110" i="9"/>
  <c r="BF110" i="9"/>
  <c r="BE110" i="9"/>
  <c r="BD110" i="9"/>
  <c r="BG107" i="9"/>
  <c r="BF107" i="9"/>
  <c r="BE107" i="9"/>
  <c r="BD107" i="9"/>
  <c r="BI103" i="9"/>
  <c r="BG103" i="9"/>
  <c r="BF103" i="9"/>
  <c r="BE103" i="9"/>
  <c r="BD103" i="9"/>
  <c r="BG102" i="9"/>
  <c r="BF102" i="9"/>
  <c r="BE102" i="9"/>
  <c r="BD102" i="9"/>
  <c r="BG100" i="9"/>
  <c r="BF100" i="9"/>
  <c r="BE100" i="9"/>
  <c r="BD100" i="9"/>
  <c r="BG99" i="9"/>
  <c r="BF99" i="9"/>
  <c r="BE99" i="9"/>
  <c r="BD99" i="9"/>
  <c r="BG98" i="9"/>
  <c r="BF98" i="9"/>
  <c r="BE98" i="9"/>
  <c r="BD98" i="9"/>
  <c r="BD155" i="9" s="1"/>
  <c r="BH41" i="9"/>
  <c r="J35" i="12" s="1"/>
  <c r="BG41" i="9"/>
  <c r="I35" i="12" s="1"/>
  <c r="BF41" i="9"/>
  <c r="H35" i="12" s="1"/>
  <c r="BE41" i="9"/>
  <c r="G35" i="12" s="1"/>
  <c r="BD41" i="9"/>
  <c r="C35" i="12" s="1"/>
  <c r="BD28" i="9"/>
  <c r="BD27" i="9"/>
  <c r="T3" i="9"/>
  <c r="T5" i="9"/>
  <c r="T8" i="9"/>
  <c r="T13" i="9"/>
  <c r="T15" i="9"/>
  <c r="T19" i="9"/>
  <c r="T26" i="9"/>
  <c r="T34" i="9"/>
  <c r="BI2" i="9"/>
  <c r="BI238" i="9" s="1"/>
  <c r="BE2" i="9"/>
  <c r="BE238" i="9" s="1"/>
  <c r="BH96" i="8"/>
  <c r="BG218" i="9" s="1"/>
  <c r="BG96" i="8"/>
  <c r="BF218" i="9" s="1"/>
  <c r="BF96" i="8"/>
  <c r="BE218" i="9" s="1"/>
  <c r="BE96" i="8"/>
  <c r="BD218" i="9" s="1"/>
  <c r="BL3" i="8"/>
  <c r="BM3" i="8" s="1"/>
  <c r="BN3" i="8" s="1"/>
  <c r="BO3" i="8" s="1"/>
  <c r="BP3" i="8" s="1"/>
  <c r="BQ3" i="8" s="1"/>
  <c r="BR3" i="8" s="1"/>
  <c r="BS3" i="8" s="1"/>
  <c r="BT3" i="8" s="1"/>
  <c r="BU3" i="8" s="1"/>
  <c r="L201" i="16"/>
  <c r="L227" i="16"/>
  <c r="L210" i="16"/>
  <c r="T227" i="16"/>
  <c r="T195" i="16"/>
  <c r="T210" i="16"/>
  <c r="T201" i="16"/>
  <c r="S201" i="16"/>
  <c r="S227" i="16"/>
  <c r="S228" i="16"/>
  <c r="M201" i="16"/>
  <c r="M210" i="16"/>
  <c r="M227" i="16"/>
  <c r="U201" i="16"/>
  <c r="U227" i="16"/>
  <c r="U210" i="16"/>
  <c r="U204" i="16"/>
  <c r="N201" i="16"/>
  <c r="N210" i="16"/>
  <c r="N227" i="16"/>
  <c r="AQ210" i="16"/>
  <c r="AQ227" i="16"/>
  <c r="AQ228" i="16"/>
  <c r="G210" i="16"/>
  <c r="G227" i="16"/>
  <c r="O201" i="16"/>
  <c r="O210" i="16"/>
  <c r="O227" i="16"/>
  <c r="R201" i="16"/>
  <c r="R210" i="16"/>
  <c r="R227" i="16"/>
  <c r="H210" i="16"/>
  <c r="H227" i="16"/>
  <c r="P201" i="16"/>
  <c r="P210" i="16"/>
  <c r="P227" i="16"/>
  <c r="J210" i="16"/>
  <c r="J227" i="16"/>
  <c r="K201" i="16"/>
  <c r="K210" i="16"/>
  <c r="K227" i="16"/>
  <c r="I227" i="16"/>
  <c r="I210" i="16"/>
  <c r="Q201" i="16"/>
  <c r="Q216" i="16"/>
  <c r="Q227" i="16"/>
  <c r="Q210" i="16"/>
  <c r="AO210" i="16"/>
  <c r="AO228" i="16"/>
  <c r="AO227" i="16"/>
  <c r="BF509" i="8"/>
  <c r="G111" i="16"/>
  <c r="G201" i="16"/>
  <c r="H111" i="16"/>
  <c r="H201" i="16"/>
  <c r="J111" i="16"/>
  <c r="J201" i="16"/>
  <c r="I111" i="16"/>
  <c r="I201" i="16"/>
  <c r="AO219" i="16"/>
  <c r="AO214" i="16"/>
  <c r="AO216" i="16"/>
  <c r="AQ219" i="16"/>
  <c r="AQ215" i="16"/>
  <c r="AQ214" i="16"/>
  <c r="AQ216" i="16"/>
  <c r="AQ204" i="16"/>
  <c r="AK111" i="16"/>
  <c r="AK258" i="16"/>
  <c r="AK261" i="16"/>
  <c r="AL111" i="16"/>
  <c r="AL261" i="16"/>
  <c r="AL258" i="16"/>
  <c r="AM111" i="16"/>
  <c r="AM261" i="16"/>
  <c r="AM258" i="16"/>
  <c r="H216" i="16"/>
  <c r="H215" i="16"/>
  <c r="H223" i="16"/>
  <c r="H214" i="16"/>
  <c r="H219" i="16"/>
  <c r="H195" i="16"/>
  <c r="H228" i="16"/>
  <c r="H204" i="16"/>
  <c r="H258" i="16"/>
  <c r="H261" i="16"/>
  <c r="P216" i="16"/>
  <c r="P215" i="16"/>
  <c r="P195" i="16"/>
  <c r="P223" i="16"/>
  <c r="P214" i="16"/>
  <c r="P228" i="16"/>
  <c r="P219" i="16"/>
  <c r="P204" i="16"/>
  <c r="P111" i="16"/>
  <c r="P407" i="8"/>
  <c r="T408" i="8" s="1"/>
  <c r="P261" i="16"/>
  <c r="P258" i="16"/>
  <c r="I223" i="16"/>
  <c r="I215" i="16"/>
  <c r="I228" i="16"/>
  <c r="I214" i="16"/>
  <c r="I219" i="16"/>
  <c r="I195" i="16"/>
  <c r="I216" i="16"/>
  <c r="I204" i="16"/>
  <c r="I258" i="16"/>
  <c r="I261" i="16"/>
  <c r="Q223" i="16"/>
  <c r="Q215" i="16"/>
  <c r="Q214" i="16"/>
  <c r="Q195" i="16"/>
  <c r="Q228" i="16"/>
  <c r="Q219" i="16"/>
  <c r="Q204" i="16"/>
  <c r="Q111" i="16"/>
  <c r="Q407" i="8"/>
  <c r="U408" i="8" s="1"/>
  <c r="Q258" i="16"/>
  <c r="Q261" i="16"/>
  <c r="J223" i="16"/>
  <c r="J228" i="16"/>
  <c r="J219" i="16"/>
  <c r="J216" i="16"/>
  <c r="J195" i="16"/>
  <c r="J214" i="16"/>
  <c r="J215" i="16"/>
  <c r="J204" i="16"/>
  <c r="J261" i="16"/>
  <c r="J258" i="16"/>
  <c r="R223" i="16"/>
  <c r="R228" i="16"/>
  <c r="R195" i="16"/>
  <c r="R215" i="16"/>
  <c r="R219" i="16"/>
  <c r="R214" i="16"/>
  <c r="R216" i="16"/>
  <c r="R204" i="16"/>
  <c r="R111" i="16"/>
  <c r="R258" i="16"/>
  <c r="R261" i="16"/>
  <c r="K228" i="16"/>
  <c r="K214" i="16"/>
  <c r="K216" i="16"/>
  <c r="K223" i="16"/>
  <c r="K219" i="16"/>
  <c r="K195" i="16"/>
  <c r="K215" i="16"/>
  <c r="K204" i="16"/>
  <c r="K111" i="16"/>
  <c r="K258" i="16"/>
  <c r="K261" i="16"/>
  <c r="S214" i="16"/>
  <c r="S215" i="16"/>
  <c r="S219" i="16"/>
  <c r="S195" i="16"/>
  <c r="S216" i="16"/>
  <c r="S223" i="16"/>
  <c r="S204" i="16"/>
  <c r="S261" i="16"/>
  <c r="S258" i="16"/>
  <c r="L228" i="16"/>
  <c r="L214" i="16"/>
  <c r="L219" i="16"/>
  <c r="L195" i="16"/>
  <c r="L223" i="16"/>
  <c r="L216" i="16"/>
  <c r="L215" i="16"/>
  <c r="L204" i="16"/>
  <c r="L111" i="16"/>
  <c r="L258" i="16"/>
  <c r="L261" i="16"/>
  <c r="T228" i="16"/>
  <c r="T214" i="16"/>
  <c r="T223" i="16"/>
  <c r="T219" i="16"/>
  <c r="T216" i="16"/>
  <c r="T215" i="16"/>
  <c r="T204" i="16"/>
  <c r="T111" i="16"/>
  <c r="T261" i="16"/>
  <c r="T258" i="16"/>
  <c r="M214" i="16"/>
  <c r="M219" i="16"/>
  <c r="M195" i="16"/>
  <c r="M223" i="16"/>
  <c r="M228" i="16"/>
  <c r="M216" i="16"/>
  <c r="M215" i="16"/>
  <c r="M204" i="16"/>
  <c r="M111" i="16"/>
  <c r="M258" i="16"/>
  <c r="M261" i="16"/>
  <c r="U214" i="16"/>
  <c r="U228" i="16"/>
  <c r="U219" i="16"/>
  <c r="U216" i="16"/>
  <c r="U215" i="16"/>
  <c r="U223" i="16"/>
  <c r="U195" i="16"/>
  <c r="U111" i="16"/>
  <c r="U258" i="16"/>
  <c r="U261" i="16"/>
  <c r="N214" i="16"/>
  <c r="N219" i="16"/>
  <c r="N195" i="16"/>
  <c r="N216" i="16"/>
  <c r="N215" i="16"/>
  <c r="N223" i="16"/>
  <c r="N228" i="16"/>
  <c r="N204" i="16"/>
  <c r="N111" i="16"/>
  <c r="N261" i="16"/>
  <c r="N258" i="16"/>
  <c r="G219" i="16"/>
  <c r="G223" i="16"/>
  <c r="G195" i="16"/>
  <c r="G216" i="16"/>
  <c r="G215" i="16"/>
  <c r="G228" i="16"/>
  <c r="G214" i="16"/>
  <c r="G204" i="16"/>
  <c r="G258" i="16"/>
  <c r="G261" i="16"/>
  <c r="O219" i="16"/>
  <c r="O195" i="16"/>
  <c r="O216" i="16"/>
  <c r="O215" i="16"/>
  <c r="O228" i="16"/>
  <c r="O223" i="16"/>
  <c r="O214" i="16"/>
  <c r="O204" i="16"/>
  <c r="O111" i="16"/>
  <c r="O407" i="8" s="1"/>
  <c r="S408" i="8" s="1"/>
  <c r="O261" i="16"/>
  <c r="O258" i="16"/>
  <c r="J179" i="16"/>
  <c r="J178" i="16"/>
  <c r="J180" i="16"/>
  <c r="J189" i="16"/>
  <c r="R179" i="16"/>
  <c r="R178" i="16"/>
  <c r="R180" i="16"/>
  <c r="R189" i="16"/>
  <c r="K179" i="16"/>
  <c r="K178" i="16"/>
  <c r="K180" i="16"/>
  <c r="K189" i="16"/>
  <c r="S179" i="16"/>
  <c r="S178" i="16"/>
  <c r="S180" i="16"/>
  <c r="S189" i="16"/>
  <c r="H178" i="16"/>
  <c r="H179" i="16"/>
  <c r="H180" i="16"/>
  <c r="H189" i="16"/>
  <c r="L179" i="16"/>
  <c r="L178" i="16"/>
  <c r="L180" i="16"/>
  <c r="L189" i="16"/>
  <c r="T179" i="16"/>
  <c r="T178" i="16"/>
  <c r="T180" i="16"/>
  <c r="T189" i="16"/>
  <c r="M179" i="16"/>
  <c r="M178" i="16"/>
  <c r="M180" i="16"/>
  <c r="M189" i="16"/>
  <c r="U179" i="16"/>
  <c r="U178" i="16"/>
  <c r="U180" i="16"/>
  <c r="U189" i="16"/>
  <c r="I179" i="16"/>
  <c r="I178" i="16"/>
  <c r="I180" i="16"/>
  <c r="I189" i="16"/>
  <c r="N178" i="16"/>
  <c r="N179" i="16"/>
  <c r="N180" i="16"/>
  <c r="N189" i="16"/>
  <c r="P178" i="16"/>
  <c r="P179" i="16"/>
  <c r="P180" i="16"/>
  <c r="P189" i="16"/>
  <c r="Q179" i="16"/>
  <c r="Q178" i="16"/>
  <c r="Q180" i="16"/>
  <c r="Q189" i="16"/>
  <c r="G178" i="16"/>
  <c r="G179" i="16"/>
  <c r="G180" i="16"/>
  <c r="G189" i="16"/>
  <c r="O178" i="16"/>
  <c r="O179" i="16"/>
  <c r="O180" i="16"/>
  <c r="O189" i="16"/>
  <c r="U509" i="8"/>
  <c r="U294" i="9"/>
  <c r="U318" i="9"/>
  <c r="U317" i="9" s="1"/>
  <c r="U309" i="9"/>
  <c r="D14" i="10"/>
  <c r="D15" i="10"/>
  <c r="L14" i="10"/>
  <c r="L15" i="10"/>
  <c r="L335" i="8" s="1"/>
  <c r="T15" i="10"/>
  <c r="T335" i="8" s="1"/>
  <c r="T14" i="10"/>
  <c r="BD15" i="10"/>
  <c r="BE510" i="8"/>
  <c r="E14" i="10"/>
  <c r="E15" i="10"/>
  <c r="M14" i="10"/>
  <c r="M15" i="10"/>
  <c r="M335" i="8" s="1"/>
  <c r="U14" i="10"/>
  <c r="U15" i="10"/>
  <c r="U335" i="8" s="1"/>
  <c r="BE15" i="10"/>
  <c r="BF335" i="8"/>
  <c r="K14" i="10"/>
  <c r="K15" i="10"/>
  <c r="K335" i="8" s="1"/>
  <c r="F14" i="10"/>
  <c r="F15" i="10"/>
  <c r="N15" i="10"/>
  <c r="N335" i="8" s="1"/>
  <c r="N14" i="10"/>
  <c r="V14" i="10"/>
  <c r="V15" i="10"/>
  <c r="V335" i="8" s="1"/>
  <c r="BF15" i="10"/>
  <c r="BG335" i="8" s="1"/>
  <c r="S14" i="10"/>
  <c r="S15" i="10"/>
  <c r="S335" i="8" s="1"/>
  <c r="G14" i="10"/>
  <c r="G15" i="10"/>
  <c r="G335" i="8"/>
  <c r="O14" i="10"/>
  <c r="O15" i="10"/>
  <c r="O335" i="8" s="1"/>
  <c r="W14" i="10"/>
  <c r="W15" i="10"/>
  <c r="W335" i="8"/>
  <c r="BG15" i="10"/>
  <c r="BH335" i="8" s="1"/>
  <c r="C15" i="10"/>
  <c r="C14" i="10"/>
  <c r="H14" i="10"/>
  <c r="H15" i="10"/>
  <c r="H335" i="8"/>
  <c r="P14" i="10"/>
  <c r="P15" i="10"/>
  <c r="P335" i="8" s="1"/>
  <c r="X14" i="10"/>
  <c r="X15" i="10"/>
  <c r="X335" i="8"/>
  <c r="BH15" i="10"/>
  <c r="BJ335" i="8" s="1"/>
  <c r="I14" i="10"/>
  <c r="I15" i="10"/>
  <c r="I335" i="8"/>
  <c r="Q14" i="10"/>
  <c r="Q15" i="10"/>
  <c r="Q335" i="8"/>
  <c r="Y14" i="10"/>
  <c r="Y510" i="8"/>
  <c r="Y532" i="8" s="1"/>
  <c r="BI15" i="10"/>
  <c r="BK335" i="8"/>
  <c r="BK15" i="10"/>
  <c r="BM335" i="8" s="1"/>
  <c r="J14" i="10"/>
  <c r="J15" i="10"/>
  <c r="J335" i="8" s="1"/>
  <c r="R14" i="10"/>
  <c r="R15" i="10"/>
  <c r="R335" i="8" s="1"/>
  <c r="Z510" i="8"/>
  <c r="Z14" i="10"/>
  <c r="Z15" i="10"/>
  <c r="Z335" i="8"/>
  <c r="BJ15" i="10"/>
  <c r="BL335" i="8" s="1"/>
  <c r="R294" i="9"/>
  <c r="R309" i="9"/>
  <c r="K294" i="9"/>
  <c r="K309" i="9"/>
  <c r="S294" i="9"/>
  <c r="S309" i="9"/>
  <c r="L294" i="9"/>
  <c r="L309" i="9"/>
  <c r="T294" i="9"/>
  <c r="T309" i="9"/>
  <c r="M309" i="9"/>
  <c r="M294" i="9"/>
  <c r="N294" i="9"/>
  <c r="N309" i="9"/>
  <c r="O294" i="9"/>
  <c r="O309" i="9"/>
  <c r="P309" i="9"/>
  <c r="P294" i="9"/>
  <c r="Q294" i="9"/>
  <c r="Q309" i="9"/>
  <c r="BH309" i="9"/>
  <c r="BI309" i="9"/>
  <c r="BD309" i="9"/>
  <c r="BE309" i="9"/>
  <c r="BF309" i="9"/>
  <c r="BG309" i="9"/>
  <c r="F12" i="13"/>
  <c r="G12" i="13" s="1"/>
  <c r="H12" i="13" s="1"/>
  <c r="I12" i="13" s="1"/>
  <c r="BK80" i="8"/>
  <c r="U163" i="9"/>
  <c r="U161" i="9"/>
  <c r="O209" i="9"/>
  <c r="G209" i="9"/>
  <c r="H209" i="9"/>
  <c r="I209" i="9"/>
  <c r="J209" i="9"/>
  <c r="L209" i="9"/>
  <c r="M209" i="9"/>
  <c r="N209" i="9"/>
  <c r="P209" i="9"/>
  <c r="Q209" i="9"/>
  <c r="R209" i="9"/>
  <c r="S209" i="9"/>
  <c r="T209" i="9"/>
  <c r="S218" i="9"/>
  <c r="R218" i="9"/>
  <c r="Q218" i="9"/>
  <c r="P218" i="9"/>
  <c r="O218" i="9"/>
  <c r="N218" i="9"/>
  <c r="M218" i="9"/>
  <c r="L218" i="9"/>
  <c r="K218" i="9"/>
  <c r="J218" i="9"/>
  <c r="I218" i="9"/>
  <c r="H218" i="9"/>
  <c r="G218" i="9"/>
  <c r="F218" i="9"/>
  <c r="E218" i="9"/>
  <c r="D218" i="9"/>
  <c r="C218" i="9"/>
  <c r="R214" i="9"/>
  <c r="Q214" i="9"/>
  <c r="P214" i="9"/>
  <c r="O214" i="9"/>
  <c r="N214" i="9"/>
  <c r="M214" i="9"/>
  <c r="L214" i="9"/>
  <c r="K214" i="9"/>
  <c r="J214" i="9"/>
  <c r="I214" i="9"/>
  <c r="H214" i="9"/>
  <c r="G214" i="9"/>
  <c r="F214" i="9"/>
  <c r="E214" i="9"/>
  <c r="D214" i="9"/>
  <c r="C214" i="9"/>
  <c r="R89" i="8"/>
  <c r="Q89" i="8"/>
  <c r="P89" i="8"/>
  <c r="O89" i="8"/>
  <c r="N89" i="8"/>
  <c r="M89" i="8"/>
  <c r="L89" i="8"/>
  <c r="K89" i="8"/>
  <c r="J89" i="8"/>
  <c r="I89" i="8"/>
  <c r="H89" i="8"/>
  <c r="G89" i="8"/>
  <c r="F89" i="8"/>
  <c r="E89" i="8"/>
  <c r="D89" i="8"/>
  <c r="C89" i="8"/>
  <c r="T96" i="8"/>
  <c r="S97" i="8"/>
  <c r="S98" i="8" s="1"/>
  <c r="T97" i="8"/>
  <c r="S113" i="8"/>
  <c r="S112" i="8"/>
  <c r="S139" i="9"/>
  <c r="S129" i="9" s="1"/>
  <c r="S127" i="9"/>
  <c r="S116" i="9" s="1"/>
  <c r="T113" i="8"/>
  <c r="T112" i="8"/>
  <c r="R407" i="8"/>
  <c r="V408" i="8" s="1"/>
  <c r="BJ407" i="8"/>
  <c r="O202" i="16"/>
  <c r="Q202" i="16"/>
  <c r="H202" i="16"/>
  <c r="R202" i="16"/>
  <c r="I202" i="16"/>
  <c r="G202" i="16"/>
  <c r="M202" i="16"/>
  <c r="S202" i="16"/>
  <c r="P202" i="16"/>
  <c r="J202" i="16"/>
  <c r="K202" i="16"/>
  <c r="N202" i="16"/>
  <c r="U202" i="16"/>
  <c r="T202" i="16"/>
  <c r="L202" i="16"/>
  <c r="J212" i="16"/>
  <c r="P217" i="16"/>
  <c r="AL210" i="16"/>
  <c r="N112" i="16"/>
  <c r="R212" i="16"/>
  <c r="T206" i="16"/>
  <c r="T207" i="16" s="1"/>
  <c r="H212" i="16"/>
  <c r="AK210" i="16"/>
  <c r="M212" i="16"/>
  <c r="K212" i="16"/>
  <c r="I212" i="16"/>
  <c r="Q212" i="16"/>
  <c r="T212" i="16"/>
  <c r="L212" i="16"/>
  <c r="K217" i="16"/>
  <c r="R217" i="16"/>
  <c r="AQ217" i="16"/>
  <c r="AL227" i="16"/>
  <c r="P212" i="16"/>
  <c r="G212" i="16"/>
  <c r="AM227" i="16"/>
  <c r="AM210" i="16"/>
  <c r="G217" i="16"/>
  <c r="N217" i="16"/>
  <c r="O212" i="16"/>
  <c r="N212" i="16"/>
  <c r="U212" i="16"/>
  <c r="AK227" i="16"/>
  <c r="O217" i="16"/>
  <c r="T217" i="16"/>
  <c r="L217" i="16"/>
  <c r="S217" i="16"/>
  <c r="Q217" i="16"/>
  <c r="U217" i="16"/>
  <c r="M217" i="16"/>
  <c r="J217" i="16"/>
  <c r="I217" i="16"/>
  <c r="H217" i="16"/>
  <c r="U192" i="16"/>
  <c r="M112" i="16"/>
  <c r="K112" i="16"/>
  <c r="L112" i="16"/>
  <c r="T192" i="16"/>
  <c r="T193" i="16" s="1"/>
  <c r="Q192" i="16"/>
  <c r="Q193" i="16" s="1"/>
  <c r="H192" i="16"/>
  <c r="O192" i="16"/>
  <c r="R192" i="16"/>
  <c r="R193" i="16" s="1"/>
  <c r="P192" i="16"/>
  <c r="I192" i="16"/>
  <c r="K192" i="16"/>
  <c r="J192" i="16"/>
  <c r="S192" i="16"/>
  <c r="G192" i="16"/>
  <c r="L192" i="16"/>
  <c r="L193" i="16" s="1"/>
  <c r="N192" i="16"/>
  <c r="M192" i="16"/>
  <c r="AK219" i="16"/>
  <c r="AK216" i="16"/>
  <c r="AM216" i="16"/>
  <c r="AM112" i="16"/>
  <c r="O112" i="16"/>
  <c r="Q112" i="16"/>
  <c r="P112" i="16"/>
  <c r="AK228" i="16"/>
  <c r="AM215" i="16"/>
  <c r="AM219" i="16"/>
  <c r="AK215" i="16"/>
  <c r="AM204" i="16"/>
  <c r="AL112" i="16"/>
  <c r="AM214" i="16"/>
  <c r="L198" i="16"/>
  <c r="L206" i="16"/>
  <c r="L207" i="16" s="1"/>
  <c r="AL223" i="16"/>
  <c r="R112" i="16"/>
  <c r="Q198" i="16"/>
  <c r="Q206" i="16"/>
  <c r="Q207" i="16" s="1"/>
  <c r="AM223" i="16"/>
  <c r="AK223" i="16"/>
  <c r="U206" i="16"/>
  <c r="U207" i="16" s="1"/>
  <c r="U198" i="16"/>
  <c r="AL216" i="16"/>
  <c r="P198" i="16"/>
  <c r="P206" i="16"/>
  <c r="P207" i="16"/>
  <c r="R206" i="16"/>
  <c r="R207" i="16"/>
  <c r="R198" i="16"/>
  <c r="AM228" i="16"/>
  <c r="AK201" i="16"/>
  <c r="G198" i="16"/>
  <c r="G206" i="16"/>
  <c r="G207" i="16"/>
  <c r="AL201" i="16"/>
  <c r="K206" i="16"/>
  <c r="K207" i="16" s="1"/>
  <c r="K198" i="16"/>
  <c r="AL214" i="16"/>
  <c r="AK204" i="16"/>
  <c r="U112" i="16"/>
  <c r="T198" i="16"/>
  <c r="AL228" i="16"/>
  <c r="AK214" i="16"/>
  <c r="N206" i="16"/>
  <c r="N207" i="16"/>
  <c r="N198" i="16"/>
  <c r="T112" i="16"/>
  <c r="AL204" i="16"/>
  <c r="J206" i="16"/>
  <c r="J207" i="16" s="1"/>
  <c r="J198" i="16"/>
  <c r="O206" i="16"/>
  <c r="O207" i="16" s="1"/>
  <c r="AM201" i="16"/>
  <c r="O198" i="16"/>
  <c r="S206" i="16"/>
  <c r="S207" i="16" s="1"/>
  <c r="S198" i="16"/>
  <c r="S199" i="16" s="1"/>
  <c r="AL215" i="16"/>
  <c r="I206" i="16"/>
  <c r="I207" i="16" s="1"/>
  <c r="I198" i="16"/>
  <c r="AL219" i="16"/>
  <c r="M198" i="16"/>
  <c r="M206" i="16"/>
  <c r="M207" i="16" s="1"/>
  <c r="S112" i="16"/>
  <c r="H206" i="16"/>
  <c r="H207" i="16" s="1"/>
  <c r="H198" i="16"/>
  <c r="R196" i="16"/>
  <c r="N259" i="16"/>
  <c r="N262" i="16"/>
  <c r="U262" i="16"/>
  <c r="U259" i="16"/>
  <c r="R262" i="16"/>
  <c r="R259" i="16"/>
  <c r="G262" i="16"/>
  <c r="T262" i="16"/>
  <c r="T259" i="16"/>
  <c r="K262" i="16"/>
  <c r="K259" i="16"/>
  <c r="I259" i="16"/>
  <c r="I262" i="16"/>
  <c r="M262" i="16"/>
  <c r="M259" i="16"/>
  <c r="J259" i="16"/>
  <c r="J262" i="16"/>
  <c r="H259" i="16"/>
  <c r="H262" i="16"/>
  <c r="P259" i="16"/>
  <c r="P262" i="16"/>
  <c r="O259" i="16"/>
  <c r="O262" i="16"/>
  <c r="Q259" i="16"/>
  <c r="Q262" i="16"/>
  <c r="L262" i="16"/>
  <c r="L259" i="16"/>
  <c r="S259" i="16"/>
  <c r="S262" i="16"/>
  <c r="P196" i="16"/>
  <c r="N181" i="16"/>
  <c r="Q196" i="16"/>
  <c r="L183" i="16"/>
  <c r="L185" i="16" s="1"/>
  <c r="H183" i="16"/>
  <c r="H185" i="16"/>
  <c r="H186" i="16" s="1"/>
  <c r="T183" i="16"/>
  <c r="T185" i="16" s="1"/>
  <c r="P183" i="16"/>
  <c r="P185" i="16"/>
  <c r="P186" i="16" s="1"/>
  <c r="L181" i="16"/>
  <c r="Q183" i="16"/>
  <c r="Q185" i="16" s="1"/>
  <c r="Q186" i="16" s="1"/>
  <c r="U181" i="16"/>
  <c r="T181" i="16"/>
  <c r="G196" i="16"/>
  <c r="AK195" i="16"/>
  <c r="AM195" i="16"/>
  <c r="AL195" i="16"/>
  <c r="AM178" i="16"/>
  <c r="AK178" i="16"/>
  <c r="S183" i="16"/>
  <c r="K183" i="16"/>
  <c r="AL189" i="16"/>
  <c r="J196" i="16"/>
  <c r="AL180" i="16"/>
  <c r="R183" i="16"/>
  <c r="R185" i="16" s="1"/>
  <c r="R186" i="16" s="1"/>
  <c r="J183" i="16"/>
  <c r="J185" i="16"/>
  <c r="J186" i="16" s="1"/>
  <c r="AL179" i="16"/>
  <c r="O183" i="16"/>
  <c r="AM189" i="16"/>
  <c r="G183" i="16"/>
  <c r="AK189" i="16"/>
  <c r="AL178" i="16"/>
  <c r="AM180" i="16"/>
  <c r="AK180" i="16"/>
  <c r="AM179" i="16"/>
  <c r="AK179" i="16"/>
  <c r="N183" i="16"/>
  <c r="N185" i="16" s="1"/>
  <c r="N186" i="16" s="1"/>
  <c r="N188" i="16" s="1"/>
  <c r="I183" i="16"/>
  <c r="I185" i="16"/>
  <c r="I186" i="16" s="1"/>
  <c r="U183" i="16"/>
  <c r="U185" i="16" s="1"/>
  <c r="U186" i="16" s="1"/>
  <c r="U188" i="16" s="1"/>
  <c r="M183" i="16"/>
  <c r="M185" i="16" s="1"/>
  <c r="M186" i="16" s="1"/>
  <c r="T196" i="16"/>
  <c r="L196" i="16"/>
  <c r="H196" i="16"/>
  <c r="S196" i="16"/>
  <c r="O181" i="16"/>
  <c r="O196" i="16"/>
  <c r="M181" i="16"/>
  <c r="S181" i="16"/>
  <c r="K181" i="16"/>
  <c r="R181" i="16"/>
  <c r="M196" i="16"/>
  <c r="Q181" i="16"/>
  <c r="P181" i="16"/>
  <c r="N196" i="16"/>
  <c r="I196" i="16"/>
  <c r="U196" i="16"/>
  <c r="K196" i="16"/>
  <c r="R190" i="16"/>
  <c r="J190" i="16"/>
  <c r="N190" i="16"/>
  <c r="I190" i="16"/>
  <c r="U190" i="16"/>
  <c r="M190" i="16"/>
  <c r="T190" i="16"/>
  <c r="L190" i="16"/>
  <c r="H190" i="16"/>
  <c r="S190" i="16"/>
  <c r="K190" i="16"/>
  <c r="P190" i="16"/>
  <c r="O190" i="16"/>
  <c r="G190" i="16"/>
  <c r="Q190" i="16"/>
  <c r="X48" i="8"/>
  <c r="V303" i="9"/>
  <c r="U303" i="9"/>
  <c r="U302" i="9"/>
  <c r="BH122" i="9"/>
  <c r="BI122" i="9"/>
  <c r="BH113" i="9"/>
  <c r="BH99" i="9"/>
  <c r="BH156" i="9" s="1"/>
  <c r="BK81" i="8"/>
  <c r="U156" i="9"/>
  <c r="U157" i="9"/>
  <c r="K209" i="9"/>
  <c r="AC364" i="8"/>
  <c r="AG364" i="8" s="1"/>
  <c r="AC407" i="8"/>
  <c r="AG407" i="8" s="1"/>
  <c r="AK407" i="8" s="1"/>
  <c r="AO407" i="8" s="1"/>
  <c r="AM212" i="16"/>
  <c r="BI113" i="9"/>
  <c r="AL212" i="16"/>
  <c r="R221" i="16"/>
  <c r="R224" i="16" s="1"/>
  <c r="Q221" i="16"/>
  <c r="Q224" i="16"/>
  <c r="AK212" i="16"/>
  <c r="G221" i="16"/>
  <c r="P221" i="16"/>
  <c r="P224" i="16" s="1"/>
  <c r="U221" i="16"/>
  <c r="U224" i="16" s="1"/>
  <c r="K221" i="16"/>
  <c r="H221" i="16"/>
  <c r="H226" i="16" s="1"/>
  <c r="H230" i="16" s="1"/>
  <c r="J221" i="16"/>
  <c r="J226" i="16" s="1"/>
  <c r="J230" i="16" s="1"/>
  <c r="J233" i="16" s="1"/>
  <c r="M221" i="16"/>
  <c r="M226" i="16"/>
  <c r="M230" i="16" s="1"/>
  <c r="I221" i="16"/>
  <c r="I226" i="16"/>
  <c r="I230" i="16" s="1"/>
  <c r="I233" i="16" s="1"/>
  <c r="O221" i="16"/>
  <c r="O226" i="16" s="1"/>
  <c r="O230" i="16" s="1"/>
  <c r="L221" i="16"/>
  <c r="L224" i="16" s="1"/>
  <c r="N221" i="16"/>
  <c r="N226" i="16" s="1"/>
  <c r="N230" i="16" s="1"/>
  <c r="T221" i="16"/>
  <c r="T226" i="16" s="1"/>
  <c r="T230" i="16" s="1"/>
  <c r="O193" i="16"/>
  <c r="H193" i="16"/>
  <c r="N199" i="16"/>
  <c r="P199" i="16"/>
  <c r="J199" i="16"/>
  <c r="G199" i="16"/>
  <c r="Q199" i="16"/>
  <c r="H199" i="16"/>
  <c r="M199" i="16"/>
  <c r="T199" i="16"/>
  <c r="K199" i="16"/>
  <c r="U199" i="16"/>
  <c r="I199" i="16"/>
  <c r="R199" i="16"/>
  <c r="O199" i="16"/>
  <c r="L199" i="16"/>
  <c r="P193" i="16"/>
  <c r="N193" i="16"/>
  <c r="U193" i="16"/>
  <c r="I193" i="16"/>
  <c r="K193" i="16"/>
  <c r="M193" i="16"/>
  <c r="S193" i="16"/>
  <c r="G193" i="16"/>
  <c r="AL192" i="16"/>
  <c r="J193" i="16"/>
  <c r="AM192" i="16"/>
  <c r="AK192" i="16"/>
  <c r="AL190" i="16"/>
  <c r="AL217" i="16"/>
  <c r="AL196" i="16"/>
  <c r="AK217" i="16"/>
  <c r="AM196" i="16"/>
  <c r="AM206" i="16"/>
  <c r="AM217" i="16"/>
  <c r="AL206" i="16"/>
  <c r="AK206" i="16"/>
  <c r="AM202" i="16"/>
  <c r="AK202" i="16"/>
  <c r="AL202" i="16"/>
  <c r="AL259" i="16"/>
  <c r="AL262" i="16"/>
  <c r="AK259" i="16"/>
  <c r="AK262" i="16"/>
  <c r="AM259" i="16"/>
  <c r="AM262" i="16"/>
  <c r="AK198" i="16"/>
  <c r="AM198" i="16"/>
  <c r="AL198" i="16"/>
  <c r="AK190" i="16"/>
  <c r="AK196" i="16"/>
  <c r="AM190" i="16"/>
  <c r="G185" i="16"/>
  <c r="AK183" i="16"/>
  <c r="AM181" i="16"/>
  <c r="AL181" i="16"/>
  <c r="AL183" i="16"/>
  <c r="K185" i="16"/>
  <c r="AM183" i="16"/>
  <c r="O185" i="16"/>
  <c r="AM185" i="16" s="1"/>
  <c r="AM186" i="16" s="1"/>
  <c r="S185" i="16"/>
  <c r="S186" i="16" s="1"/>
  <c r="V302" i="9"/>
  <c r="BH117" i="9"/>
  <c r="BH302" i="9" s="1"/>
  <c r="BH130" i="9"/>
  <c r="BH303" i="9" s="1"/>
  <c r="AM221" i="16"/>
  <c r="AM224" i="16"/>
  <c r="U216" i="8"/>
  <c r="U204" i="8"/>
  <c r="Q226" i="16"/>
  <c r="Q230" i="16"/>
  <c r="Q233" i="16" s="1"/>
  <c r="R226" i="16"/>
  <c r="R230" i="16" s="1"/>
  <c r="R233" i="16" s="1"/>
  <c r="P226" i="16"/>
  <c r="P230" i="16" s="1"/>
  <c r="U226" i="16"/>
  <c r="U230" i="16" s="1"/>
  <c r="N224" i="16"/>
  <c r="T224" i="16"/>
  <c r="AL221" i="16"/>
  <c r="AL224" i="16" s="1"/>
  <c r="AK221" i="16"/>
  <c r="AK226" i="16" s="1"/>
  <c r="AK230" i="16" s="1"/>
  <c r="M224" i="16"/>
  <c r="I224" i="16"/>
  <c r="O224" i="16"/>
  <c r="H224" i="16"/>
  <c r="J224" i="16"/>
  <c r="L226" i="16"/>
  <c r="AK207" i="16"/>
  <c r="AM207" i="16"/>
  <c r="AL207" i="16"/>
  <c r="AM199" i="16"/>
  <c r="AL199" i="16"/>
  <c r="AL193" i="16"/>
  <c r="AM193" i="16"/>
  <c r="AK193" i="16"/>
  <c r="K226" i="16"/>
  <c r="K224" i="16"/>
  <c r="G226" i="16"/>
  <c r="G230" i="16" s="1"/>
  <c r="G224" i="16"/>
  <c r="AL263" i="16"/>
  <c r="AL260" i="16"/>
  <c r="AM260" i="16"/>
  <c r="AM263" i="16"/>
  <c r="K186" i="16"/>
  <c r="O186" i="16"/>
  <c r="AK185" i="16"/>
  <c r="AK186" i="16" s="1"/>
  <c r="G186" i="16"/>
  <c r="BI135" i="9"/>
  <c r="W302" i="9"/>
  <c r="AG347" i="8"/>
  <c r="AK347" i="8" s="1"/>
  <c r="AO347" i="8" s="1"/>
  <c r="W303" i="9"/>
  <c r="V6" i="8"/>
  <c r="X303" i="9"/>
  <c r="BI99" i="9"/>
  <c r="BI156" i="9" s="1"/>
  <c r="AG216" i="8"/>
  <c r="AM226" i="16"/>
  <c r="AM230" i="16" s="1"/>
  <c r="U36" i="8"/>
  <c r="U37" i="8" s="1"/>
  <c r="AB536" i="8"/>
  <c r="AK224" i="16"/>
  <c r="AL226" i="16"/>
  <c r="AL230" i="16" s="1"/>
  <c r="AL233" i="16" s="1"/>
  <c r="K230" i="16"/>
  <c r="K233" i="16" s="1"/>
  <c r="L230" i="16"/>
  <c r="L233" i="16" s="1"/>
  <c r="O188" i="16"/>
  <c r="V178" i="16"/>
  <c r="AN104" i="16"/>
  <c r="V105" i="16"/>
  <c r="Y302" i="9"/>
  <c r="X302" i="9"/>
  <c r="BJ344" i="8"/>
  <c r="Y303" i="9"/>
  <c r="AG204" i="8"/>
  <c r="AC6" i="8"/>
  <c r="AH347" i="8"/>
  <c r="AL347" i="8" s="1"/>
  <c r="AP347" i="8" s="1"/>
  <c r="AT347" i="8" s="1"/>
  <c r="AX347" i="8" s="1"/>
  <c r="AN122" i="16"/>
  <c r="AN123" i="16"/>
  <c r="AN105" i="16"/>
  <c r="AN116" i="16"/>
  <c r="F9" i="13"/>
  <c r="G9" i="13" s="1"/>
  <c r="AO191" i="9"/>
  <c r="BN259" i="8"/>
  <c r="AK145" i="8"/>
  <c r="AK216" i="8"/>
  <c r="AK213" i="8"/>
  <c r="BJ135" i="9"/>
  <c r="AD6" i="8"/>
  <c r="AQ191" i="9"/>
  <c r="AP191" i="9"/>
  <c r="AK212" i="8"/>
  <c r="AR191" i="9"/>
  <c r="BK135" i="9"/>
  <c r="AO193" i="9"/>
  <c r="BP287" i="9"/>
  <c r="BP288" i="9" s="1"/>
  <c r="C172" i="9"/>
  <c r="C171" i="9"/>
  <c r="C170" i="9"/>
  <c r="J28" i="9"/>
  <c r="J27" i="9"/>
  <c r="N28" i="9"/>
  <c r="N27" i="9"/>
  <c r="N127" i="9"/>
  <c r="O28" i="9"/>
  <c r="O27" i="9"/>
  <c r="S28" i="9"/>
  <c r="S27" i="9"/>
  <c r="S34" i="9"/>
  <c r="R34" i="9"/>
  <c r="Q34" i="9"/>
  <c r="P34" i="9"/>
  <c r="O34" i="9"/>
  <c r="N34" i="9"/>
  <c r="M34" i="9"/>
  <c r="L34" i="9"/>
  <c r="K34" i="9"/>
  <c r="J34" i="9"/>
  <c r="I34" i="9"/>
  <c r="H34" i="9"/>
  <c r="G34" i="9"/>
  <c r="F34" i="9"/>
  <c r="E34" i="9"/>
  <c r="D34" i="9"/>
  <c r="C34" i="9"/>
  <c r="Q26" i="9"/>
  <c r="P26" i="9"/>
  <c r="M26" i="9"/>
  <c r="L26" i="9"/>
  <c r="K26" i="9"/>
  <c r="I26" i="9"/>
  <c r="H26" i="9"/>
  <c r="G26" i="9"/>
  <c r="F26" i="9"/>
  <c r="E26" i="9"/>
  <c r="D26" i="9"/>
  <c r="C26" i="9"/>
  <c r="S19" i="9"/>
  <c r="S70" i="9" s="1"/>
  <c r="R19" i="9"/>
  <c r="R70" i="9" s="1"/>
  <c r="Q19" i="9"/>
  <c r="Q70" i="9" s="1"/>
  <c r="P19" i="9"/>
  <c r="P70" i="9" s="1"/>
  <c r="O19" i="9"/>
  <c r="N19" i="9"/>
  <c r="N70" i="9" s="1"/>
  <c r="M19" i="9"/>
  <c r="M70" i="9" s="1"/>
  <c r="L19" i="9"/>
  <c r="L70" i="9" s="1"/>
  <c r="K19" i="9"/>
  <c r="J19" i="9"/>
  <c r="J70" i="9" s="1"/>
  <c r="I19" i="9"/>
  <c r="I70" i="9" s="1"/>
  <c r="H19" i="9"/>
  <c r="H70" i="9" s="1"/>
  <c r="G19" i="9"/>
  <c r="F19" i="9"/>
  <c r="F70" i="9" s="1"/>
  <c r="E19" i="9"/>
  <c r="E70" i="9" s="1"/>
  <c r="D19" i="9"/>
  <c r="D70" i="9" s="1"/>
  <c r="C19" i="9"/>
  <c r="S15" i="9"/>
  <c r="R15" i="9"/>
  <c r="Q15" i="9"/>
  <c r="P15" i="9"/>
  <c r="O15" i="9"/>
  <c r="N15" i="9"/>
  <c r="M15" i="9"/>
  <c r="L15" i="9"/>
  <c r="K15" i="9"/>
  <c r="J15" i="9"/>
  <c r="I15" i="9"/>
  <c r="H15" i="9"/>
  <c r="G15" i="9"/>
  <c r="F15" i="9"/>
  <c r="E15" i="9"/>
  <c r="D15" i="9"/>
  <c r="C15" i="9"/>
  <c r="S13" i="9"/>
  <c r="R13" i="9"/>
  <c r="Q13" i="9"/>
  <c r="P13" i="9"/>
  <c r="O13" i="9"/>
  <c r="N13" i="9"/>
  <c r="M13" i="9"/>
  <c r="L13" i="9"/>
  <c r="K13" i="9"/>
  <c r="J13" i="9"/>
  <c r="I13" i="9"/>
  <c r="H13" i="9"/>
  <c r="G13" i="9"/>
  <c r="F13" i="9"/>
  <c r="E13" i="9"/>
  <c r="D13" i="9"/>
  <c r="C13" i="9"/>
  <c r="S8" i="9"/>
  <c r="R8" i="9"/>
  <c r="Q8" i="9"/>
  <c r="P8" i="9"/>
  <c r="O8" i="9"/>
  <c r="N8" i="9"/>
  <c r="M8" i="9"/>
  <c r="L8" i="9"/>
  <c r="K8" i="9"/>
  <c r="J8" i="9"/>
  <c r="I8" i="9"/>
  <c r="H8" i="9"/>
  <c r="G8" i="9"/>
  <c r="F8" i="9"/>
  <c r="E8" i="9"/>
  <c r="D8" i="9"/>
  <c r="C8" i="9"/>
  <c r="Q7" i="9"/>
  <c r="P7" i="9"/>
  <c r="O7" i="9"/>
  <c r="N7" i="9"/>
  <c r="M7" i="9"/>
  <c r="L7" i="9"/>
  <c r="K7" i="9"/>
  <c r="S5" i="9"/>
  <c r="R5" i="9"/>
  <c r="Q5" i="9"/>
  <c r="P5" i="9"/>
  <c r="O5" i="9"/>
  <c r="N5" i="9"/>
  <c r="M5" i="9"/>
  <c r="L5" i="9"/>
  <c r="K5" i="9"/>
  <c r="J5" i="9"/>
  <c r="I5" i="9"/>
  <c r="H5" i="9"/>
  <c r="G5" i="9"/>
  <c r="F5" i="9"/>
  <c r="E5" i="9"/>
  <c r="D5" i="9"/>
  <c r="C5" i="9"/>
  <c r="S3" i="9"/>
  <c r="S208" i="9" s="1"/>
  <c r="R3" i="9"/>
  <c r="R208" i="9" s="1"/>
  <c r="Q3" i="9"/>
  <c r="Q176" i="9" s="1"/>
  <c r="P3" i="9"/>
  <c r="O3" i="9"/>
  <c r="N3" i="9"/>
  <c r="M3" i="9"/>
  <c r="L3" i="9"/>
  <c r="K3" i="9"/>
  <c r="J3" i="9"/>
  <c r="I3" i="9"/>
  <c r="H3" i="9"/>
  <c r="G3" i="9"/>
  <c r="F3" i="9"/>
  <c r="E3" i="9"/>
  <c r="D3" i="9"/>
  <c r="C3" i="9"/>
  <c r="R139" i="9"/>
  <c r="T139" i="9"/>
  <c r="T129" i="9" s="1"/>
  <c r="T127" i="9"/>
  <c r="R127" i="9"/>
  <c r="Q116" i="9"/>
  <c r="P116" i="9"/>
  <c r="O116" i="9"/>
  <c r="M116" i="9"/>
  <c r="L116" i="9"/>
  <c r="K116" i="9"/>
  <c r="J116" i="9"/>
  <c r="BE116" i="9" s="1"/>
  <c r="I116" i="9"/>
  <c r="H116" i="9"/>
  <c r="G116" i="9"/>
  <c r="F116" i="9"/>
  <c r="BD116" i="9" s="1"/>
  <c r="E116" i="9"/>
  <c r="D116" i="9"/>
  <c r="C116" i="9"/>
  <c r="Q129" i="9"/>
  <c r="P129" i="9"/>
  <c r="O129" i="9"/>
  <c r="N129" i="9"/>
  <c r="BF129" i="9" s="1"/>
  <c r="M129" i="9"/>
  <c r="L129" i="9"/>
  <c r="K129" i="9"/>
  <c r="J129" i="9"/>
  <c r="BE129" i="9" s="1"/>
  <c r="I129" i="9"/>
  <c r="H129" i="9"/>
  <c r="G129" i="9"/>
  <c r="F129" i="9"/>
  <c r="BD129" i="9" s="1"/>
  <c r="E129" i="9"/>
  <c r="D129" i="9"/>
  <c r="C129" i="9"/>
  <c r="C216" i="9"/>
  <c r="S93" i="8"/>
  <c r="R93" i="8"/>
  <c r="Q93" i="8"/>
  <c r="P93" i="8"/>
  <c r="O93" i="8"/>
  <c r="N93" i="8"/>
  <c r="M93" i="8"/>
  <c r="L93" i="8"/>
  <c r="K93" i="8"/>
  <c r="J93" i="8"/>
  <c r="I93" i="8"/>
  <c r="H93" i="8"/>
  <c r="G93" i="8"/>
  <c r="F93" i="8"/>
  <c r="E93" i="8"/>
  <c r="D93" i="8"/>
  <c r="C93" i="8"/>
  <c r="T93" i="8"/>
  <c r="T111" i="9"/>
  <c r="S111" i="9"/>
  <c r="R111" i="9"/>
  <c r="BG111" i="9" s="1"/>
  <c r="Q111" i="9"/>
  <c r="P111" i="9"/>
  <c r="O111" i="9"/>
  <c r="N111" i="9"/>
  <c r="BF111" i="9" s="1"/>
  <c r="M111" i="9"/>
  <c r="L111" i="9"/>
  <c r="K111" i="9"/>
  <c r="J111" i="9"/>
  <c r="BE111" i="9" s="1"/>
  <c r="I111" i="9"/>
  <c r="H111" i="9"/>
  <c r="G111" i="9"/>
  <c r="F111" i="9"/>
  <c r="BD111" i="9" s="1"/>
  <c r="E111" i="9"/>
  <c r="D111" i="9"/>
  <c r="C111" i="9"/>
  <c r="D97" i="9"/>
  <c r="E97" i="9"/>
  <c r="F97" i="9"/>
  <c r="BD97" i="9" s="1"/>
  <c r="G97" i="9"/>
  <c r="H97" i="9"/>
  <c r="I97" i="9"/>
  <c r="J97" i="9"/>
  <c r="BE97" i="9" s="1"/>
  <c r="K97" i="9"/>
  <c r="L97" i="9"/>
  <c r="M97" i="9"/>
  <c r="N97" i="9"/>
  <c r="BF97" i="9" s="1"/>
  <c r="O97" i="9"/>
  <c r="P97" i="9"/>
  <c r="Q97" i="9"/>
  <c r="R97" i="9"/>
  <c r="BG97" i="9" s="1"/>
  <c r="S97" i="9"/>
  <c r="T97" i="9"/>
  <c r="C97" i="9"/>
  <c r="AQ193" i="9"/>
  <c r="AP193" i="9"/>
  <c r="BL135" i="9"/>
  <c r="U129" i="8"/>
  <c r="U17" i="9" s="1"/>
  <c r="U55" i="9" s="1"/>
  <c r="S76" i="8"/>
  <c r="R76" i="8"/>
  <c r="Q76" i="8"/>
  <c r="P76" i="8"/>
  <c r="O76" i="8"/>
  <c r="N76" i="8"/>
  <c r="M76" i="8"/>
  <c r="L76" i="8"/>
  <c r="K76" i="8"/>
  <c r="J76" i="8"/>
  <c r="I76" i="8"/>
  <c r="H76" i="8"/>
  <c r="G76" i="8"/>
  <c r="T75" i="8"/>
  <c r="S75" i="8"/>
  <c r="R75" i="8"/>
  <c r="Q75" i="8"/>
  <c r="P75" i="8"/>
  <c r="O75" i="8"/>
  <c r="N75" i="8"/>
  <c r="M75" i="8"/>
  <c r="L75" i="8"/>
  <c r="K75" i="8"/>
  <c r="J75" i="8"/>
  <c r="I75" i="8"/>
  <c r="H75" i="8"/>
  <c r="G75" i="8"/>
  <c r="F75" i="8"/>
  <c r="E75" i="8"/>
  <c r="D75" i="8"/>
  <c r="C75" i="8"/>
  <c r="T72" i="8"/>
  <c r="S72" i="8"/>
  <c r="R72" i="8"/>
  <c r="Q72" i="8"/>
  <c r="P72" i="8"/>
  <c r="O72" i="8"/>
  <c r="N72" i="8"/>
  <c r="M72" i="8"/>
  <c r="L72" i="8"/>
  <c r="K72" i="8"/>
  <c r="J72" i="8"/>
  <c r="I72" i="8"/>
  <c r="H72" i="8"/>
  <c r="G72" i="8"/>
  <c r="T71" i="8"/>
  <c r="S71" i="8"/>
  <c r="R71" i="8"/>
  <c r="Q71" i="8"/>
  <c r="P71" i="8"/>
  <c r="O71" i="8"/>
  <c r="N71" i="8"/>
  <c r="M71" i="8"/>
  <c r="L71" i="8"/>
  <c r="K71" i="8"/>
  <c r="J71" i="8"/>
  <c r="I71" i="8"/>
  <c r="H71" i="8"/>
  <c r="G71" i="8"/>
  <c r="F71" i="8"/>
  <c r="E71" i="8"/>
  <c r="D71" i="8"/>
  <c r="C71" i="8"/>
  <c r="T54" i="8"/>
  <c r="S54" i="8"/>
  <c r="R54" i="8"/>
  <c r="R55" i="8" s="1"/>
  <c r="Q54" i="8"/>
  <c r="P54" i="8"/>
  <c r="O54" i="8"/>
  <c r="N54" i="8"/>
  <c r="N55" i="8" s="1"/>
  <c r="M54" i="8"/>
  <c r="M55" i="8" s="1"/>
  <c r="K54" i="8"/>
  <c r="I54" i="8"/>
  <c r="H54" i="8"/>
  <c r="G54" i="8"/>
  <c r="G55" i="8" s="1"/>
  <c r="F54" i="8"/>
  <c r="F55" i="8" s="1"/>
  <c r="E54" i="8"/>
  <c r="E55" i="8" s="1"/>
  <c r="D54" i="8"/>
  <c r="D55" i="8" s="1"/>
  <c r="C54" i="8"/>
  <c r="C55" i="8" s="1"/>
  <c r="J54" i="8"/>
  <c r="J55" i="8" s="1"/>
  <c r="T63" i="8"/>
  <c r="S63" i="8"/>
  <c r="R63" i="8"/>
  <c r="Q63" i="8"/>
  <c r="P63" i="8"/>
  <c r="O63" i="8"/>
  <c r="N63" i="8"/>
  <c r="M63" i="8"/>
  <c r="L63" i="8"/>
  <c r="K63" i="8"/>
  <c r="J63" i="8"/>
  <c r="I63" i="8"/>
  <c r="H63" i="8"/>
  <c r="G63" i="8"/>
  <c r="BN139" i="9"/>
  <c r="L4" i="9"/>
  <c r="N121" i="8"/>
  <c r="BJ81" i="8"/>
  <c r="BJ80" i="8"/>
  <c r="T62" i="8"/>
  <c r="S62" i="8"/>
  <c r="T59" i="8"/>
  <c r="T7" i="9" s="1"/>
  <c r="S59" i="8"/>
  <c r="Q62" i="8"/>
  <c r="P62" i="8"/>
  <c r="N62" i="8"/>
  <c r="M62" i="8"/>
  <c r="L62" i="8"/>
  <c r="K62" i="8"/>
  <c r="J62" i="8"/>
  <c r="I62" i="8"/>
  <c r="H62" i="8"/>
  <c r="G62" i="8"/>
  <c r="F62" i="8"/>
  <c r="E62" i="8"/>
  <c r="D62" i="8"/>
  <c r="C62" i="8"/>
  <c r="O62" i="8"/>
  <c r="BF3" i="8"/>
  <c r="BG3" i="8" s="1"/>
  <c r="BE81" i="8"/>
  <c r="BE80" i="8"/>
  <c r="BE79" i="8"/>
  <c r="BE74" i="8"/>
  <c r="BE70" i="8"/>
  <c r="BE61" i="8"/>
  <c r="BE57" i="8"/>
  <c r="BF81" i="8"/>
  <c r="BF80" i="8"/>
  <c r="BF79" i="8"/>
  <c r="BF74" i="8"/>
  <c r="BF70" i="8"/>
  <c r="BF61" i="8"/>
  <c r="BF57" i="8"/>
  <c r="BG92" i="8"/>
  <c r="BF63" i="9" s="1"/>
  <c r="BG81" i="8"/>
  <c r="BG80" i="8"/>
  <c r="BG79" i="8"/>
  <c r="BG74" i="8"/>
  <c r="BG70" i="8"/>
  <c r="BG61" i="8"/>
  <c r="BG59" i="8"/>
  <c r="BG57" i="8"/>
  <c r="F59" i="8"/>
  <c r="F7" i="9" s="1"/>
  <c r="E59" i="8"/>
  <c r="E7" i="9" s="1"/>
  <c r="D59" i="8"/>
  <c r="D7" i="9" s="1"/>
  <c r="C59" i="8"/>
  <c r="C7" i="9" s="1"/>
  <c r="J59" i="8"/>
  <c r="J7" i="9" s="1"/>
  <c r="I59" i="8"/>
  <c r="I7" i="9" s="1"/>
  <c r="H59" i="8"/>
  <c r="H7" i="9" s="1"/>
  <c r="G59" i="8"/>
  <c r="G7" i="9" s="1"/>
  <c r="P121" i="8"/>
  <c r="P122" i="8" s="1"/>
  <c r="BH92" i="8"/>
  <c r="BG63" i="9" s="1"/>
  <c r="BH81" i="8"/>
  <c r="BH80" i="8"/>
  <c r="BH79" i="8"/>
  <c r="BH57" i="8"/>
  <c r="R121" i="8"/>
  <c r="O121" i="8"/>
  <c r="Q121" i="8"/>
  <c r="BH59" i="8"/>
  <c r="R7" i="9"/>
  <c r="R62" i="8"/>
  <c r="BH74" i="8"/>
  <c r="BH70" i="8"/>
  <c r="BH61" i="8"/>
  <c r="V18" i="4"/>
  <c r="Q18" i="4"/>
  <c r="L18" i="4"/>
  <c r="G18" i="4"/>
  <c r="V17" i="4"/>
  <c r="Q17" i="4"/>
  <c r="L17" i="4"/>
  <c r="G17" i="4"/>
  <c r="V16" i="4"/>
  <c r="Q16" i="4"/>
  <c r="L16" i="4"/>
  <c r="G16" i="4"/>
  <c r="V15" i="4"/>
  <c r="Q15" i="4"/>
  <c r="L15" i="4"/>
  <c r="G15" i="4"/>
  <c r="V14" i="4"/>
  <c r="Q14" i="4"/>
  <c r="L14" i="4"/>
  <c r="G14" i="4"/>
  <c r="V13" i="4"/>
  <c r="Q13" i="4"/>
  <c r="L13" i="4"/>
  <c r="G13" i="4"/>
  <c r="V12" i="4"/>
  <c r="Q12" i="4"/>
  <c r="L12" i="4"/>
  <c r="G12" i="4"/>
  <c r="V11" i="4"/>
  <c r="Q11" i="4"/>
  <c r="L11" i="4"/>
  <c r="G11" i="4"/>
  <c r="V10" i="4"/>
  <c r="Q10" i="4"/>
  <c r="L10" i="4"/>
  <c r="G10" i="4"/>
  <c r="V9" i="4"/>
  <c r="Q9" i="4"/>
  <c r="L9" i="4"/>
  <c r="G9" i="4"/>
  <c r="V8" i="4"/>
  <c r="Q8" i="4"/>
  <c r="L8" i="4"/>
  <c r="G8" i="4"/>
  <c r="V7" i="4"/>
  <c r="Q7" i="4"/>
  <c r="L7" i="4"/>
  <c r="G7" i="4"/>
  <c r="V6" i="4"/>
  <c r="V5" i="4"/>
  <c r="Q5" i="4"/>
  <c r="L5" i="4"/>
  <c r="G5" i="4"/>
  <c r="BE92" i="8"/>
  <c r="BD63" i="9" s="1"/>
  <c r="BF92" i="8"/>
  <c r="BE63" i="9" s="1"/>
  <c r="I373" i="8"/>
  <c r="Q373" i="8"/>
  <c r="T373" i="8"/>
  <c r="J373" i="8"/>
  <c r="R373" i="8"/>
  <c r="N373" i="8"/>
  <c r="K373" i="8"/>
  <c r="S373" i="8"/>
  <c r="G373" i="8"/>
  <c r="O373" i="8"/>
  <c r="L373" i="8"/>
  <c r="H373" i="8"/>
  <c r="P373" i="8"/>
  <c r="M373" i="8"/>
  <c r="X76" i="8"/>
  <c r="AA76" i="8"/>
  <c r="Z76" i="8"/>
  <c r="Y76" i="8"/>
  <c r="BK623" i="8"/>
  <c r="V76" i="8"/>
  <c r="AN623" i="8"/>
  <c r="AR623" i="8" s="1"/>
  <c r="AV623" i="8" s="1"/>
  <c r="AB76" i="8"/>
  <c r="BL623" i="8"/>
  <c r="AN76" i="8"/>
  <c r="AJ76" i="8"/>
  <c r="AJ15" i="9"/>
  <c r="AG76" i="8"/>
  <c r="BM623" i="8"/>
  <c r="AL623" i="8"/>
  <c r="AP623" i="8" s="1"/>
  <c r="AD76" i="8"/>
  <c r="AC76" i="8"/>
  <c r="AF15" i="9"/>
  <c r="AF76" i="8"/>
  <c r="AH15" i="9"/>
  <c r="AN15" i="9"/>
  <c r="AO623" i="8"/>
  <c r="AS623" i="8" s="1"/>
  <c r="AW623" i="8" s="1"/>
  <c r="BM74" i="8"/>
  <c r="M24" i="12" s="1"/>
  <c r="AH76" i="8"/>
  <c r="AO76" i="8"/>
  <c r="AP15" i="9"/>
  <c r="AK76" i="8"/>
  <c r="AK15" i="9"/>
  <c r="BN74" i="8"/>
  <c r="AL76" i="8"/>
  <c r="AO15" i="9"/>
  <c r="BO74" i="8"/>
  <c r="AP76" i="8"/>
  <c r="T655" i="8"/>
  <c r="W365" i="8"/>
  <c r="V365" i="8"/>
  <c r="U286" i="8"/>
  <c r="U365" i="8"/>
  <c r="BJ364" i="8"/>
  <c r="BJ385" i="8"/>
  <c r="BJ372" i="8"/>
  <c r="AC536" i="8"/>
  <c r="U559" i="8"/>
  <c r="U610" i="8"/>
  <c r="U613" i="8"/>
  <c r="U614" i="8" s="1"/>
  <c r="U72" i="8"/>
  <c r="U76" i="8"/>
  <c r="AC15" i="9"/>
  <c r="U93" i="8"/>
  <c r="U58" i="8"/>
  <c r="U90" i="8"/>
  <c r="U75" i="8"/>
  <c r="U71" i="8"/>
  <c r="U661" i="8"/>
  <c r="U63" i="8"/>
  <c r="U62" i="8"/>
  <c r="U59" i="8"/>
  <c r="U7" i="9" s="1"/>
  <c r="U65" i="8"/>
  <c r="U115" i="8" s="1"/>
  <c r="BJ587" i="8"/>
  <c r="U586" i="8"/>
  <c r="BJ588" i="8"/>
  <c r="V586" i="8"/>
  <c r="BJ586" i="8" s="1"/>
  <c r="W625" i="8"/>
  <c r="W610" i="8"/>
  <c r="BJ70" i="8"/>
  <c r="BJ79" i="8"/>
  <c r="V63" i="8"/>
  <c r="BJ61" i="8"/>
  <c r="W627" i="8"/>
  <c r="W629" i="8"/>
  <c r="W613" i="8"/>
  <c r="V72" i="8"/>
  <c r="BH110" i="9"/>
  <c r="V71" i="8"/>
  <c r="BJ57" i="8"/>
  <c r="V58" i="8"/>
  <c r="V59" i="8"/>
  <c r="V7" i="9" s="1"/>
  <c r="V62" i="8"/>
  <c r="V75" i="8"/>
  <c r="BH102" i="9"/>
  <c r="BH119" i="9"/>
  <c r="U26" i="9"/>
  <c r="U160" i="9"/>
  <c r="U284" i="9"/>
  <c r="U285" i="9" s="1"/>
  <c r="U155" i="9"/>
  <c r="U111" i="9"/>
  <c r="U97" i="8"/>
  <c r="BH114" i="9"/>
  <c r="BK310" i="8"/>
  <c r="U365" i="9"/>
  <c r="U112" i="8"/>
  <c r="U113" i="8"/>
  <c r="U366" i="9"/>
  <c r="BH132" i="9"/>
  <c r="BH366" i="9" s="1"/>
  <c r="BH118" i="9"/>
  <c r="V179" i="16"/>
  <c r="W179" i="16"/>
  <c r="Y179" i="16"/>
  <c r="Z179" i="16"/>
  <c r="X179" i="16"/>
  <c r="V7" i="16"/>
  <c r="AO179" i="16"/>
  <c r="AN7" i="16"/>
  <c r="AN13" i="16"/>
  <c r="AN14" i="16"/>
  <c r="AQ179" i="16"/>
  <c r="V20" i="16"/>
  <c r="V56" i="16"/>
  <c r="V57" i="16"/>
  <c r="V58" i="16"/>
  <c r="V21" i="16"/>
  <c r="V25" i="16"/>
  <c r="V39" i="16"/>
  <c r="V41" i="16"/>
  <c r="AN18" i="16"/>
  <c r="AN17" i="16"/>
  <c r="V201" i="16"/>
  <c r="V61" i="16"/>
  <c r="V26" i="16"/>
  <c r="AN56" i="16"/>
  <c r="AN21" i="16"/>
  <c r="V258" i="16"/>
  <c r="AN26" i="16"/>
  <c r="AN27" i="16"/>
  <c r="AN60" i="16"/>
  <c r="AN41" i="16"/>
  <c r="V43" i="16"/>
  <c r="V261" i="16"/>
  <c r="AN57" i="16"/>
  <c r="AN58" i="16"/>
  <c r="AN61" i="16"/>
  <c r="V46" i="16"/>
  <c r="V49" i="16"/>
  <c r="BH140" i="9"/>
  <c r="BH160" i="9" s="1"/>
  <c r="BH207" i="9"/>
  <c r="BH112" i="9"/>
  <c r="V111" i="9"/>
  <c r="BH111" i="9" s="1"/>
  <c r="BH107" i="9"/>
  <c r="BH100" i="9"/>
  <c r="W571" i="8"/>
  <c r="W129" i="8"/>
  <c r="BH98" i="9"/>
  <c r="BH284" i="9" s="1"/>
  <c r="V284" i="9"/>
  <c r="V285" i="9" s="1"/>
  <c r="W93" i="8"/>
  <c r="BJ285" i="8"/>
  <c r="V286" i="8"/>
  <c r="V288" i="8"/>
  <c r="V289" i="8" s="1"/>
  <c r="V295" i="8"/>
  <c r="AE322" i="8"/>
  <c r="AF322" i="8" s="1"/>
  <c r="AG322" i="8" s="1"/>
  <c r="AH322" i="8" s="1"/>
  <c r="AI322" i="8" s="1"/>
  <c r="AJ322" i="8" s="1"/>
  <c r="AK322" i="8" s="1"/>
  <c r="AL322" i="8" s="1"/>
  <c r="AM322" i="8" s="1"/>
  <c r="AN322" i="8" s="1"/>
  <c r="AO322" i="8" s="1"/>
  <c r="AP322" i="8" s="1"/>
  <c r="AQ322" i="8" s="1"/>
  <c r="AR322" i="8" s="1"/>
  <c r="AS322" i="8" s="1"/>
  <c r="AT322" i="8" s="1"/>
  <c r="AU322" i="8" s="1"/>
  <c r="AV322" i="8" s="1"/>
  <c r="AW322" i="8" s="1"/>
  <c r="AX322" i="8" s="1"/>
  <c r="BJ319" i="8"/>
  <c r="BK74" i="8"/>
  <c r="K24" i="12" s="1"/>
  <c r="AH297" i="8"/>
  <c r="AL297" i="8" s="1"/>
  <c r="BL74" i="8"/>
  <c r="L24" i="12" s="1"/>
  <c r="Z48" i="8"/>
  <c r="BJ547" i="8"/>
  <c r="BJ541" i="8"/>
  <c r="V542" i="8"/>
  <c r="AD536" i="8"/>
  <c r="V545" i="8"/>
  <c r="W542" i="8"/>
  <c r="W557" i="8"/>
  <c r="BJ578" i="8"/>
  <c r="W559" i="8"/>
  <c r="W545" i="8"/>
  <c r="X557" i="8"/>
  <c r="X542" i="8"/>
  <c r="W561" i="8"/>
  <c r="W565" i="8" s="1"/>
  <c r="W573" i="8" s="1"/>
  <c r="BL535" i="8"/>
  <c r="X559" i="8"/>
  <c r="Y542" i="8"/>
  <c r="Y557" i="8"/>
  <c r="W59" i="8"/>
  <c r="W7" i="9" s="1"/>
  <c r="W62" i="8"/>
  <c r="X548" i="8"/>
  <c r="X545" i="8"/>
  <c r="X561" i="8"/>
  <c r="W72" i="8"/>
  <c r="W71" i="8"/>
  <c r="Z542" i="8"/>
  <c r="Z548" i="8"/>
  <c r="Z557" i="8"/>
  <c r="BK541" i="8"/>
  <c r="AA559" i="8"/>
  <c r="AA557" i="8"/>
  <c r="AA542" i="8"/>
  <c r="Y559" i="8"/>
  <c r="Y548" i="8"/>
  <c r="Y545" i="8"/>
  <c r="Y561" i="8"/>
  <c r="Y563" i="8" s="1"/>
  <c r="E22" i="17"/>
  <c r="O22" i="17" s="1"/>
  <c r="BK558" i="8"/>
  <c r="BK547" i="8"/>
  <c r="Z545" i="8"/>
  <c r="Z561" i="8"/>
  <c r="Z563" i="8" s="1"/>
  <c r="BK552" i="8"/>
  <c r="AB557" i="8"/>
  <c r="AB542" i="8"/>
  <c r="E23" i="17" s="1"/>
  <c r="L23" i="17" s="1"/>
  <c r="AA561" i="8"/>
  <c r="AA563" i="8" s="1"/>
  <c r="AA553" i="8"/>
  <c r="AA545" i="8"/>
  <c r="AA548" i="8"/>
  <c r="AB559" i="8"/>
  <c r="AB561" i="8"/>
  <c r="AB563" i="8" s="1"/>
  <c r="AB553" i="8"/>
  <c r="AC557" i="8"/>
  <c r="AC542" i="8"/>
  <c r="AC559" i="8"/>
  <c r="AC561" i="8"/>
  <c r="AC553" i="8"/>
  <c r="AC545" i="8"/>
  <c r="AC548" i="8"/>
  <c r="AD542" i="8"/>
  <c r="BL541" i="8"/>
  <c r="AD557" i="8"/>
  <c r="BL552" i="8"/>
  <c r="AD553" i="8"/>
  <c r="AD545" i="8"/>
  <c r="AD546" i="8" s="1"/>
  <c r="AD548" i="8"/>
  <c r="AD561" i="8"/>
  <c r="AD565" i="8" s="1"/>
  <c r="AD567" i="8" s="1"/>
  <c r="BL558" i="8"/>
  <c r="V610" i="8"/>
  <c r="BJ609" i="8"/>
  <c r="V613" i="8"/>
  <c r="BJ646" i="8"/>
  <c r="C165" i="9"/>
  <c r="C69" i="9" s="1"/>
  <c r="W111" i="9"/>
  <c r="W365" i="9"/>
  <c r="W366" i="9"/>
  <c r="W284" i="9"/>
  <c r="V18" i="16"/>
  <c r="Z17" i="16"/>
  <c r="AD17" i="16"/>
  <c r="X36" i="8"/>
  <c r="X204" i="8"/>
  <c r="Y216" i="8"/>
  <c r="BK285" i="8"/>
  <c r="BK588" i="8"/>
  <c r="Z586" i="8"/>
  <c r="BK586" i="8" s="1"/>
  <c r="BK587" i="8"/>
  <c r="BI114" i="9"/>
  <c r="X57" i="8"/>
  <c r="X90" i="8" s="1"/>
  <c r="X625" i="8"/>
  <c r="X61" i="8"/>
  <c r="X63" i="8" s="1"/>
  <c r="X610" i="8"/>
  <c r="X72" i="8"/>
  <c r="X629" i="8"/>
  <c r="X633" i="8" s="1"/>
  <c r="X613" i="8"/>
  <c r="X614" i="8" s="1"/>
  <c r="AA280" i="9"/>
  <c r="AF19" i="9"/>
  <c r="AF70" i="9" s="1"/>
  <c r="AE19" i="9"/>
  <c r="AA713" i="8"/>
  <c r="AC19" i="9"/>
  <c r="BL79" i="8"/>
  <c r="W713" i="8"/>
  <c r="W711" i="8" s="1"/>
  <c r="Y145" i="8"/>
  <c r="Y204" i="8"/>
  <c r="Y208" i="8"/>
  <c r="AA474" i="8"/>
  <c r="AA478" i="8"/>
  <c r="AF478" i="8"/>
  <c r="AF474" i="8"/>
  <c r="X570" i="8"/>
  <c r="X638" i="8"/>
  <c r="X495" i="8"/>
  <c r="X129" i="8"/>
  <c r="X229" i="8"/>
  <c r="AB545" i="8"/>
  <c r="BL547" i="8"/>
  <c r="X606" i="8"/>
  <c r="X607" i="8" s="1"/>
  <c r="X44" i="8"/>
  <c r="Y610" i="8"/>
  <c r="Y625" i="8"/>
  <c r="Y629" i="8"/>
  <c r="Y616" i="8"/>
  <c r="Y613" i="8"/>
  <c r="X111" i="9"/>
  <c r="X284" i="9"/>
  <c r="Y282" i="9" s="1"/>
  <c r="Y129" i="8"/>
  <c r="Y17" i="9" s="1"/>
  <c r="Y55" i="9" s="1"/>
  <c r="Y229" i="8"/>
  <c r="Y570" i="8"/>
  <c r="Y638" i="8"/>
  <c r="AG145" i="8"/>
  <c r="Z216" i="8"/>
  <c r="BK407" i="8"/>
  <c r="AF145" i="8"/>
  <c r="E12" i="17"/>
  <c r="O12" i="17" s="1"/>
  <c r="AB216" i="8"/>
  <c r="AC216" i="8"/>
  <c r="AA216" i="8"/>
  <c r="AA145" i="8"/>
  <c r="AB145" i="8"/>
  <c r="AF212" i="8"/>
  <c r="Z208" i="8"/>
  <c r="BK144" i="8"/>
  <c r="AC145" i="8"/>
  <c r="AG212" i="8"/>
  <c r="AB204" i="8"/>
  <c r="AB212" i="8"/>
  <c r="BK211" i="8"/>
  <c r="AA204" i="8"/>
  <c r="AC204" i="8"/>
  <c r="AC208" i="8"/>
  <c r="Z204" i="8"/>
  <c r="BK207" i="8"/>
  <c r="AC212" i="8"/>
  <c r="AA212" i="8"/>
  <c r="BM144" i="8"/>
  <c r="E133" i="12" s="1"/>
  <c r="E139" i="12" s="1"/>
  <c r="AD216" i="8"/>
  <c r="BL144" i="8"/>
  <c r="D163" i="12" s="1"/>
  <c r="AD145" i="8"/>
  <c r="AH216" i="8"/>
  <c r="BM207" i="8"/>
  <c r="BM211" i="8"/>
  <c r="AH145" i="8"/>
  <c r="BL207" i="8"/>
  <c r="BL211" i="8"/>
  <c r="AD212" i="8"/>
  <c r="AD204" i="8"/>
  <c r="AD208" i="8"/>
  <c r="AH204" i="8"/>
  <c r="AH212" i="8"/>
  <c r="AA141" i="8"/>
  <c r="AA142" i="8" s="1"/>
  <c r="Z36" i="8"/>
  <c r="AD141" i="8"/>
  <c r="AD142" i="8" s="1"/>
  <c r="Y111" i="9"/>
  <c r="AE36" i="8"/>
  <c r="AF141" i="8"/>
  <c r="AF142" i="8" s="1"/>
  <c r="AF36" i="8"/>
  <c r="Z129" i="8"/>
  <c r="Z17" i="9" s="1"/>
  <c r="Z55" i="9" s="1"/>
  <c r="BK89" i="8"/>
  <c r="K65" i="12" s="1"/>
  <c r="BK569" i="8"/>
  <c r="Z570" i="8"/>
  <c r="BK228" i="8"/>
  <c r="Z229" i="8"/>
  <c r="Z638" i="8"/>
  <c r="BK637" i="8"/>
  <c r="BK494" i="8"/>
  <c r="AI36" i="8"/>
  <c r="AH36" i="8"/>
  <c r="AK36" i="8"/>
  <c r="AM141" i="8"/>
  <c r="Y212" i="8"/>
  <c r="Z212" i="8"/>
  <c r="V229" i="8"/>
  <c r="U229" i="8"/>
  <c r="Y478" i="8"/>
  <c r="Y474" i="8"/>
  <c r="Y458" i="8"/>
  <c r="Y459" i="8" s="1"/>
  <c r="Z456" i="8"/>
  <c r="Y495" i="8"/>
  <c r="Y471" i="8"/>
  <c r="Y482" i="8"/>
  <c r="Y461" i="8"/>
  <c r="Y72" i="8"/>
  <c r="Z40" i="8"/>
  <c r="AG471" i="8"/>
  <c r="AC471" i="8"/>
  <c r="AG478" i="8"/>
  <c r="AC482" i="8"/>
  <c r="AK471" i="8"/>
  <c r="AK482" i="8"/>
  <c r="AG474" i="8"/>
  <c r="AC478" i="8"/>
  <c r="AC474" i="8"/>
  <c r="AK478" i="8"/>
  <c r="BI118" i="9"/>
  <c r="BI365" i="9" s="1"/>
  <c r="BI132" i="9"/>
  <c r="BI366" i="9" s="1"/>
  <c r="Y284" i="9"/>
  <c r="Z44" i="8"/>
  <c r="AA610" i="8"/>
  <c r="AA625" i="8"/>
  <c r="BK609" i="8"/>
  <c r="Z610" i="8"/>
  <c r="Z625" i="8"/>
  <c r="AA613" i="8"/>
  <c r="Z629" i="8"/>
  <c r="Z631" i="8" s="1"/>
  <c r="BK620" i="8"/>
  <c r="AA629" i="8"/>
  <c r="AA633" i="8" s="1"/>
  <c r="AA621" i="8"/>
  <c r="Z616" i="8"/>
  <c r="BK615" i="8"/>
  <c r="BK626" i="8"/>
  <c r="AA72" i="8"/>
  <c r="BI207" i="9"/>
  <c r="BI66" i="9" s="1"/>
  <c r="Z209" i="9"/>
  <c r="BI100" i="9"/>
  <c r="BI112" i="9"/>
  <c r="BK93" i="8" s="1"/>
  <c r="Z93" i="8"/>
  <c r="Z111" i="9"/>
  <c r="BI111" i="9" s="1"/>
  <c r="AA129" i="8"/>
  <c r="AA17" i="9" s="1"/>
  <c r="AA570" i="8"/>
  <c r="AA495" i="8"/>
  <c r="AA229" i="8"/>
  <c r="Z57" i="8"/>
  <c r="Z5" i="9" s="1"/>
  <c r="Z458" i="8"/>
  <c r="Z459" i="8" s="1"/>
  <c r="BK470" i="8"/>
  <c r="Z61" i="8"/>
  <c r="Z63" i="8" s="1"/>
  <c r="Z495" i="8"/>
  <c r="Z471" i="8"/>
  <c r="Z482" i="8"/>
  <c r="Z461" i="8"/>
  <c r="AA458" i="8"/>
  <c r="AA459" i="8" s="1"/>
  <c r="Z478" i="8"/>
  <c r="BK70" i="8"/>
  <c r="K23" i="12" s="1"/>
  <c r="Z72" i="8"/>
  <c r="Z65" i="8"/>
  <c r="BK477" i="8"/>
  <c r="Z474" i="8"/>
  <c r="BK473" i="8"/>
  <c r="AH471" i="8"/>
  <c r="AD482" i="8"/>
  <c r="BL470" i="8"/>
  <c r="D164" i="12" s="1"/>
  <c r="AD471" i="8"/>
  <c r="AB456" i="8"/>
  <c r="BK121" i="8"/>
  <c r="K51" i="12" s="1"/>
  <c r="AH482" i="8"/>
  <c r="AL471" i="8"/>
  <c r="AL482" i="8"/>
  <c r="AD474" i="8"/>
  <c r="BL473" i="8"/>
  <c r="BI119" i="9"/>
  <c r="BI102" i="9"/>
  <c r="BL477" i="8"/>
  <c r="AD478" i="8"/>
  <c r="AH478" i="8"/>
  <c r="AL478" i="8"/>
  <c r="AA93" i="8"/>
  <c r="AA209" i="9"/>
  <c r="AC456" i="8"/>
  <c r="BI34" i="9"/>
  <c r="K31" i="12" s="1"/>
  <c r="AD456" i="8"/>
  <c r="BL455" i="8"/>
  <c r="AE456" i="8"/>
  <c r="AE40" i="8"/>
  <c r="BI140" i="9"/>
  <c r="BI160" i="9" s="1"/>
  <c r="BI98" i="9"/>
  <c r="Z302" i="9"/>
  <c r="BI117" i="9"/>
  <c r="Z303" i="9"/>
  <c r="BI130" i="9"/>
  <c r="BJ130" i="9"/>
  <c r="BJ303" i="9" s="1"/>
  <c r="AA591" i="8"/>
  <c r="AA586" i="8"/>
  <c r="AA594" i="8" s="1"/>
  <c r="AA592" i="8"/>
  <c r="AB604" i="8"/>
  <c r="E27" i="17"/>
  <c r="AB610" i="8"/>
  <c r="E28" i="17" s="1"/>
  <c r="L28" i="17" s="1"/>
  <c r="AB625" i="8"/>
  <c r="AB613" i="8"/>
  <c r="AB627" i="8"/>
  <c r="AB621" i="8"/>
  <c r="AB629" i="8"/>
  <c r="AB631" i="8" s="1"/>
  <c r="AB93" i="8"/>
  <c r="AB72" i="8"/>
  <c r="AA26" i="9"/>
  <c r="AA284" i="9"/>
  <c r="AA285" i="9" s="1"/>
  <c r="AA111" i="9"/>
  <c r="AA97" i="8"/>
  <c r="AA98" i="8" s="1"/>
  <c r="AB129" i="8"/>
  <c r="AB17" i="9" s="1"/>
  <c r="AB55" i="9" s="1"/>
  <c r="AB229" i="8"/>
  <c r="E8" i="17"/>
  <c r="AA112" i="8"/>
  <c r="AA113" i="8"/>
  <c r="AB591" i="8"/>
  <c r="BL587" i="8"/>
  <c r="AB586" i="8"/>
  <c r="AB594" i="8" s="1"/>
  <c r="AB592" i="8"/>
  <c r="AC586" i="8"/>
  <c r="BL588" i="8"/>
  <c r="AD586" i="8"/>
  <c r="AE586" i="8"/>
  <c r="AE594" i="8" s="1"/>
  <c r="AC604" i="8"/>
  <c r="AC610" i="8"/>
  <c r="AC625" i="8"/>
  <c r="AC629" i="8"/>
  <c r="AC633" i="8" s="1"/>
  <c r="AC621" i="8"/>
  <c r="AC616" i="8"/>
  <c r="AC613" i="8"/>
  <c r="AD604" i="8"/>
  <c r="BL603" i="8"/>
  <c r="AC627" i="8"/>
  <c r="BL609" i="8"/>
  <c r="AD625" i="8"/>
  <c r="AD610" i="8"/>
  <c r="AD621" i="8"/>
  <c r="BL620" i="8"/>
  <c r="AD616" i="8"/>
  <c r="AD627" i="8"/>
  <c r="BL615" i="8"/>
  <c r="AD613" i="8"/>
  <c r="BL626" i="8"/>
  <c r="AD629" i="8"/>
  <c r="AD633" i="8" s="1"/>
  <c r="AD635" i="8" s="1"/>
  <c r="AD72" i="8"/>
  <c r="AC93" i="8"/>
  <c r="BJ100" i="9"/>
  <c r="BJ207" i="9"/>
  <c r="AD93" i="8"/>
  <c r="BJ112" i="9"/>
  <c r="BL93" i="8" s="1"/>
  <c r="BJ102" i="9"/>
  <c r="BJ119" i="9"/>
  <c r="AB284" i="9"/>
  <c r="AB111" i="9"/>
  <c r="AB97" i="8"/>
  <c r="AC129" i="8"/>
  <c r="AC17" i="9" s="1"/>
  <c r="AC55" i="9" s="1"/>
  <c r="AC495" i="8"/>
  <c r="AC229" i="8"/>
  <c r="AC638" i="8"/>
  <c r="AC570" i="8"/>
  <c r="AB112" i="8"/>
  <c r="AB113" i="8"/>
  <c r="AC284" i="9"/>
  <c r="AC285" i="9" s="1"/>
  <c r="AC111" i="9"/>
  <c r="AC97" i="8"/>
  <c r="AC112" i="8"/>
  <c r="AC113" i="8"/>
  <c r="BJ113" i="9"/>
  <c r="BL89" i="8"/>
  <c r="L65" i="12" s="1"/>
  <c r="AD129" i="8"/>
  <c r="AD17" i="9" s="1"/>
  <c r="AD55" i="9" s="1"/>
  <c r="BL494" i="8"/>
  <c r="AD495" i="8"/>
  <c r="BL637" i="8"/>
  <c r="AD638" i="8"/>
  <c r="BL569" i="8"/>
  <c r="AD570" i="8"/>
  <c r="BL228" i="8"/>
  <c r="AD229" i="8"/>
  <c r="BJ117" i="9"/>
  <c r="BJ302" i="9" s="1"/>
  <c r="BJ34" i="9"/>
  <c r="L31" i="12" s="1"/>
  <c r="AD26" i="9"/>
  <c r="BJ140" i="9"/>
  <c r="BJ160" i="9" s="1"/>
  <c r="BJ98" i="9"/>
  <c r="BJ284" i="9" s="1"/>
  <c r="AD111" i="9"/>
  <c r="BJ111" i="9" s="1"/>
  <c r="BJ114" i="9"/>
  <c r="AD112" i="8"/>
  <c r="BL112" i="8" s="1"/>
  <c r="BJ118" i="9"/>
  <c r="BJ365" i="9" s="1"/>
  <c r="AD113" i="8"/>
  <c r="BJ132" i="9"/>
  <c r="BJ366" i="9" s="1"/>
  <c r="AE129" i="8"/>
  <c r="AE17" i="9" s="1"/>
  <c r="AE55" i="9" s="1"/>
  <c r="AD49" i="10"/>
  <c r="AD46" i="10"/>
  <c r="AC46" i="10"/>
  <c r="AC509" i="8"/>
  <c r="AB46" i="10"/>
  <c r="AB509" i="8"/>
  <c r="AE50" i="10"/>
  <c r="AE49" i="10" s="1"/>
  <c r="AE47" i="10"/>
  <c r="AE46" i="10" s="1"/>
  <c r="AD47" i="10"/>
  <c r="AD510" i="8" s="1"/>
  <c r="AD532" i="8" s="1"/>
  <c r="AC47" i="10"/>
  <c r="AC510" i="8" s="1"/>
  <c r="AB47" i="10"/>
  <c r="AB510" i="8"/>
  <c r="AB532" i="8" s="1"/>
  <c r="AA50" i="10"/>
  <c r="AA47" i="10"/>
  <c r="AA510" i="8" s="1"/>
  <c r="AA532" i="8" s="1"/>
  <c r="AB49" i="10"/>
  <c r="AB52" i="10" s="1"/>
  <c r="AB50" i="10"/>
  <c r="AC49" i="10"/>
  <c r="AC52" i="10" s="1"/>
  <c r="AC50" i="10"/>
  <c r="AC53" i="10" s="1"/>
  <c r="AD50" i="10"/>
  <c r="AD53" i="10"/>
  <c r="BJ49" i="10"/>
  <c r="AD52" i="10"/>
  <c r="BJ52" i="10" s="1"/>
  <c r="AA49" i="10"/>
  <c r="AA52" i="10"/>
  <c r="BJ46" i="10"/>
  <c r="BL509" i="8" s="1"/>
  <c r="AD509" i="8"/>
  <c r="AA46" i="10"/>
  <c r="AA509" i="8" s="1"/>
  <c r="AA53" i="10"/>
  <c r="BJ43" i="10"/>
  <c r="BJ40" i="10"/>
  <c r="BJ39" i="10"/>
  <c r="BJ42" i="10"/>
  <c r="BJ37" i="10"/>
  <c r="BJ33" i="10"/>
  <c r="BJ34" i="10"/>
  <c r="BJ35" i="10"/>
  <c r="AF536" i="8"/>
  <c r="BJ41" i="10"/>
  <c r="BJ36" i="10"/>
  <c r="AF559" i="8"/>
  <c r="AF48" i="8"/>
  <c r="AF561" i="8"/>
  <c r="AF565" i="8" s="1"/>
  <c r="AF557" i="8"/>
  <c r="AF542" i="8"/>
  <c r="AF545" i="8"/>
  <c r="AF553" i="8"/>
  <c r="AE604" i="8"/>
  <c r="AE44" i="8"/>
  <c r="AE536" i="8"/>
  <c r="AE48" i="8"/>
  <c r="BK41" i="10"/>
  <c r="BK35" i="10"/>
  <c r="BK37" i="10"/>
  <c r="BK43" i="10"/>
  <c r="AF334" i="8"/>
  <c r="BK34" i="10"/>
  <c r="BK33" i="10"/>
  <c r="BK36" i="10"/>
  <c r="AE542" i="8"/>
  <c r="BK40" i="10"/>
  <c r="BK39" i="10"/>
  <c r="BK42" i="10"/>
  <c r="AG334" i="8"/>
  <c r="AE557" i="8"/>
  <c r="AE625" i="8"/>
  <c r="AE610" i="8"/>
  <c r="AE570" i="8"/>
  <c r="AE553" i="8"/>
  <c r="AH334" i="8"/>
  <c r="AE559" i="8"/>
  <c r="AE621" i="8"/>
  <c r="AE629" i="8"/>
  <c r="AE633" i="8" s="1"/>
  <c r="AE641" i="8" s="1"/>
  <c r="AE643" i="8" s="1"/>
  <c r="AE613" i="8"/>
  <c r="AE627" i="8"/>
  <c r="AE545" i="8"/>
  <c r="AE561" i="8"/>
  <c r="AE565" i="8" s="1"/>
  <c r="AE567" i="8" s="1"/>
  <c r="AE209" i="9"/>
  <c r="AE93" i="8"/>
  <c r="BL35" i="10"/>
  <c r="BL37" i="10"/>
  <c r="BL34" i="10"/>
  <c r="BL33" i="10"/>
  <c r="BL36" i="10"/>
  <c r="BL43" i="10"/>
  <c r="BL40" i="10"/>
  <c r="BL41" i="10"/>
  <c r="BL42" i="10"/>
  <c r="BL39" i="10"/>
  <c r="BM470" i="8"/>
  <c r="E134" i="12" s="1"/>
  <c r="E140" i="12" s="1"/>
  <c r="AE57" i="8"/>
  <c r="AE84" i="8" s="1"/>
  <c r="AE471" i="8"/>
  <c r="AE482" i="8"/>
  <c r="BM477" i="8"/>
  <c r="AE72" i="8"/>
  <c r="AE61" i="8"/>
  <c r="AE458" i="8"/>
  <c r="AE459" i="8" s="1"/>
  <c r="AF456" i="8"/>
  <c r="AE461" i="8"/>
  <c r="AE65" i="8"/>
  <c r="AE13" i="9"/>
  <c r="AF40" i="8"/>
  <c r="AE478" i="8"/>
  <c r="AG456" i="8"/>
  <c r="AG458" i="8"/>
  <c r="AG459" i="8" s="1"/>
  <c r="BN470" i="8"/>
  <c r="AI471" i="8"/>
  <c r="AI482" i="8"/>
  <c r="AI478" i="8"/>
  <c r="BN477" i="8"/>
  <c r="AH40" i="8"/>
  <c r="AH456" i="8"/>
  <c r="BM455" i="8"/>
  <c r="AI456" i="8"/>
  <c r="AI40" i="8"/>
  <c r="AJ456" i="8"/>
  <c r="AK40" i="8"/>
  <c r="BN455" i="8"/>
  <c r="AK456" i="8"/>
  <c r="AL456" i="8"/>
  <c r="AM456" i="8"/>
  <c r="AE111" i="9"/>
  <c r="AE97" i="8"/>
  <c r="AE98" i="8" s="1"/>
  <c r="AE112" i="8"/>
  <c r="AE113" i="8"/>
  <c r="AF129" i="8"/>
  <c r="AF570" i="8"/>
  <c r="AF495" i="8"/>
  <c r="AF496" i="8"/>
  <c r="AF70" i="8"/>
  <c r="AF13" i="9" s="1"/>
  <c r="AF57" i="8"/>
  <c r="AF84" i="8" s="1"/>
  <c r="AF44" i="8"/>
  <c r="AF61" i="8"/>
  <c r="AF8" i="9" s="1"/>
  <c r="AF93" i="8"/>
  <c r="AF523" i="8"/>
  <c r="AF524" i="8"/>
  <c r="AF518" i="8"/>
  <c r="AF526" i="8" s="1"/>
  <c r="AG536" i="8"/>
  <c r="AG542" i="8"/>
  <c r="AG557" i="8"/>
  <c r="AG553" i="8"/>
  <c r="AG559" i="8"/>
  <c r="AG545" i="8"/>
  <c r="AF591" i="8"/>
  <c r="AF586" i="8"/>
  <c r="AF594" i="8" s="1"/>
  <c r="AF592" i="8"/>
  <c r="AG586" i="8"/>
  <c r="AH44" i="8"/>
  <c r="AF284" i="9"/>
  <c r="AG282" i="9" s="1"/>
  <c r="AF111" i="9"/>
  <c r="AF97" i="8"/>
  <c r="AG129" i="8"/>
  <c r="AG638" i="8"/>
  <c r="AF112" i="8"/>
  <c r="AF113" i="8"/>
  <c r="AH474" i="8"/>
  <c r="BM473" i="8"/>
  <c r="AK474" i="8"/>
  <c r="AI474" i="8"/>
  <c r="BN473" i="8"/>
  <c r="AG524" i="8"/>
  <c r="AG518" i="8"/>
  <c r="AG526" i="8" s="1"/>
  <c r="AG523" i="8"/>
  <c r="BM535" i="8"/>
  <c r="AH536" i="8"/>
  <c r="AH557" i="8"/>
  <c r="AH542" i="8"/>
  <c r="BM541" i="8"/>
  <c r="AH548" i="8"/>
  <c r="BM558" i="8"/>
  <c r="AH559" i="8"/>
  <c r="BM552" i="8"/>
  <c r="AH561" i="8"/>
  <c r="AH563" i="8" s="1"/>
  <c r="AH553" i="8"/>
  <c r="AH545" i="8"/>
  <c r="BM547" i="8"/>
  <c r="BM603" i="8"/>
  <c r="AG604" i="8"/>
  <c r="AG625" i="8"/>
  <c r="AG610" i="8"/>
  <c r="AG93" i="8"/>
  <c r="BK207" i="9"/>
  <c r="M78" i="12" s="1"/>
  <c r="AG627" i="8"/>
  <c r="AG189" i="9"/>
  <c r="AG629" i="8"/>
  <c r="AG633" i="8" s="1"/>
  <c r="AG621" i="8"/>
  <c r="AG613" i="8"/>
  <c r="AG616" i="8"/>
  <c r="BK100" i="9"/>
  <c r="AG192" i="9"/>
  <c r="AG190" i="9"/>
  <c r="AG81" i="9"/>
  <c r="AG97" i="8"/>
  <c r="AG111" i="9"/>
  <c r="AG76" i="9"/>
  <c r="BK117" i="9"/>
  <c r="AI302" i="9"/>
  <c r="AG112" i="8"/>
  <c r="AG77" i="9"/>
  <c r="BK130" i="9"/>
  <c r="AI303" i="9"/>
  <c r="AG113" i="8"/>
  <c r="AG57" i="9"/>
  <c r="AG71" i="9" s="1"/>
  <c r="AH93" i="8"/>
  <c r="BK112" i="9"/>
  <c r="BM93" i="8" s="1"/>
  <c r="BK113" i="9"/>
  <c r="AH571" i="8"/>
  <c r="AH230" i="8"/>
  <c r="AH639" i="8"/>
  <c r="AH496" i="8"/>
  <c r="BM89" i="8"/>
  <c r="M65" i="12" s="1"/>
  <c r="AH129" i="8"/>
  <c r="AH17" i="9" s="1"/>
  <c r="AH55" i="9" s="1"/>
  <c r="BM494" i="8"/>
  <c r="AH495" i="8"/>
  <c r="BM228" i="8"/>
  <c r="BM569" i="8"/>
  <c r="BM570" i="8" s="1"/>
  <c r="AH638" i="8"/>
  <c r="BM637" i="8"/>
  <c r="AH57" i="8"/>
  <c r="AH90" i="8" s="1"/>
  <c r="BM79" i="8"/>
  <c r="AH606" i="8"/>
  <c r="AH607" i="8" s="1"/>
  <c r="BM609" i="8"/>
  <c r="E135" i="12" s="1"/>
  <c r="E141" i="12" s="1"/>
  <c r="AH610" i="8"/>
  <c r="AH625" i="8"/>
  <c r="BM626" i="8"/>
  <c r="AH627" i="8"/>
  <c r="AH19" i="9"/>
  <c r="AH613" i="8"/>
  <c r="AH61" i="8"/>
  <c r="AL63" i="8" s="1"/>
  <c r="BM615" i="8"/>
  <c r="AH621" i="8"/>
  <c r="AH629" i="8"/>
  <c r="AH631" i="8" s="1"/>
  <c r="AH70" i="8"/>
  <c r="BM620" i="8"/>
  <c r="BK102" i="9"/>
  <c r="BK119" i="9"/>
  <c r="BM587" i="8"/>
  <c r="AH591" i="8"/>
  <c r="AH586" i="8"/>
  <c r="AH594" i="8" s="1"/>
  <c r="AI586" i="8"/>
  <c r="AI594" i="8" s="1"/>
  <c r="BM588" i="8"/>
  <c r="AH592" i="8"/>
  <c r="AJ586" i="8"/>
  <c r="AJ594" i="8" s="1"/>
  <c r="AI44" i="8"/>
  <c r="AI604" i="8"/>
  <c r="AJ604" i="8"/>
  <c r="AJ625" i="8"/>
  <c r="AJ610" i="8"/>
  <c r="AK604" i="8"/>
  <c r="AK44" i="8"/>
  <c r="AI610" i="8"/>
  <c r="AI625" i="8"/>
  <c r="AI627" i="8"/>
  <c r="AI613" i="8"/>
  <c r="AI621" i="8"/>
  <c r="AI629" i="8"/>
  <c r="AI633" i="8" s="1"/>
  <c r="AJ613" i="8"/>
  <c r="AJ621" i="8"/>
  <c r="AK57" i="8"/>
  <c r="AK625" i="8"/>
  <c r="AK610" i="8"/>
  <c r="AK627" i="8"/>
  <c r="AK629" i="8"/>
  <c r="AK621" i="8"/>
  <c r="AN82" i="8"/>
  <c r="AN5" i="9"/>
  <c r="AN75" i="8"/>
  <c r="I176" i="12"/>
  <c r="BM519" i="8"/>
  <c r="AH523" i="8"/>
  <c r="AH518" i="8"/>
  <c r="AH526" i="8" s="1"/>
  <c r="BM520" i="8"/>
  <c r="AH524" i="8"/>
  <c r="AI536" i="8"/>
  <c r="AI542" i="8"/>
  <c r="AI557" i="8"/>
  <c r="AI545" i="8"/>
  <c r="AI561" i="8"/>
  <c r="AI559" i="8"/>
  <c r="AI72" i="8"/>
  <c r="AI189" i="9"/>
  <c r="AI192" i="9"/>
  <c r="AI190" i="9"/>
  <c r="BK34" i="9"/>
  <c r="M31" i="12" s="1"/>
  <c r="BK140" i="9"/>
  <c r="BK160" i="9" s="1"/>
  <c r="BK98" i="9"/>
  <c r="BK155" i="9" s="1"/>
  <c r="AH97" i="8"/>
  <c r="BM97" i="8" s="1"/>
  <c r="AH111" i="9"/>
  <c r="BK111" i="9" s="1"/>
  <c r="BK114" i="9"/>
  <c r="AH112" i="8"/>
  <c r="BM112" i="8" s="1"/>
  <c r="BK118" i="9"/>
  <c r="BK365" i="9" s="1"/>
  <c r="AH113" i="8"/>
  <c r="BK132" i="9"/>
  <c r="AI93" i="8"/>
  <c r="AI216" i="9"/>
  <c r="AI65" i="8"/>
  <c r="AI129" i="8"/>
  <c r="AI17" i="9" s="1"/>
  <c r="AI55" i="9" s="1"/>
  <c r="AI229" i="8"/>
  <c r="AI495" i="8"/>
  <c r="AI638" i="8"/>
  <c r="AI524" i="8"/>
  <c r="AK520" i="8"/>
  <c r="AL520" i="8" s="1"/>
  <c r="AK519" i="8"/>
  <c r="AI523" i="8"/>
  <c r="AI518" i="8"/>
  <c r="AI526" i="8" s="1"/>
  <c r="AJ518" i="8"/>
  <c r="AJ526" i="8" s="1"/>
  <c r="AJ536" i="8"/>
  <c r="AJ557" i="8"/>
  <c r="AJ542" i="8"/>
  <c r="AJ559" i="8"/>
  <c r="AJ553" i="8"/>
  <c r="AJ561" i="8"/>
  <c r="AJ565" i="8" s="1"/>
  <c r="AJ545" i="8"/>
  <c r="AJ13" i="9"/>
  <c r="AJ19" i="9"/>
  <c r="AK19" i="9"/>
  <c r="AJ66" i="9"/>
  <c r="BN79" i="8"/>
  <c r="AK13" i="9"/>
  <c r="AK72" i="8"/>
  <c r="AJ189" i="9"/>
  <c r="AJ93" i="8"/>
  <c r="BN217" i="8"/>
  <c r="AJ190" i="9"/>
  <c r="AJ192" i="9"/>
  <c r="BN211" i="8"/>
  <c r="AL212" i="8"/>
  <c r="AM19" i="9"/>
  <c r="AN19" i="9"/>
  <c r="BO83" i="8"/>
  <c r="AP19" i="9"/>
  <c r="BO217" i="8"/>
  <c r="AO19" i="9"/>
  <c r="BS119" i="8"/>
  <c r="BR119" i="8"/>
  <c r="BT119" i="8"/>
  <c r="AI112" i="8"/>
  <c r="BN112" i="8" s="1"/>
  <c r="AI113" i="8"/>
  <c r="BU119" i="8"/>
  <c r="AI111" i="9"/>
  <c r="AI97" i="8"/>
  <c r="AI98" i="8" s="1"/>
  <c r="AI284" i="9"/>
  <c r="AI285" i="9" s="1"/>
  <c r="AJ129" i="8"/>
  <c r="AJ17" i="9" s="1"/>
  <c r="AJ55" i="9" s="1"/>
  <c r="AJ495" i="8"/>
  <c r="AJ638" i="8"/>
  <c r="AJ570" i="8"/>
  <c r="AJ229" i="8"/>
  <c r="AF254" i="8"/>
  <c r="AF256" i="8" s="1"/>
  <c r="AG254" i="8"/>
  <c r="AG256" i="8" s="1"/>
  <c r="W253" i="8"/>
  <c r="X253" i="8"/>
  <c r="Y253" i="8"/>
  <c r="AA253" i="8"/>
  <c r="AB253" i="8"/>
  <c r="AC253" i="8"/>
  <c r="AE253" i="8"/>
  <c r="AF253" i="8"/>
  <c r="AG253" i="8"/>
  <c r="W254" i="8"/>
  <c r="W255" i="8" s="1"/>
  <c r="X254" i="8"/>
  <c r="Y254" i="8"/>
  <c r="Y255" i="8" s="1"/>
  <c r="AA254" i="8"/>
  <c r="AA256" i="8" s="1"/>
  <c r="AB254" i="8"/>
  <c r="AC254" i="8"/>
  <c r="AC256" i="8" s="1"/>
  <c r="BN252" i="8"/>
  <c r="AI253" i="8"/>
  <c r="AI254" i="8"/>
  <c r="AI256" i="8" s="1"/>
  <c r="AJ284" i="9"/>
  <c r="AK282" i="9" s="1"/>
  <c r="AJ81" i="9"/>
  <c r="AJ111" i="9"/>
  <c r="AJ97" i="8"/>
  <c r="AJ113" i="8"/>
  <c r="AJ112" i="8"/>
  <c r="AJ302" i="9"/>
  <c r="AJ76" i="9"/>
  <c r="BL117" i="9"/>
  <c r="BL302" i="9" s="1"/>
  <c r="AK302" i="9"/>
  <c r="AM302" i="9"/>
  <c r="AN302" i="9"/>
  <c r="AO302" i="9"/>
  <c r="BM117" i="9"/>
  <c r="AP302" i="9"/>
  <c r="AQ302" i="9"/>
  <c r="AJ303" i="9"/>
  <c r="AJ77" i="9"/>
  <c r="AK303" i="9"/>
  <c r="BL130" i="9"/>
  <c r="AM303" i="9"/>
  <c r="AN303" i="9"/>
  <c r="AO303" i="9"/>
  <c r="BM130" i="9"/>
  <c r="AP303" i="9"/>
  <c r="AQ303" i="9"/>
  <c r="BL113" i="9"/>
  <c r="AK93" i="8"/>
  <c r="AK209" i="8"/>
  <c r="AK208" i="8"/>
  <c r="AK204" i="8"/>
  <c r="AK61" i="8"/>
  <c r="AK8" i="9" s="1"/>
  <c r="AL208" i="8"/>
  <c r="BN207" i="8"/>
  <c r="BO208" i="8" s="1"/>
  <c r="AM208" i="8"/>
  <c r="AM204" i="8"/>
  <c r="BL34" i="9"/>
  <c r="AN204" i="8"/>
  <c r="AN8" i="9"/>
  <c r="AN59" i="8"/>
  <c r="AN7" i="9" s="1"/>
  <c r="AK65" i="8"/>
  <c r="AK129" i="8"/>
  <c r="AK17" i="9" s="1"/>
  <c r="AK55" i="9" s="1"/>
  <c r="AK495" i="8"/>
  <c r="AK229" i="8"/>
  <c r="AL587" i="8"/>
  <c r="AK591" i="8"/>
  <c r="AK586" i="8"/>
  <c r="AK594" i="8" s="1"/>
  <c r="AK592" i="8"/>
  <c r="AL588" i="8"/>
  <c r="BN588" i="8" s="1"/>
  <c r="AL82" i="8"/>
  <c r="AL75" i="8"/>
  <c r="AL66" i="9"/>
  <c r="AL59" i="8"/>
  <c r="AL7" i="9" s="1"/>
  <c r="AL71" i="8"/>
  <c r="BN70" i="8"/>
  <c r="N23" i="12" s="1"/>
  <c r="BL207" i="9"/>
  <c r="N78" i="12" s="1"/>
  <c r="AL192" i="9"/>
  <c r="BL119" i="9"/>
  <c r="AL190" i="9"/>
  <c r="BL102" i="9"/>
  <c r="AL93" i="8"/>
  <c r="BL112" i="9"/>
  <c r="AK111" i="9"/>
  <c r="AK97" i="8"/>
  <c r="AL111" i="9"/>
  <c r="BL111" i="9" s="1"/>
  <c r="BL114" i="9"/>
  <c r="AL496" i="8"/>
  <c r="AL230" i="8"/>
  <c r="BN89" i="8"/>
  <c r="AL90" i="8"/>
  <c r="AL129" i="8"/>
  <c r="AL131" i="8" s="1"/>
  <c r="AL65" i="8"/>
  <c r="AL115" i="8" s="1"/>
  <c r="BN494" i="8"/>
  <c r="BN228" i="8"/>
  <c r="AM229" i="8"/>
  <c r="AL122" i="8"/>
  <c r="AN229" i="8"/>
  <c r="AK112" i="8"/>
  <c r="AK113" i="8"/>
  <c r="BL118" i="9"/>
  <c r="BL365" i="9" s="1"/>
  <c r="BL132" i="9"/>
  <c r="BL26" i="9"/>
  <c r="N28" i="12" s="1"/>
  <c r="BL230" i="9"/>
  <c r="BL140" i="9"/>
  <c r="BL160" i="9" s="1"/>
  <c r="AL284" i="9"/>
  <c r="AM282" i="9" s="1"/>
  <c r="BL98" i="9"/>
  <c r="BL284" i="9" s="1"/>
  <c r="AM212" i="8"/>
  <c r="AN219" i="8"/>
  <c r="AN212" i="8"/>
  <c r="AN72" i="8"/>
  <c r="AN71" i="8"/>
  <c r="AN13" i="9"/>
  <c r="AM93" i="8"/>
  <c r="AM230" i="8"/>
  <c r="AM129" i="8"/>
  <c r="AM17" i="9" s="1"/>
  <c r="AM55" i="9" s="1"/>
  <c r="AM53" i="9" s="1"/>
  <c r="AM496" i="8"/>
  <c r="AM495" i="8"/>
  <c r="AM482" i="8"/>
  <c r="AM471" i="8"/>
  <c r="AM8" i="9"/>
  <c r="AM458" i="8"/>
  <c r="AM459" i="8" s="1"/>
  <c r="AM5" i="9"/>
  <c r="AN456" i="8"/>
  <c r="AN458" i="8"/>
  <c r="AN459" i="8" s="1"/>
  <c r="AM62" i="8"/>
  <c r="AM59" i="8"/>
  <c r="AM7" i="9" s="1"/>
  <c r="AM478" i="8"/>
  <c r="AM90" i="8"/>
  <c r="AM84" i="8"/>
  <c r="AM54" i="8"/>
  <c r="AM55" i="8" s="1"/>
  <c r="AM75" i="8"/>
  <c r="AM82" i="8"/>
  <c r="AQ471" i="8"/>
  <c r="AQ485" i="8"/>
  <c r="AM71" i="8"/>
  <c r="AM13" i="9"/>
  <c r="AM72" i="8"/>
  <c r="AN189" i="9"/>
  <c r="AM122" i="8"/>
  <c r="AM190" i="9"/>
  <c r="AN93" i="8"/>
  <c r="AM192" i="9"/>
  <c r="AN192" i="9"/>
  <c r="AN190" i="9"/>
  <c r="AM233" i="9"/>
  <c r="AM75" i="9" s="1"/>
  <c r="AM111" i="9"/>
  <c r="AN230" i="8"/>
  <c r="AN129" i="8"/>
  <c r="AN17" i="9" s="1"/>
  <c r="AN55" i="9" s="1"/>
  <c r="AN53" i="9" s="1"/>
  <c r="AN495" i="8"/>
  <c r="AN496" i="8"/>
  <c r="AN122" i="8"/>
  <c r="AM284" i="9"/>
  <c r="AO216" i="8"/>
  <c r="AO229" i="8"/>
  <c r="AO145" i="8"/>
  <c r="AO219" i="8"/>
  <c r="AO221" i="8" s="1"/>
  <c r="AO204" i="8"/>
  <c r="AO8" i="9"/>
  <c r="AO72" i="8"/>
  <c r="AO13" i="9"/>
  <c r="AO93" i="8"/>
  <c r="AO189" i="9"/>
  <c r="AP216" i="8"/>
  <c r="BO144" i="8"/>
  <c r="G163" i="12" s="1"/>
  <c r="I163" i="12" s="1"/>
  <c r="BO211" i="8"/>
  <c r="AP212" i="8"/>
  <c r="AP204" i="8"/>
  <c r="BO207" i="8"/>
  <c r="AP219" i="8"/>
  <c r="AP224" i="8" s="1"/>
  <c r="AP226" i="8" s="1"/>
  <c r="BO70" i="8"/>
  <c r="AP8" i="9"/>
  <c r="AP72" i="8"/>
  <c r="BO61" i="8"/>
  <c r="AP63" i="8"/>
  <c r="AP13" i="9"/>
  <c r="BQ208" i="9"/>
  <c r="BR208" i="9" s="1"/>
  <c r="BS208" i="9" s="1"/>
  <c r="AN284" i="9"/>
  <c r="AN111" i="9"/>
  <c r="AN97" i="8"/>
  <c r="AO230" i="8"/>
  <c r="AO129" i="8"/>
  <c r="AO17" i="9" s="1"/>
  <c r="AO55" i="9" s="1"/>
  <c r="AO53" i="9" s="1"/>
  <c r="AO494" i="8"/>
  <c r="AO496" i="8" s="1"/>
  <c r="BM40" i="9"/>
  <c r="O41" i="12" s="1"/>
  <c r="AN112" i="8"/>
  <c r="AN129" i="9"/>
  <c r="AN142" i="9" s="1"/>
  <c r="AN113" i="8"/>
  <c r="AO111" i="9"/>
  <c r="AO129" i="9"/>
  <c r="AO142" i="9" s="1"/>
  <c r="AO66" i="8"/>
  <c r="AO5" i="9"/>
  <c r="AO71" i="8"/>
  <c r="AO62" i="8"/>
  <c r="AO82" i="8"/>
  <c r="AO84" i="8"/>
  <c r="AO75" i="8"/>
  <c r="AO59" i="8"/>
  <c r="AO7" i="9" s="1"/>
  <c r="AO190" i="9"/>
  <c r="AO192" i="9"/>
  <c r="AO284" i="9"/>
  <c r="AP212" i="9"/>
  <c r="BO228" i="8"/>
  <c r="AP129" i="8"/>
  <c r="AP17" i="9" s="1"/>
  <c r="AP230" i="8"/>
  <c r="BO89" i="8"/>
  <c r="BM114" i="9"/>
  <c r="AP494" i="8"/>
  <c r="AP229" i="8"/>
  <c r="AQ495" i="8"/>
  <c r="BM366" i="9"/>
  <c r="AP129" i="9"/>
  <c r="BM129" i="9" s="1"/>
  <c r="AP366" i="9"/>
  <c r="BM118" i="9"/>
  <c r="AP365" i="9"/>
  <c r="BM26" i="9"/>
  <c r="AM216" i="9"/>
  <c r="BM113" i="9"/>
  <c r="AQ229" i="8"/>
  <c r="AQ145" i="8"/>
  <c r="AQ216" i="8"/>
  <c r="AQ204" i="8"/>
  <c r="AQ212" i="8"/>
  <c r="AQ63" i="8"/>
  <c r="AK195" i="9" l="1"/>
  <c r="F42" i="10"/>
  <c r="F197" i="8" s="1"/>
  <c r="O52" i="20"/>
  <c r="X42" i="10"/>
  <c r="X197" i="8" s="1"/>
  <c r="BM39" i="10"/>
  <c r="R42" i="10"/>
  <c r="R117" i="16" s="1"/>
  <c r="T42" i="10"/>
  <c r="T117" i="16" s="1"/>
  <c r="V197" i="8"/>
  <c r="J42" i="10"/>
  <c r="J117" i="16" s="1"/>
  <c r="P42" i="10"/>
  <c r="Q42" i="10"/>
  <c r="Q117" i="16" s="1"/>
  <c r="Q118" i="16" s="1"/>
  <c r="K42" i="10"/>
  <c r="K117" i="16" s="1"/>
  <c r="D42" i="10"/>
  <c r="D197" i="8" s="1"/>
  <c r="E42" i="10"/>
  <c r="E197" i="8" s="1"/>
  <c r="L42" i="10"/>
  <c r="L117" i="16" s="1"/>
  <c r="P14" i="23"/>
  <c r="Q14" i="23" s="1"/>
  <c r="N14" i="23"/>
  <c r="BP138" i="9"/>
  <c r="M117" i="16"/>
  <c r="M197" i="8"/>
  <c r="I117" i="16"/>
  <c r="I197" i="8"/>
  <c r="BJ50" i="10"/>
  <c r="U42" i="10"/>
  <c r="U117" i="16" s="1"/>
  <c r="N42" i="10"/>
  <c r="N117" i="16" s="1"/>
  <c r="BI42" i="10"/>
  <c r="O42" i="10"/>
  <c r="O117" i="16" s="1"/>
  <c r="BN40" i="10"/>
  <c r="S42" i="10"/>
  <c r="S117" i="16" s="1"/>
  <c r="BJ47" i="10"/>
  <c r="BL510" i="8" s="1"/>
  <c r="H42" i="10"/>
  <c r="H117" i="16" s="1"/>
  <c r="BN43" i="10"/>
  <c r="AB53" i="10"/>
  <c r="BJ53" i="10" s="1"/>
  <c r="K197" i="8"/>
  <c r="P117" i="16"/>
  <c r="T118" i="16" s="1"/>
  <c r="P197" i="8"/>
  <c r="I61" i="20"/>
  <c r="I55" i="20"/>
  <c r="H197" i="8"/>
  <c r="K55" i="20"/>
  <c r="K61" i="20"/>
  <c r="BF36" i="10"/>
  <c r="F61" i="20"/>
  <c r="F52" i="20" s="1"/>
  <c r="T197" i="8"/>
  <c r="AE53" i="10"/>
  <c r="R197" i="8"/>
  <c r="N55" i="20"/>
  <c r="N52" i="20" s="1"/>
  <c r="M61" i="20"/>
  <c r="M52" i="20" s="1"/>
  <c r="AE510" i="8"/>
  <c r="AE511" i="8" s="1"/>
  <c r="G42" i="10"/>
  <c r="AT195" i="8"/>
  <c r="BN41" i="10"/>
  <c r="BN39" i="10"/>
  <c r="AI38" i="8"/>
  <c r="C486" i="8"/>
  <c r="AH196" i="8"/>
  <c r="C490" i="8"/>
  <c r="AB425" i="8"/>
  <c r="BM624" i="8"/>
  <c r="G133" i="12"/>
  <c r="BO213" i="8"/>
  <c r="D487" i="8"/>
  <c r="AB383" i="8"/>
  <c r="AE71" i="8"/>
  <c r="AC546" i="8"/>
  <c r="K94" i="8"/>
  <c r="AA59" i="8"/>
  <c r="AA7" i="9" s="1"/>
  <c r="AK115" i="8"/>
  <c r="O94" i="8"/>
  <c r="V94" i="8"/>
  <c r="C496" i="8"/>
  <c r="BJ93" i="8"/>
  <c r="AM637" i="8"/>
  <c r="BM208" i="8"/>
  <c r="D496" i="8"/>
  <c r="V230" i="8"/>
  <c r="E496" i="8"/>
  <c r="G94" i="8"/>
  <c r="BH93" i="8"/>
  <c r="F496" i="8"/>
  <c r="N65" i="12"/>
  <c r="R384" i="8"/>
  <c r="BF82" i="8"/>
  <c r="AA66" i="8"/>
  <c r="R381" i="8"/>
  <c r="AH265" i="8"/>
  <c r="AH267" i="8" s="1"/>
  <c r="AJ364" i="8"/>
  <c r="AN364" i="8" s="1"/>
  <c r="AR364" i="8" s="1"/>
  <c r="AV364" i="8" s="1"/>
  <c r="H522" i="8"/>
  <c r="T522" i="8"/>
  <c r="AG62" i="8"/>
  <c r="R386" i="8"/>
  <c r="H384" i="8"/>
  <c r="W369" i="8"/>
  <c r="BF71" i="8"/>
  <c r="BK479" i="8"/>
  <c r="BK229" i="8"/>
  <c r="BL209" i="8"/>
  <c r="BL210" i="8" s="1"/>
  <c r="BG58" i="8"/>
  <c r="AC261" i="8"/>
  <c r="BJ207" i="8"/>
  <c r="AA5" i="9"/>
  <c r="W385" i="8"/>
  <c r="W387" i="8" s="1"/>
  <c r="W389" i="8" s="1"/>
  <c r="G386" i="8"/>
  <c r="BK628" i="8"/>
  <c r="BJ62" i="8"/>
  <c r="AC264" i="8"/>
  <c r="S209" i="8"/>
  <c r="S210" i="8" s="1"/>
  <c r="S229" i="8"/>
  <c r="X590" i="8"/>
  <c r="AA82" i="8"/>
  <c r="AH696" i="8"/>
  <c r="AD265" i="8"/>
  <c r="G396" i="8"/>
  <c r="AO63" i="8"/>
  <c r="AF131" i="8"/>
  <c r="P590" i="8"/>
  <c r="Z263" i="8"/>
  <c r="AH263" i="8"/>
  <c r="S384" i="8"/>
  <c r="L369" i="8"/>
  <c r="BK213" i="8"/>
  <c r="R590" i="8"/>
  <c r="BL215" i="8"/>
  <c r="BM248" i="8"/>
  <c r="BN249" i="8" s="1"/>
  <c r="AF380" i="8"/>
  <c r="AJ218" i="9"/>
  <c r="AJ8" i="8"/>
  <c r="AJ3" i="9" s="1"/>
  <c r="AJ176" i="9" s="1"/>
  <c r="AF65" i="8"/>
  <c r="AE635" i="8"/>
  <c r="AE631" i="8"/>
  <c r="X210" i="8"/>
  <c r="P348" i="8"/>
  <c r="BH670" i="8"/>
  <c r="M384" i="8"/>
  <c r="S154" i="8"/>
  <c r="X122" i="8"/>
  <c r="BH58" i="8"/>
  <c r="Q522" i="8"/>
  <c r="BK571" i="8"/>
  <c r="BJ71" i="8"/>
  <c r="BF62" i="8"/>
  <c r="U131" i="8"/>
  <c r="AF261" i="8"/>
  <c r="AJ261" i="8" s="1"/>
  <c r="W474" i="8"/>
  <c r="AA8" i="9"/>
  <c r="AA62" i="8"/>
  <c r="Y384" i="8"/>
  <c r="BM628" i="8"/>
  <c r="BL496" i="8"/>
  <c r="BK622" i="8"/>
  <c r="Z546" i="8"/>
  <c r="X522" i="8"/>
  <c r="BJ159" i="8"/>
  <c r="R369" i="8"/>
  <c r="AI384" i="8"/>
  <c r="AH565" i="8"/>
  <c r="AH567" i="8" s="1"/>
  <c r="AD590" i="8"/>
  <c r="BK496" i="8"/>
  <c r="BJ549" i="8"/>
  <c r="BG75" i="8"/>
  <c r="BF58" i="8"/>
  <c r="BJ512" i="8"/>
  <c r="AE522" i="8"/>
  <c r="BN471" i="8"/>
  <c r="AE115" i="8"/>
  <c r="AE119" i="8" s="1"/>
  <c r="AE372" i="8"/>
  <c r="AE374" i="8" s="1"/>
  <c r="AE376" i="8" s="1"/>
  <c r="BK639" i="8"/>
  <c r="BL542" i="8"/>
  <c r="Y565" i="8"/>
  <c r="Y567" i="8" s="1"/>
  <c r="N590" i="8"/>
  <c r="AH633" i="8"/>
  <c r="AH641" i="8" s="1"/>
  <c r="AH643" i="8" s="1"/>
  <c r="AG522" i="8"/>
  <c r="BJ477" i="8"/>
  <c r="BJ479" i="8" s="1"/>
  <c r="AA397" i="8"/>
  <c r="AM102" i="8"/>
  <c r="BF20" i="8"/>
  <c r="BL628" i="8"/>
  <c r="BG638" i="8"/>
  <c r="O522" i="8"/>
  <c r="S475" i="8"/>
  <c r="AB427" i="8"/>
  <c r="AB428" i="8" s="1"/>
  <c r="E164" i="12"/>
  <c r="AQ205" i="8"/>
  <c r="BJ670" i="8"/>
  <c r="Q590" i="8"/>
  <c r="W381" i="8"/>
  <c r="I369" i="8"/>
  <c r="BL158" i="8"/>
  <c r="BL159" i="8" s="1"/>
  <c r="BM549" i="8"/>
  <c r="AF62" i="8"/>
  <c r="BK72" i="8"/>
  <c r="Z58" i="8"/>
  <c r="BM212" i="8"/>
  <c r="AC205" i="8"/>
  <c r="AB565" i="8"/>
  <c r="AB567" i="8" s="1"/>
  <c r="X372" i="8"/>
  <c r="X374" i="8" s="1"/>
  <c r="L22" i="17"/>
  <c r="BG82" i="8"/>
  <c r="BF72" i="8"/>
  <c r="E94" i="8"/>
  <c r="E216" i="9" s="1"/>
  <c r="E212" i="9" s="1"/>
  <c r="Q94" i="8"/>
  <c r="Q216" i="9" s="1"/>
  <c r="Q212" i="9" s="1"/>
  <c r="BK518" i="8"/>
  <c r="L396" i="8"/>
  <c r="X384" i="8"/>
  <c r="U31" i="8"/>
  <c r="F94" i="8"/>
  <c r="F216" i="9" s="1"/>
  <c r="F212" i="9" s="1"/>
  <c r="F217" i="9" s="1"/>
  <c r="R94" i="8"/>
  <c r="R216" i="9" s="1"/>
  <c r="R212" i="9" s="1"/>
  <c r="R217" i="9" s="1"/>
  <c r="AA522" i="8"/>
  <c r="AC425" i="8"/>
  <c r="BG13" i="8"/>
  <c r="BO229" i="8"/>
  <c r="BM617" i="8"/>
  <c r="H94" i="8"/>
  <c r="H216" i="9" s="1"/>
  <c r="H212" i="9" s="1"/>
  <c r="H217" i="9" s="1"/>
  <c r="Z210" i="8"/>
  <c r="AA94" i="8"/>
  <c r="AN131" i="8"/>
  <c r="BM554" i="8"/>
  <c r="AF522" i="8"/>
  <c r="BK545" i="8"/>
  <c r="AB562" i="8"/>
  <c r="BK629" i="8"/>
  <c r="BK631" i="8" s="1"/>
  <c r="U66" i="8"/>
  <c r="BE82" i="8"/>
  <c r="I94" i="8"/>
  <c r="I216" i="9" s="1"/>
  <c r="I212" i="9" s="1"/>
  <c r="I217" i="9" s="1"/>
  <c r="G618" i="8"/>
  <c r="AE63" i="9"/>
  <c r="AE94" i="8"/>
  <c r="AC384" i="8"/>
  <c r="V369" i="8"/>
  <c r="BF159" i="8"/>
  <c r="AE590" i="8"/>
  <c r="Z66" i="8"/>
  <c r="BF59" i="8"/>
  <c r="J94" i="8"/>
  <c r="J216" i="9" s="1"/>
  <c r="J212" i="9" s="1"/>
  <c r="J217" i="9" s="1"/>
  <c r="Y210" i="8"/>
  <c r="AF218" i="9"/>
  <c r="AN94" i="8"/>
  <c r="AX209" i="8"/>
  <c r="BB210" i="8"/>
  <c r="AT210" i="8"/>
  <c r="AP221" i="8"/>
  <c r="BO209" i="8"/>
  <c r="AL17" i="9"/>
  <c r="AL55" i="9" s="1"/>
  <c r="BO204" i="8"/>
  <c r="BM560" i="8"/>
  <c r="AF17" i="9"/>
  <c r="AF55" i="9" s="1"/>
  <c r="BM586" i="8"/>
  <c r="BK495" i="8"/>
  <c r="BK610" i="8"/>
  <c r="Q656" i="8"/>
  <c r="BM556" i="8"/>
  <c r="S63" i="9"/>
  <c r="S94" i="8"/>
  <c r="AB365" i="8"/>
  <c r="AF383" i="8"/>
  <c r="P369" i="8"/>
  <c r="AJ33" i="8"/>
  <c r="AN34" i="8" s="1"/>
  <c r="BE30" i="8"/>
  <c r="BH21" i="8"/>
  <c r="AC631" i="8"/>
  <c r="L94" i="8"/>
  <c r="L216" i="9" s="1"/>
  <c r="L212" i="9" s="1"/>
  <c r="L217" i="9" s="1"/>
  <c r="BH553" i="8"/>
  <c r="O590" i="8"/>
  <c r="BJ228" i="8"/>
  <c r="BO256" i="8"/>
  <c r="BI152" i="8"/>
  <c r="BI144" i="8" s="1"/>
  <c r="BI209" i="8" s="1"/>
  <c r="BH13" i="8"/>
  <c r="BG21" i="8"/>
  <c r="AT199" i="8"/>
  <c r="M94" i="8"/>
  <c r="M216" i="9" s="1"/>
  <c r="M212" i="9" s="1"/>
  <c r="M217" i="9" s="1"/>
  <c r="BJ29" i="8"/>
  <c r="BJ31" i="8" s="1"/>
  <c r="AF90" i="8"/>
  <c r="N94" i="8"/>
  <c r="N216" i="9" s="1"/>
  <c r="N212" i="9" s="1"/>
  <c r="J656" i="8"/>
  <c r="H618" i="8"/>
  <c r="AI396" i="8"/>
  <c r="X152" i="8"/>
  <c r="X153" i="8" s="1"/>
  <c r="BE20" i="8"/>
  <c r="AC255" i="8"/>
  <c r="Z75" i="8"/>
  <c r="BL208" i="8"/>
  <c r="AD205" i="8"/>
  <c r="BK570" i="8"/>
  <c r="U348" i="8"/>
  <c r="I618" i="8"/>
  <c r="Y66" i="8"/>
  <c r="AI94" i="8"/>
  <c r="AF5" i="9"/>
  <c r="AF9" i="9" s="1"/>
  <c r="Z90" i="8"/>
  <c r="Z33" i="8"/>
  <c r="AB546" i="8"/>
  <c r="X631" i="8"/>
  <c r="D94" i="8"/>
  <c r="D216" i="9" s="1"/>
  <c r="D212" i="9" s="1"/>
  <c r="P94" i="8"/>
  <c r="P216" i="9" s="1"/>
  <c r="P212" i="9" s="1"/>
  <c r="P217" i="9" s="1"/>
  <c r="J618" i="8"/>
  <c r="L386" i="8"/>
  <c r="BJ368" i="8"/>
  <c r="AM94" i="8"/>
  <c r="BJ12" i="8"/>
  <c r="BF9" i="8"/>
  <c r="AJ367" i="9"/>
  <c r="J64" i="9"/>
  <c r="T282" i="9"/>
  <c r="AK193" i="9"/>
  <c r="K64" i="9"/>
  <c r="AG304" i="9"/>
  <c r="AH193" i="9"/>
  <c r="S367" i="9"/>
  <c r="AF304" i="9"/>
  <c r="AF367" i="9"/>
  <c r="P153" i="9"/>
  <c r="K282" i="9"/>
  <c r="F304" i="9"/>
  <c r="L282" i="9"/>
  <c r="E304" i="9"/>
  <c r="V165" i="9"/>
  <c r="BL149" i="9"/>
  <c r="I282" i="9"/>
  <c r="BN93" i="8"/>
  <c r="O304" i="9"/>
  <c r="AN367" i="9"/>
  <c r="E69" i="9"/>
  <c r="AI153" i="9"/>
  <c r="L304" i="9"/>
  <c r="L146" i="9"/>
  <c r="L145" i="9" s="1"/>
  <c r="J304" i="9"/>
  <c r="AA153" i="9"/>
  <c r="AH153" i="9"/>
  <c r="BH317" i="9"/>
  <c r="AB64" i="9"/>
  <c r="AI64" i="9"/>
  <c r="I146" i="9"/>
  <c r="I145" i="9" s="1"/>
  <c r="O146" i="9"/>
  <c r="O145" i="9" s="1"/>
  <c r="G282" i="9"/>
  <c r="AI367" i="9"/>
  <c r="O153" i="9"/>
  <c r="H153" i="9"/>
  <c r="F160" i="9"/>
  <c r="F159" i="9" s="1"/>
  <c r="BK70" i="9"/>
  <c r="AJ148" i="9"/>
  <c r="AC304" i="9"/>
  <c r="BJ287" i="9"/>
  <c r="BJ288" i="9" s="1"/>
  <c r="BJ70" i="9"/>
  <c r="Y331" i="9"/>
  <c r="Y329" i="9" s="1"/>
  <c r="AA147" i="9"/>
  <c r="AA146" i="9" s="1"/>
  <c r="AA145" i="9" s="1"/>
  <c r="AK367" i="9"/>
  <c r="AK368" i="9" s="1"/>
  <c r="AK363" i="9" s="1"/>
  <c r="U64" i="9"/>
  <c r="V367" i="9"/>
  <c r="T146" i="9"/>
  <c r="T145" i="9" s="1"/>
  <c r="K78" i="12"/>
  <c r="U191" i="9"/>
  <c r="U188" i="9" s="1"/>
  <c r="AG97" i="9"/>
  <c r="Q69" i="9"/>
  <c r="AN304" i="9"/>
  <c r="AN356" i="9" s="1"/>
  <c r="AJ282" i="9"/>
  <c r="AG146" i="9"/>
  <c r="AG145" i="9" s="1"/>
  <c r="AB304" i="9"/>
  <c r="AC153" i="9"/>
  <c r="AC367" i="9"/>
  <c r="X71" i="9"/>
  <c r="AJ304" i="9"/>
  <c r="O282" i="9"/>
  <c r="D304" i="9"/>
  <c r="E305" i="9" s="1"/>
  <c r="P304" i="9"/>
  <c r="G69" i="9"/>
  <c r="AA214" i="9"/>
  <c r="AA212" i="9" s="1"/>
  <c r="AA217" i="9" s="1"/>
  <c r="AO367" i="9"/>
  <c r="Q304" i="9"/>
  <c r="K66" i="12"/>
  <c r="C304" i="9"/>
  <c r="C305" i="9" s="1"/>
  <c r="S289" i="9"/>
  <c r="S293" i="9" s="1"/>
  <c r="S295" i="9" s="1"/>
  <c r="M146" i="9"/>
  <c r="J69" i="9"/>
  <c r="L64" i="9"/>
  <c r="AF153" i="9"/>
  <c r="I304" i="9"/>
  <c r="C146" i="9"/>
  <c r="C65" i="9" s="1"/>
  <c r="AA191" i="9"/>
  <c r="BF148" i="9"/>
  <c r="D282" i="9"/>
  <c r="AG116" i="9"/>
  <c r="AG142" i="9" s="1"/>
  <c r="X285" i="9"/>
  <c r="P69" i="9"/>
  <c r="N64" i="9"/>
  <c r="AB71" i="9"/>
  <c r="BK149" i="9"/>
  <c r="N304" i="9"/>
  <c r="T367" i="9"/>
  <c r="V146" i="9"/>
  <c r="V145" i="9" s="1"/>
  <c r="AH304" i="9"/>
  <c r="AH305" i="9" s="1"/>
  <c r="AH308" i="9" s="1"/>
  <c r="AH310" i="9" s="1"/>
  <c r="W304" i="9"/>
  <c r="H282" i="9"/>
  <c r="D146" i="9"/>
  <c r="J153" i="9"/>
  <c r="F69" i="9"/>
  <c r="AG11" i="9"/>
  <c r="AG12" i="9" s="1"/>
  <c r="AG153" i="9"/>
  <c r="AM367" i="9"/>
  <c r="BH321" i="9"/>
  <c r="AH367" i="9"/>
  <c r="BL155" i="9"/>
  <c r="P282" i="9"/>
  <c r="AD165" i="9"/>
  <c r="AD159" i="9" s="1"/>
  <c r="AQ37" i="9"/>
  <c r="AQ42" i="9" s="1"/>
  <c r="N146" i="9"/>
  <c r="N145" i="9" s="1"/>
  <c r="U97" i="9"/>
  <c r="U115" i="9" s="1"/>
  <c r="S188" i="9"/>
  <c r="S203" i="9" s="1"/>
  <c r="X367" i="9"/>
  <c r="T188" i="9"/>
  <c r="T202" i="9" s="1"/>
  <c r="AH191" i="9"/>
  <c r="R289" i="9"/>
  <c r="E64" i="9"/>
  <c r="Q64" i="9"/>
  <c r="AA367" i="9"/>
  <c r="AB367" i="9"/>
  <c r="BM77" i="9"/>
  <c r="L11" i="9"/>
  <c r="L21" i="9" s="1"/>
  <c r="S282" i="9"/>
  <c r="H69" i="9"/>
  <c r="G153" i="9"/>
  <c r="S64" i="9"/>
  <c r="AD304" i="9"/>
  <c r="U148" i="9"/>
  <c r="U146" i="9" s="1"/>
  <c r="BF347" i="9"/>
  <c r="AC64" i="9"/>
  <c r="R367" i="9"/>
  <c r="R368" i="9" s="1"/>
  <c r="R363" i="9" s="1"/>
  <c r="C153" i="9"/>
  <c r="C274" i="9" s="1"/>
  <c r="X165" i="9"/>
  <c r="X159" i="9" s="1"/>
  <c r="AD153" i="9"/>
  <c r="AL285" i="9"/>
  <c r="P146" i="9"/>
  <c r="P145" i="9" s="1"/>
  <c r="D153" i="9"/>
  <c r="AB146" i="9"/>
  <c r="BH287" i="9"/>
  <c r="BH288" i="9" s="1"/>
  <c r="R282" i="9"/>
  <c r="L289" i="9"/>
  <c r="L293" i="9" s="1"/>
  <c r="L295" i="9" s="1"/>
  <c r="E146" i="9"/>
  <c r="E145" i="9" s="1"/>
  <c r="Q146" i="9"/>
  <c r="Q174" i="9" s="1"/>
  <c r="K146" i="9"/>
  <c r="K174" i="9" s="1"/>
  <c r="E153" i="9"/>
  <c r="Q153" i="9"/>
  <c r="M69" i="9"/>
  <c r="AJ165" i="9"/>
  <c r="AJ159" i="9" s="1"/>
  <c r="BK209" i="9"/>
  <c r="K142" i="9"/>
  <c r="T304" i="9"/>
  <c r="M64" i="9"/>
  <c r="AH165" i="9"/>
  <c r="AH159" i="9" s="1"/>
  <c r="AH152" i="9" s="1"/>
  <c r="AJ285" i="9"/>
  <c r="D64" i="9"/>
  <c r="V316" i="9"/>
  <c r="AA304" i="9"/>
  <c r="AI165" i="9"/>
  <c r="AI159" i="9" s="1"/>
  <c r="F282" i="9"/>
  <c r="S304" i="9"/>
  <c r="BK66" i="9"/>
  <c r="BJ149" i="9"/>
  <c r="X304" i="9"/>
  <c r="I69" i="9"/>
  <c r="AI79" i="9"/>
  <c r="AM304" i="9"/>
  <c r="AM356" i="9" s="1"/>
  <c r="J142" i="9"/>
  <c r="BE142" i="9" s="1"/>
  <c r="U165" i="9"/>
  <c r="U159" i="9" s="1"/>
  <c r="T153" i="9"/>
  <c r="P64" i="9"/>
  <c r="W79" i="9"/>
  <c r="AD193" i="9"/>
  <c r="AD188" i="9" s="1"/>
  <c r="AG367" i="9"/>
  <c r="O64" i="9"/>
  <c r="U367" i="9"/>
  <c r="BH304" i="9"/>
  <c r="Q282" i="9"/>
  <c r="I153" i="9"/>
  <c r="K69" i="9"/>
  <c r="BK287" i="9"/>
  <c r="BK288" i="9" s="1"/>
  <c r="BK289" i="9" s="1"/>
  <c r="X331" i="9"/>
  <c r="X329" i="9" s="1"/>
  <c r="BG70" i="9"/>
  <c r="AC165" i="9"/>
  <c r="AC146" i="9"/>
  <c r="AC145" i="9" s="1"/>
  <c r="AH64" i="9"/>
  <c r="AQ348" i="9"/>
  <c r="AR348" i="9" s="1"/>
  <c r="AT348" i="9" s="1"/>
  <c r="BN348" i="9" s="1"/>
  <c r="AD282" i="9"/>
  <c r="U304" i="9"/>
  <c r="J146" i="9"/>
  <c r="L69" i="9"/>
  <c r="F64" i="9"/>
  <c r="R64" i="9"/>
  <c r="V153" i="9"/>
  <c r="BG317" i="9"/>
  <c r="AF165" i="9"/>
  <c r="AF159" i="9" s="1"/>
  <c r="AG165" i="9"/>
  <c r="AG159" i="9" s="1"/>
  <c r="AF285" i="9"/>
  <c r="BJ155" i="9"/>
  <c r="L73" i="12" s="1"/>
  <c r="V304" i="9"/>
  <c r="K153" i="9"/>
  <c r="BF70" i="9"/>
  <c r="AB282" i="9"/>
  <c r="E282" i="9"/>
  <c r="G304" i="9"/>
  <c r="F146" i="9"/>
  <c r="F145" i="9" s="1"/>
  <c r="R146" i="9"/>
  <c r="R145" i="9" s="1"/>
  <c r="F153" i="9"/>
  <c r="R153" i="9"/>
  <c r="L153" i="9"/>
  <c r="H64" i="9"/>
  <c r="T64" i="9"/>
  <c r="V64" i="9"/>
  <c r="X116" i="9"/>
  <c r="X142" i="9" s="1"/>
  <c r="AB153" i="9"/>
  <c r="AK153" i="9"/>
  <c r="K304" i="9"/>
  <c r="H304" i="9"/>
  <c r="G146" i="9"/>
  <c r="G174" i="9" s="1"/>
  <c r="S146" i="9"/>
  <c r="S145" i="9" s="1"/>
  <c r="S153" i="9"/>
  <c r="M153" i="9"/>
  <c r="AA165" i="9"/>
  <c r="AK285" i="9"/>
  <c r="M66" i="12"/>
  <c r="H146" i="9"/>
  <c r="H145" i="9" s="1"/>
  <c r="N153" i="9"/>
  <c r="W116" i="9"/>
  <c r="W142" i="9" s="1"/>
  <c r="R304" i="9"/>
  <c r="M304" i="9"/>
  <c r="T285" i="9"/>
  <c r="M289" i="9"/>
  <c r="AD64" i="9"/>
  <c r="AJ153" i="9"/>
  <c r="AK165" i="9"/>
  <c r="AK159" i="9" s="1"/>
  <c r="AQ151" i="9"/>
  <c r="BH285" i="9"/>
  <c r="BI282" i="9"/>
  <c r="BM282" i="9"/>
  <c r="BL285" i="9"/>
  <c r="V337" i="9"/>
  <c r="V335" i="9" s="1"/>
  <c r="BH336" i="9"/>
  <c r="Q289" i="9"/>
  <c r="AO304" i="9"/>
  <c r="BI209" i="9"/>
  <c r="W367" i="9"/>
  <c r="BG148" i="9"/>
  <c r="U9" i="9"/>
  <c r="AB79" i="9"/>
  <c r="AB165" i="9"/>
  <c r="AB159" i="9" s="1"/>
  <c r="G30" i="12"/>
  <c r="BJ77" i="9"/>
  <c r="BI164" i="9"/>
  <c r="M170" i="9"/>
  <c r="BE15" i="9"/>
  <c r="G64" i="9"/>
  <c r="Y146" i="9"/>
  <c r="Y145" i="9" s="1"/>
  <c r="BR289" i="9"/>
  <c r="W26" i="9"/>
  <c r="BI26" i="9" s="1"/>
  <c r="S165" i="9"/>
  <c r="D11" i="9"/>
  <c r="D21" i="9" s="1"/>
  <c r="P11" i="9"/>
  <c r="P21" i="9" s="1"/>
  <c r="BI287" i="9"/>
  <c r="BI288" i="9" s="1"/>
  <c r="BG321" i="9"/>
  <c r="X110" i="8"/>
  <c r="X111" i="8" s="1"/>
  <c r="BH70" i="9"/>
  <c r="AD147" i="9"/>
  <c r="AD146" i="9" s="1"/>
  <c r="AE146" i="9"/>
  <c r="AE145" i="9" s="1"/>
  <c r="AK304" i="9"/>
  <c r="AJ110" i="8"/>
  <c r="AJ111" i="8" s="1"/>
  <c r="U116" i="9"/>
  <c r="U142" i="9" s="1"/>
  <c r="BH340" i="9"/>
  <c r="I64" i="9"/>
  <c r="Z285" i="9"/>
  <c r="AE165" i="9"/>
  <c r="AE159" i="9" s="1"/>
  <c r="W282" i="9"/>
  <c r="BD26" i="9"/>
  <c r="BD71" i="9" s="1"/>
  <c r="J282" i="9"/>
  <c r="N289" i="9"/>
  <c r="BJ331" i="9"/>
  <c r="AH116" i="9"/>
  <c r="BK116" i="9" s="1"/>
  <c r="AK64" i="9"/>
  <c r="BH334" i="9"/>
  <c r="V116" i="9"/>
  <c r="BH116" i="9" s="1"/>
  <c r="BK331" i="9"/>
  <c r="AD79" i="9"/>
  <c r="AQ304" i="9"/>
  <c r="AI304" i="9"/>
  <c r="V282" i="9"/>
  <c r="BD148" i="9"/>
  <c r="N282" i="9"/>
  <c r="Y304" i="9"/>
  <c r="BH157" i="9"/>
  <c r="J74" i="12" s="1"/>
  <c r="AC79" i="9"/>
  <c r="M282" i="9"/>
  <c r="X148" i="9"/>
  <c r="X146" i="9" s="1"/>
  <c r="X145" i="9" s="1"/>
  <c r="Z165" i="9"/>
  <c r="Z159" i="9" s="1"/>
  <c r="AF21" i="12"/>
  <c r="N19" i="23"/>
  <c r="N12" i="23"/>
  <c r="AI326" i="8"/>
  <c r="BM326" i="8"/>
  <c r="AF567" i="8"/>
  <c r="AF573" i="8"/>
  <c r="AF575" i="8" s="1"/>
  <c r="BK617" i="8"/>
  <c r="BN230" i="8"/>
  <c r="AH62" i="8"/>
  <c r="AH82" i="8"/>
  <c r="AF115" i="8"/>
  <c r="AF23" i="9" s="1"/>
  <c r="AE131" i="8"/>
  <c r="BK638" i="8"/>
  <c r="BL213" i="8"/>
  <c r="BL553" i="8"/>
  <c r="W563" i="8"/>
  <c r="H348" i="8"/>
  <c r="L17" i="17"/>
  <c r="W212" i="8"/>
  <c r="AC522" i="8"/>
  <c r="AI210" i="8"/>
  <c r="AE369" i="8"/>
  <c r="N369" i="8"/>
  <c r="AJ369" i="8"/>
  <c r="AC427" i="8"/>
  <c r="N396" i="8"/>
  <c r="M396" i="8"/>
  <c r="AA380" i="8"/>
  <c r="T154" i="8"/>
  <c r="AH8" i="9"/>
  <c r="BM571" i="8"/>
  <c r="AF71" i="8"/>
  <c r="F164" i="12"/>
  <c r="AE82" i="8"/>
  <c r="AF563" i="8"/>
  <c r="AD631" i="8"/>
  <c r="Z8" i="8"/>
  <c r="Z37" i="8" s="1"/>
  <c r="BK129" i="8"/>
  <c r="X62" i="8"/>
  <c r="AB205" i="8"/>
  <c r="AA565" i="8"/>
  <c r="AA566" i="8" s="1"/>
  <c r="AA546" i="8"/>
  <c r="BE71" i="8"/>
  <c r="BF15" i="9"/>
  <c r="BE545" i="8"/>
  <c r="S348" i="8"/>
  <c r="M522" i="8"/>
  <c r="AB84" i="8"/>
  <c r="AF92" i="8"/>
  <c r="AF94" i="8" s="1"/>
  <c r="AA383" i="8"/>
  <c r="T369" i="8"/>
  <c r="AF413" i="8"/>
  <c r="AA381" i="8"/>
  <c r="N381" i="8"/>
  <c r="W440" i="8"/>
  <c r="W442" i="8" s="1"/>
  <c r="AB381" i="8"/>
  <c r="AB159" i="8"/>
  <c r="BM195" i="8"/>
  <c r="AG198" i="8"/>
  <c r="W256" i="8"/>
  <c r="BN496" i="8"/>
  <c r="Y256" i="8"/>
  <c r="Y257" i="8" s="1"/>
  <c r="BM230" i="8"/>
  <c r="AF72" i="8"/>
  <c r="F134" i="12"/>
  <c r="F140" i="12" s="1"/>
  <c r="Z633" i="8"/>
  <c r="Z635" i="8" s="1"/>
  <c r="BM145" i="8"/>
  <c r="AA562" i="8"/>
  <c r="X565" i="8"/>
  <c r="X567" i="8" s="1"/>
  <c r="U110" i="8"/>
  <c r="U111" i="8" s="1"/>
  <c r="BH82" i="8"/>
  <c r="BG670" i="8"/>
  <c r="BG548" i="8"/>
  <c r="S204" i="8"/>
  <c r="W205" i="8" s="1"/>
  <c r="AF633" i="8"/>
  <c r="AF635" i="8" s="1"/>
  <c r="AG59" i="8"/>
  <c r="AG7" i="9" s="1"/>
  <c r="W383" i="8"/>
  <c r="K369" i="8"/>
  <c r="K396" i="8"/>
  <c r="AA396" i="8"/>
  <c r="L384" i="8"/>
  <c r="AC381" i="8"/>
  <c r="AB387" i="8"/>
  <c r="AB389" i="8" s="1"/>
  <c r="BO36" i="8"/>
  <c r="BO33" i="8" s="1"/>
  <c r="V154" i="8"/>
  <c r="BF30" i="8"/>
  <c r="BF16" i="8"/>
  <c r="AH198" i="8"/>
  <c r="Z522" i="8"/>
  <c r="AI369" i="8"/>
  <c r="BM8" i="9"/>
  <c r="O18" i="12" s="1"/>
  <c r="AI631" i="8"/>
  <c r="X563" i="8"/>
  <c r="O348" i="8"/>
  <c r="U311" i="8"/>
  <c r="AI618" i="8"/>
  <c r="AI11" i="9"/>
  <c r="BM382" i="8"/>
  <c r="AB369" i="8"/>
  <c r="AA413" i="8"/>
  <c r="AE414" i="8" s="1"/>
  <c r="I386" i="8"/>
  <c r="BM263" i="8"/>
  <c r="AI383" i="8"/>
  <c r="BF31" i="8"/>
  <c r="AO110" i="8"/>
  <c r="AO111" i="8" s="1"/>
  <c r="BF21" i="8"/>
  <c r="Z59" i="8"/>
  <c r="Z7" i="9" s="1"/>
  <c r="AE563" i="8"/>
  <c r="BL638" i="8"/>
  <c r="Z62" i="8"/>
  <c r="AO224" i="8"/>
  <c r="AO226" i="8" s="1"/>
  <c r="AI522" i="8"/>
  <c r="BM622" i="8"/>
  <c r="AF82" i="8"/>
  <c r="BL586" i="8"/>
  <c r="BL204" i="8"/>
  <c r="BL560" i="8"/>
  <c r="BN623" i="8"/>
  <c r="BN624" i="8" s="1"/>
  <c r="BE670" i="8"/>
  <c r="T110" i="8"/>
  <c r="T111" i="8" s="1"/>
  <c r="N348" i="8"/>
  <c r="AN487" i="8"/>
  <c r="V11" i="9"/>
  <c r="V12" i="9" s="1"/>
  <c r="F487" i="8"/>
  <c r="W210" i="8"/>
  <c r="S219" i="8"/>
  <c r="S224" i="8" s="1"/>
  <c r="S458" i="8"/>
  <c r="S459" i="8" s="1"/>
  <c r="AD249" i="8"/>
  <c r="I396" i="8"/>
  <c r="AE384" i="8"/>
  <c r="AI428" i="8"/>
  <c r="AJ59" i="8"/>
  <c r="AJ7" i="9" s="1"/>
  <c r="AN637" i="8"/>
  <c r="AO637" i="8" s="1"/>
  <c r="AQ56" i="9"/>
  <c r="AK518" i="8"/>
  <c r="BM496" i="8"/>
  <c r="AF59" i="8"/>
  <c r="AF7" i="9" s="1"/>
  <c r="AB511" i="8"/>
  <c r="Z115" i="8"/>
  <c r="Z86" i="8" s="1"/>
  <c r="AH205" i="8"/>
  <c r="AG205" i="8"/>
  <c r="BL545" i="8"/>
  <c r="AD562" i="8"/>
  <c r="BK561" i="8"/>
  <c r="BK563" i="8" s="1"/>
  <c r="BL76" i="8"/>
  <c r="U376" i="8"/>
  <c r="G522" i="8"/>
  <c r="S522" i="8"/>
  <c r="W110" i="8"/>
  <c r="W111" i="8" s="1"/>
  <c r="E486" i="8"/>
  <c r="F490" i="8"/>
  <c r="F498" i="8" s="1"/>
  <c r="T219" i="8"/>
  <c r="BK713" i="8"/>
  <c r="AB8" i="8"/>
  <c r="AB41" i="8" s="1"/>
  <c r="AG33" i="8"/>
  <c r="AI84" i="8"/>
  <c r="I381" i="8"/>
  <c r="AB384" i="8"/>
  <c r="BH26" i="8"/>
  <c r="BG12" i="8"/>
  <c r="BL197" i="8"/>
  <c r="BJ579" i="8"/>
  <c r="BH535" i="8"/>
  <c r="C475" i="8"/>
  <c r="X594" i="8"/>
  <c r="AB595" i="8" s="1"/>
  <c r="AG66" i="8"/>
  <c r="AI5" i="9"/>
  <c r="AI380" i="8"/>
  <c r="J396" i="8"/>
  <c r="I384" i="8"/>
  <c r="AH260" i="8"/>
  <c r="BG656" i="8"/>
  <c r="E490" i="8"/>
  <c r="S141" i="8"/>
  <c r="S142" i="8" s="1"/>
  <c r="AA11" i="9"/>
  <c r="AA12" i="9" s="1"/>
  <c r="Y369" i="8"/>
  <c r="J386" i="8"/>
  <c r="BG20" i="8"/>
  <c r="Z131" i="8"/>
  <c r="AA631" i="8"/>
  <c r="BK548" i="8"/>
  <c r="BJ320" i="8"/>
  <c r="BE59" i="8"/>
  <c r="BG62" i="8"/>
  <c r="F4" i="9"/>
  <c r="S110" i="8"/>
  <c r="S111" i="8" s="1"/>
  <c r="AI205" i="8"/>
  <c r="AG115" i="8"/>
  <c r="AG119" i="8" s="1"/>
  <c r="J381" i="8"/>
  <c r="BJ21" i="8"/>
  <c r="AP233" i="8"/>
  <c r="AP235" i="8" s="1"/>
  <c r="BM475" i="8"/>
  <c r="AJ590" i="8"/>
  <c r="AG631" i="8"/>
  <c r="AF66" i="8"/>
  <c r="AE66" i="8"/>
  <c r="BM479" i="8"/>
  <c r="BL230" i="8"/>
  <c r="Z71" i="8"/>
  <c r="Z82" i="8"/>
  <c r="BL145" i="8"/>
  <c r="BK286" i="8"/>
  <c r="BK560" i="8"/>
  <c r="BG71" i="8"/>
  <c r="BF670" i="8"/>
  <c r="BE54" i="8"/>
  <c r="BE55" i="8" s="1"/>
  <c r="AJ205" i="8"/>
  <c r="I348" i="8"/>
  <c r="K522" i="8"/>
  <c r="D490" i="8"/>
  <c r="D492" i="8" s="1"/>
  <c r="BJ214" i="8"/>
  <c r="BK215" i="8" s="1"/>
  <c r="AB426" i="8"/>
  <c r="AC383" i="8"/>
  <c r="G369" i="8"/>
  <c r="V386" i="8"/>
  <c r="AF381" i="8"/>
  <c r="M381" i="8"/>
  <c r="AG428" i="8"/>
  <c r="BH159" i="8"/>
  <c r="BJ16" i="8"/>
  <c r="BF12" i="8"/>
  <c r="AE196" i="8"/>
  <c r="BL195" i="8"/>
  <c r="BM197" i="8"/>
  <c r="AF255" i="8"/>
  <c r="AL519" i="8"/>
  <c r="AL518" i="8" s="1"/>
  <c r="BN518" i="8" s="1"/>
  <c r="AL58" i="8"/>
  <c r="AH122" i="8"/>
  <c r="AL123" i="8" s="1"/>
  <c r="AH84" i="8"/>
  <c r="AH131" i="8"/>
  <c r="AH5" i="9"/>
  <c r="BL639" i="8"/>
  <c r="O27" i="17"/>
  <c r="L27" i="17"/>
  <c r="BK311" i="8"/>
  <c r="BK312" i="8"/>
  <c r="BF63" i="8"/>
  <c r="BE62" i="8"/>
  <c r="AO9" i="9"/>
  <c r="AL66" i="8"/>
  <c r="AI590" i="8"/>
  <c r="E165" i="12"/>
  <c r="BL212" i="8"/>
  <c r="BG63" i="8"/>
  <c r="AO285" i="8"/>
  <c r="AO294" i="8" s="1"/>
  <c r="AO301" i="8" s="1"/>
  <c r="AK294" i="8"/>
  <c r="AK301" i="8" s="1"/>
  <c r="AK303" i="8" s="1"/>
  <c r="AK92" i="8"/>
  <c r="AK94" i="8" s="1"/>
  <c r="AK218" i="9"/>
  <c r="AO205" i="8"/>
  <c r="BK230" i="8"/>
  <c r="BO129" i="8"/>
  <c r="G150" i="12" s="1"/>
  <c r="AM131" i="8"/>
  <c r="BN129" i="8"/>
  <c r="AH59" i="8"/>
  <c r="AH7" i="9" s="1"/>
  <c r="AH75" i="8"/>
  <c r="BM639" i="8"/>
  <c r="BM638" i="8"/>
  <c r="AE573" i="8"/>
  <c r="AE575" i="8" s="1"/>
  <c r="BJ647" i="8"/>
  <c r="AC565" i="8"/>
  <c r="AC563" i="8"/>
  <c r="AC562" i="8"/>
  <c r="BK549" i="8"/>
  <c r="AE59" i="8"/>
  <c r="AE7" i="9" s="1"/>
  <c r="AE8" i="9"/>
  <c r="X255" i="8"/>
  <c r="X256" i="8"/>
  <c r="X257" i="8" s="1"/>
  <c r="AJ563" i="8"/>
  <c r="Y633" i="8"/>
  <c r="Y631" i="8"/>
  <c r="AJ426" i="8"/>
  <c r="AL72" i="8"/>
  <c r="AH65" i="8"/>
  <c r="AH71" i="8"/>
  <c r="AH72" i="8"/>
  <c r="AH13" i="9"/>
  <c r="AH11" i="9" s="1"/>
  <c r="BN479" i="8"/>
  <c r="BN478" i="8"/>
  <c r="W575" i="8"/>
  <c r="W38" i="8"/>
  <c r="S37" i="8"/>
  <c r="AJ429" i="8"/>
  <c r="AN427" i="8"/>
  <c r="AR427" i="8" s="1"/>
  <c r="AV427" i="8" s="1"/>
  <c r="AI294" i="8"/>
  <c r="AM285" i="8"/>
  <c r="AM294" i="8" s="1"/>
  <c r="AM295" i="8" s="1"/>
  <c r="AE428" i="8"/>
  <c r="AA428" i="8"/>
  <c r="AI641" i="8"/>
  <c r="AI642" i="8" s="1"/>
  <c r="AI635" i="8"/>
  <c r="AD641" i="8"/>
  <c r="AD643" i="8" s="1"/>
  <c r="O8" i="17"/>
  <c r="L8" i="17"/>
  <c r="BL554" i="8"/>
  <c r="BF76" i="8"/>
  <c r="BG76" i="8"/>
  <c r="AA255" i="8"/>
  <c r="AI565" i="8"/>
  <c r="AI567" i="8" s="1"/>
  <c r="AI563" i="8"/>
  <c r="AP67" i="8"/>
  <c r="AB255" i="8"/>
  <c r="AE62" i="8"/>
  <c r="G4" i="9"/>
  <c r="S590" i="8"/>
  <c r="AA442" i="8"/>
  <c r="BM13" i="9"/>
  <c r="AB256" i="8"/>
  <c r="AF257" i="8" s="1"/>
  <c r="AD110" i="8"/>
  <c r="BL110" i="8" s="1"/>
  <c r="BL113" i="8"/>
  <c r="X71" i="8"/>
  <c r="X59" i="8"/>
  <c r="X7" i="9" s="1"/>
  <c r="X171" i="9" s="1"/>
  <c r="BF75" i="8"/>
  <c r="T590" i="8"/>
  <c r="W614" i="8"/>
  <c r="AA614" i="8"/>
  <c r="Y96" i="8"/>
  <c r="Y92" i="8" s="1"/>
  <c r="Y94" i="8" s="1"/>
  <c r="X92" i="8"/>
  <c r="X94" i="8" s="1"/>
  <c r="X218" i="9"/>
  <c r="X98" i="8"/>
  <c r="AO131" i="8"/>
  <c r="BO212" i="8"/>
  <c r="AM9" i="9"/>
  <c r="L12" i="17"/>
  <c r="BL548" i="8"/>
  <c r="BL549" i="8"/>
  <c r="W631" i="8"/>
  <c r="W633" i="8"/>
  <c r="AA634" i="8" s="1"/>
  <c r="AA630" i="8"/>
  <c r="Y387" i="8"/>
  <c r="Y389" i="8" s="1"/>
  <c r="W481" i="8"/>
  <c r="Z261" i="8"/>
  <c r="AH249" i="8"/>
  <c r="Y427" i="8"/>
  <c r="AC428" i="8" s="1"/>
  <c r="BG368" i="8"/>
  <c r="BG386" i="8" s="1"/>
  <c r="AF424" i="8"/>
  <c r="AJ425" i="8" s="1"/>
  <c r="Q396" i="8"/>
  <c r="N384" i="8"/>
  <c r="AI397" i="8"/>
  <c r="AI381" i="8"/>
  <c r="O396" i="8"/>
  <c r="W384" i="8"/>
  <c r="AJ384" i="8"/>
  <c r="AJ395" i="8"/>
  <c r="BK159" i="8"/>
  <c r="BG25" i="8"/>
  <c r="W478" i="8"/>
  <c r="BJ144" i="8"/>
  <c r="Y110" i="8"/>
  <c r="Y111" i="8" s="1"/>
  <c r="AD263" i="8"/>
  <c r="Z265" i="8"/>
  <c r="BK265" i="8" s="1"/>
  <c r="BK266" i="8" s="1"/>
  <c r="AA369" i="8"/>
  <c r="O369" i="8"/>
  <c r="W413" i="8"/>
  <c r="W426" i="8" s="1"/>
  <c r="BE368" i="8"/>
  <c r="BE381" i="8" s="1"/>
  <c r="Q381" i="8"/>
  <c r="O381" i="8"/>
  <c r="AA384" i="8"/>
  <c r="AN382" i="8"/>
  <c r="AR382" i="8" s="1"/>
  <c r="AV382" i="8" s="1"/>
  <c r="AK271" i="8"/>
  <c r="AK279" i="8" s="1"/>
  <c r="AK281" i="8" s="1"/>
  <c r="AM110" i="8"/>
  <c r="AM111" i="8" s="1"/>
  <c r="AA163" i="8"/>
  <c r="BH20" i="8"/>
  <c r="BH17" i="8"/>
  <c r="M11" i="9"/>
  <c r="M21" i="9" s="1"/>
  <c r="AE214" i="9"/>
  <c r="AE210" i="9" s="1"/>
  <c r="AG8" i="8"/>
  <c r="AG45" i="8" s="1"/>
  <c r="AH380" i="8"/>
  <c r="S369" i="8"/>
  <c r="BL248" i="8"/>
  <c r="Q384" i="8"/>
  <c r="P386" i="8"/>
  <c r="W396" i="8"/>
  <c r="AF384" i="8"/>
  <c r="AJ66" i="8"/>
  <c r="S166" i="8"/>
  <c r="BF13" i="8"/>
  <c r="AG255" i="8"/>
  <c r="AF75" i="8"/>
  <c r="AE90" i="8"/>
  <c r="BL571" i="8"/>
  <c r="BK475" i="8"/>
  <c r="BM209" i="8"/>
  <c r="BM210" i="8" s="1"/>
  <c r="N11" i="9"/>
  <c r="N21" i="9" s="1"/>
  <c r="BE387" i="8"/>
  <c r="Y546" i="8"/>
  <c r="N522" i="8"/>
  <c r="V522" i="8"/>
  <c r="AE380" i="8"/>
  <c r="AJ62" i="8"/>
  <c r="AJ385" i="8"/>
  <c r="BG9" i="8"/>
  <c r="BK410" i="8"/>
  <c r="S213" i="8"/>
  <c r="AB429" i="8"/>
  <c r="AC380" i="8"/>
  <c r="AD254" i="8"/>
  <c r="AD256" i="8" s="1"/>
  <c r="AA385" i="8"/>
  <c r="AA387" i="8" s="1"/>
  <c r="AD260" i="8"/>
  <c r="Y413" i="8"/>
  <c r="Y412" i="8" s="1"/>
  <c r="BH368" i="8"/>
  <c r="BH384" i="8" s="1"/>
  <c r="AA424" i="8"/>
  <c r="P381" i="8"/>
  <c r="AE397" i="8"/>
  <c r="G381" i="8"/>
  <c r="AG384" i="8"/>
  <c r="T166" i="8"/>
  <c r="AM8" i="8"/>
  <c r="AM3" i="9" s="1"/>
  <c r="BJ13" i="8"/>
  <c r="BJ26" i="8"/>
  <c r="Y425" i="8"/>
  <c r="AH424" i="8"/>
  <c r="AH425" i="8" s="1"/>
  <c r="U369" i="8"/>
  <c r="BF368" i="8"/>
  <c r="BF381" i="8" s="1"/>
  <c r="AG381" i="8"/>
  <c r="P384" i="8"/>
  <c r="AE396" i="8"/>
  <c r="AG380" i="8"/>
  <c r="BH31" i="8"/>
  <c r="BG30" i="8"/>
  <c r="AE110" i="8"/>
  <c r="AE111" i="8" s="1"/>
  <c r="AE75" i="8"/>
  <c r="AD594" i="8"/>
  <c r="AH595" i="8" s="1"/>
  <c r="BL559" i="8"/>
  <c r="BG72" i="8"/>
  <c r="E11" i="9"/>
  <c r="E21" i="9" s="1"/>
  <c r="Q11" i="9"/>
  <c r="Q21" i="9" s="1"/>
  <c r="Q32" i="9" s="1"/>
  <c r="F475" i="8"/>
  <c r="S216" i="8"/>
  <c r="X65" i="8"/>
  <c r="X66" i="8" s="1"/>
  <c r="AB522" i="8"/>
  <c r="BG214" i="9"/>
  <c r="BG210" i="9" s="1"/>
  <c r="AD522" i="8"/>
  <c r="AB380" i="8"/>
  <c r="AD253" i="8"/>
  <c r="J369" i="8"/>
  <c r="M369" i="8"/>
  <c r="AG424" i="8"/>
  <c r="AG425" i="8" s="1"/>
  <c r="L381" i="8"/>
  <c r="AE383" i="8"/>
  <c r="BK219" i="8"/>
  <c r="AN106" i="8"/>
  <c r="BG16" i="8"/>
  <c r="BH9" i="8"/>
  <c r="BJ9" i="8"/>
  <c r="AD563" i="8"/>
  <c r="W567" i="8"/>
  <c r="F11" i="9"/>
  <c r="F21" i="9" s="1"/>
  <c r="R11" i="9"/>
  <c r="R21" i="9" s="1"/>
  <c r="R522" i="8"/>
  <c r="BL461" i="8"/>
  <c r="BF214" i="9"/>
  <c r="BF210" i="9" s="1"/>
  <c r="AF122" i="8"/>
  <c r="BK542" i="8"/>
  <c r="S11" i="9"/>
  <c r="S21" i="9" s="1"/>
  <c r="S56" i="9" s="1"/>
  <c r="S58" i="9" s="1"/>
  <c r="S656" i="8"/>
  <c r="BF559" i="8"/>
  <c r="M348" i="8"/>
  <c r="V590" i="8"/>
  <c r="X261" i="8"/>
  <c r="AA33" i="8"/>
  <c r="AA34" i="8" s="1"/>
  <c r="AD11" i="9"/>
  <c r="AD12" i="9" s="1"/>
  <c r="AF395" i="8"/>
  <c r="Q369" i="8"/>
  <c r="AG158" i="8"/>
  <c r="AK158" i="8" s="1"/>
  <c r="AO159" i="8" s="1"/>
  <c r="BG31" i="8"/>
  <c r="AG110" i="8"/>
  <c r="AG111" i="8" s="1"/>
  <c r="AC110" i="8"/>
  <c r="AC111" i="8" s="1"/>
  <c r="E163" i="12"/>
  <c r="E168" i="12" s="1"/>
  <c r="BK554" i="8"/>
  <c r="BE75" i="8"/>
  <c r="H11" i="9"/>
  <c r="H21" i="9" s="1"/>
  <c r="H32" i="9" s="1"/>
  <c r="BG15" i="9"/>
  <c r="L348" i="8"/>
  <c r="X264" i="8"/>
  <c r="AJ383" i="8"/>
  <c r="AE5" i="9"/>
  <c r="Z8" i="9"/>
  <c r="Z9" i="9" s="1"/>
  <c r="Y372" i="8"/>
  <c r="Y373" i="8" s="1"/>
  <c r="BL624" i="8"/>
  <c r="I11" i="9"/>
  <c r="I21" i="9" s="1"/>
  <c r="I32" i="9" s="1"/>
  <c r="BG590" i="8"/>
  <c r="I522" i="8"/>
  <c r="U590" i="8"/>
  <c r="BF535" i="8"/>
  <c r="T48" i="8"/>
  <c r="T49" i="8" s="1"/>
  <c r="W456" i="8"/>
  <c r="BJ494" i="8"/>
  <c r="BJ495" i="8" s="1"/>
  <c r="AA63" i="9"/>
  <c r="AH427" i="8"/>
  <c r="AL427" i="8" s="1"/>
  <c r="AP427" i="8" s="1"/>
  <c r="AT427" i="8" s="1"/>
  <c r="AX427" i="8" s="1"/>
  <c r="BK248" i="8"/>
  <c r="AF427" i="8"/>
  <c r="AE381" i="8"/>
  <c r="X381" i="8"/>
  <c r="O384" i="8"/>
  <c r="AJ381" i="8"/>
  <c r="BH30" i="8"/>
  <c r="AE122" i="8"/>
  <c r="Z565" i="8"/>
  <c r="W372" i="8"/>
  <c r="W374" i="8" s="1"/>
  <c r="BD5" i="9"/>
  <c r="C3" i="12" s="1"/>
  <c r="BD8" i="9"/>
  <c r="C18" i="12" s="1"/>
  <c r="J11" i="9"/>
  <c r="J21" i="9" s="1"/>
  <c r="J56" i="9" s="1"/>
  <c r="J58" i="9" s="1"/>
  <c r="Z511" i="8"/>
  <c r="N656" i="8"/>
  <c r="BG556" i="8"/>
  <c r="J348" i="8"/>
  <c r="J522" i="8"/>
  <c r="BG603" i="8"/>
  <c r="S483" i="8"/>
  <c r="S485" i="8" s="1"/>
  <c r="W486" i="8" s="1"/>
  <c r="X19" i="9"/>
  <c r="BI19" i="9" s="1"/>
  <c r="Z260" i="8"/>
  <c r="H369" i="8"/>
  <c r="AJ380" i="8"/>
  <c r="AE424" i="8"/>
  <c r="AE426" i="8" s="1"/>
  <c r="U30" i="8"/>
  <c r="BP256" i="8"/>
  <c r="BQ257" i="8" s="1"/>
  <c r="BF656" i="8"/>
  <c r="BM6" i="10"/>
  <c r="BM318" i="9" s="1"/>
  <c r="AS3" i="20"/>
  <c r="U69" i="12"/>
  <c r="T69" i="12"/>
  <c r="S69" i="12"/>
  <c r="R69" i="12"/>
  <c r="Q69" i="12"/>
  <c r="P69" i="12"/>
  <c r="O69" i="12"/>
  <c r="AE509" i="8"/>
  <c r="AF46" i="10"/>
  <c r="AF47" i="10" s="1"/>
  <c r="AF510" i="8" s="1"/>
  <c r="AC532" i="8"/>
  <c r="BL532" i="8" s="1"/>
  <c r="AC511" i="8"/>
  <c r="AD511" i="8"/>
  <c r="BN42" i="10"/>
  <c r="AT294" i="9"/>
  <c r="AT293" i="9" s="1"/>
  <c r="AI426" i="8"/>
  <c r="AI441" i="8"/>
  <c r="AI429" i="8"/>
  <c r="AI364" i="8"/>
  <c r="AI264" i="8" s="1"/>
  <c r="AE261" i="8"/>
  <c r="AI261" i="8" s="1"/>
  <c r="AE264" i="8"/>
  <c r="AF696" i="8"/>
  <c r="AF709" i="8"/>
  <c r="T375" i="8"/>
  <c r="T376" i="8"/>
  <c r="AW179" i="8"/>
  <c r="AX181" i="8"/>
  <c r="AX179" i="8" s="1"/>
  <c r="Z205" i="8"/>
  <c r="AC426" i="8"/>
  <c r="AC429" i="8"/>
  <c r="AI414" i="8"/>
  <c r="AE429" i="8"/>
  <c r="AE441" i="8"/>
  <c r="F302" i="8"/>
  <c r="F303" i="8"/>
  <c r="BN475" i="8"/>
  <c r="BN474" i="8"/>
  <c r="W257" i="8"/>
  <c r="AA257" i="8"/>
  <c r="BN587" i="8"/>
  <c r="BN591" i="8" s="1"/>
  <c r="AM587" i="8"/>
  <c r="AN587" i="8" s="1"/>
  <c r="AO587" i="8" s="1"/>
  <c r="BK157" i="9"/>
  <c r="M74" i="12" s="1"/>
  <c r="BK303" i="9"/>
  <c r="BL366" i="9"/>
  <c r="BL367" i="9" s="1"/>
  <c r="BL164" i="9"/>
  <c r="Y64" i="9"/>
  <c r="R336" i="9"/>
  <c r="BG336" i="9" s="1"/>
  <c r="BG334" i="9"/>
  <c r="AA97" i="9"/>
  <c r="AP367" i="9"/>
  <c r="AJ116" i="9"/>
  <c r="AJ142" i="9" s="1"/>
  <c r="Y153" i="9"/>
  <c r="AK97" i="9"/>
  <c r="AK115" i="9" s="1"/>
  <c r="AK147" i="9"/>
  <c r="AF282" i="9"/>
  <c r="AE285" i="9"/>
  <c r="Z304" i="9"/>
  <c r="BI155" i="9"/>
  <c r="K73" i="12" s="1"/>
  <c r="BI284" i="9"/>
  <c r="BJ66" i="9"/>
  <c r="L66" i="12"/>
  <c r="L78" i="12"/>
  <c r="BL157" i="9"/>
  <c r="N74" i="12" s="1"/>
  <c r="BL303" i="9"/>
  <c r="BL304" i="9" s="1"/>
  <c r="AP282" i="9"/>
  <c r="AO285" i="9"/>
  <c r="AP295" i="9"/>
  <c r="X153" i="9"/>
  <c r="Y97" i="9"/>
  <c r="Y165" i="9"/>
  <c r="BH66" i="9"/>
  <c r="J78" i="12"/>
  <c r="J66" i="12"/>
  <c r="Y71" i="9"/>
  <c r="Y108" i="9"/>
  <c r="Y79" i="9"/>
  <c r="Z331" i="9"/>
  <c r="Z329" i="9" s="1"/>
  <c r="BI330" i="9"/>
  <c r="BI328" i="9" s="1"/>
  <c r="Z328" i="9"/>
  <c r="Z321" i="9" s="1"/>
  <c r="BI321" i="9" s="1"/>
  <c r="BI303" i="9"/>
  <c r="BI157" i="9"/>
  <c r="BK81" i="9"/>
  <c r="BK284" i="9"/>
  <c r="AN159" i="8"/>
  <c r="AM159" i="8"/>
  <c r="AP158" i="8"/>
  <c r="BO158" i="8" s="1"/>
  <c r="V166" i="8"/>
  <c r="R147" i="8"/>
  <c r="R148" i="8" s="1"/>
  <c r="U166" i="8"/>
  <c r="Q147" i="8"/>
  <c r="Q148" i="8" s="1"/>
  <c r="U571" i="8"/>
  <c r="U570" i="8"/>
  <c r="AJ271" i="8"/>
  <c r="AJ279" i="8" s="1"/>
  <c r="AJ281" i="8" s="1"/>
  <c r="Y462" i="8"/>
  <c r="AC387" i="8"/>
  <c r="AC386" i="8"/>
  <c r="AC430" i="8"/>
  <c r="AC432" i="8" s="1"/>
  <c r="AC434" i="8" s="1"/>
  <c r="AI386" i="8"/>
  <c r="AI430" i="8"/>
  <c r="AI387" i="8"/>
  <c r="AI389" i="8" s="1"/>
  <c r="P462" i="8"/>
  <c r="R462" i="8"/>
  <c r="S462" i="8"/>
  <c r="Q462" i="8"/>
  <c r="X205" i="8"/>
  <c r="BK204" i="8"/>
  <c r="BL205" i="8" s="1"/>
  <c r="BK482" i="8"/>
  <c r="BL482" i="8"/>
  <c r="AD380" i="8"/>
  <c r="Z424" i="8"/>
  <c r="AD425" i="8" s="1"/>
  <c r="AB267" i="8"/>
  <c r="AB266" i="8"/>
  <c r="BH461" i="8"/>
  <c r="O462" i="8"/>
  <c r="K462" i="8"/>
  <c r="BG461" i="8"/>
  <c r="BN520" i="8"/>
  <c r="AM520" i="8"/>
  <c r="AN520" i="8" s="1"/>
  <c r="AO520" i="8" s="1"/>
  <c r="AP520" i="8" s="1"/>
  <c r="AJ567" i="8"/>
  <c r="AJ573" i="8"/>
  <c r="AK110" i="8"/>
  <c r="AK111" i="8" s="1"/>
  <c r="X380" i="8"/>
  <c r="X383" i="8"/>
  <c r="AD267" i="8"/>
  <c r="X550" i="8"/>
  <c r="AG294" i="8"/>
  <c r="BL556" i="8"/>
  <c r="Z38" i="8"/>
  <c r="X38" i="8"/>
  <c r="AB614" i="8"/>
  <c r="AB372" i="8"/>
  <c r="AB374" i="8" s="1"/>
  <c r="BL478" i="8"/>
  <c r="BA15" i="9"/>
  <c r="AX214" i="8"/>
  <c r="Y267" i="8"/>
  <c r="Y271" i="8" s="1"/>
  <c r="Y266" i="8"/>
  <c r="U627" i="8"/>
  <c r="Y627" i="8"/>
  <c r="T621" i="8"/>
  <c r="X621" i="8"/>
  <c r="C573" i="8"/>
  <c r="C575" i="8" s="1"/>
  <c r="C567" i="8"/>
  <c r="AK633" i="8"/>
  <c r="AK631" i="8"/>
  <c r="AK630" i="8"/>
  <c r="G11" i="13"/>
  <c r="G8" i="13" s="1"/>
  <c r="AW4" i="20"/>
  <c r="BS2" i="8"/>
  <c r="G61" i="20"/>
  <c r="G55" i="20"/>
  <c r="L61" i="20"/>
  <c r="L55" i="20"/>
  <c r="J61" i="20"/>
  <c r="J55" i="20"/>
  <c r="H61" i="20"/>
  <c r="H55" i="20"/>
  <c r="E61" i="20"/>
  <c r="E55" i="20"/>
  <c r="E52" i="20" s="1"/>
  <c r="D61" i="20"/>
  <c r="D55" i="20"/>
  <c r="AB597" i="8"/>
  <c r="AB600" i="8" s="1"/>
  <c r="E11" i="13"/>
  <c r="E8" i="13" s="1"/>
  <c r="B2" i="11" s="1"/>
  <c r="BQ2" i="8"/>
  <c r="BS318" i="9"/>
  <c r="BS309" i="9"/>
  <c r="BR349" i="9"/>
  <c r="BR308" i="9"/>
  <c r="BO309" i="9"/>
  <c r="BO318" i="9"/>
  <c r="BO294" i="9"/>
  <c r="BM309" i="9"/>
  <c r="BQ696" i="8"/>
  <c r="BQ711" i="8"/>
  <c r="BQ701" i="8"/>
  <c r="AR309" i="9"/>
  <c r="AR349" i="9" s="1"/>
  <c r="AR294" i="9"/>
  <c r="AN309" i="9"/>
  <c r="AN349" i="9" s="1"/>
  <c r="AN350" i="9" s="1"/>
  <c r="AN357" i="9" s="1"/>
  <c r="AN294" i="9"/>
  <c r="AS197" i="8"/>
  <c r="AS195" i="8"/>
  <c r="AR197" i="8"/>
  <c r="AR195" i="8"/>
  <c r="AV195" i="8" s="1"/>
  <c r="AV188" i="8" s="1"/>
  <c r="H9" i="13"/>
  <c r="I9" i="13" s="1"/>
  <c r="AT349" i="9"/>
  <c r="AT308" i="9"/>
  <c r="Y285" i="9"/>
  <c r="Z282" i="9"/>
  <c r="AL147" i="9"/>
  <c r="AL146" i="9" s="1"/>
  <c r="AM65" i="9" s="1"/>
  <c r="BM157" i="9"/>
  <c r="O74" i="12" s="1"/>
  <c r="P35" i="12"/>
  <c r="P42" i="12"/>
  <c r="BN70" i="9"/>
  <c r="P41" i="12"/>
  <c r="O35" i="12"/>
  <c r="O42" i="12"/>
  <c r="BN135" i="9"/>
  <c r="J114" i="12"/>
  <c r="J120" i="12" s="1"/>
  <c r="J119" i="12" s="1"/>
  <c r="J125" i="12" s="1"/>
  <c r="J126" i="12" s="1"/>
  <c r="AL67" i="9"/>
  <c r="AI476" i="8"/>
  <c r="W522" i="8"/>
  <c r="AA604" i="8"/>
  <c r="BK603" i="8"/>
  <c r="BL604" i="8" s="1"/>
  <c r="S629" i="8"/>
  <c r="S631" i="8" s="1"/>
  <c r="S621" i="8"/>
  <c r="Z84" i="8"/>
  <c r="Z122" i="8"/>
  <c r="BQ480" i="8"/>
  <c r="AJ38" i="8"/>
  <c r="S604" i="8"/>
  <c r="AI550" i="8"/>
  <c r="T462" i="8"/>
  <c r="U462" i="8"/>
  <c r="N462" i="8"/>
  <c r="M462" i="8"/>
  <c r="L462" i="8"/>
  <c r="Z42" i="8"/>
  <c r="Z264" i="8"/>
  <c r="BK262" i="8"/>
  <c r="BK264" i="8" s="1"/>
  <c r="AD275" i="8"/>
  <c r="AC395" i="8"/>
  <c r="AC397" i="8" s="1"/>
  <c r="Y395" i="8"/>
  <c r="Y440" i="8" s="1"/>
  <c r="Z275" i="8"/>
  <c r="Z395" i="8" s="1"/>
  <c r="Z396" i="8" s="1"/>
  <c r="AH96" i="8"/>
  <c r="AG218" i="9"/>
  <c r="AG92" i="8"/>
  <c r="AG94" i="8" s="1"/>
  <c r="U116" i="8"/>
  <c r="U23" i="9"/>
  <c r="U24" i="9" s="1"/>
  <c r="U121" i="8"/>
  <c r="W17" i="9"/>
  <c r="W55" i="9" s="1"/>
  <c r="W53" i="9" s="1"/>
  <c r="W131" i="8"/>
  <c r="X75" i="8"/>
  <c r="X58" i="8"/>
  <c r="BL479" i="8"/>
  <c r="BL471" i="8"/>
  <c r="AO58" i="8"/>
  <c r="AK84" i="8"/>
  <c r="AL586" i="8"/>
  <c r="BN586" i="8" s="1"/>
  <c r="AM588" i="8"/>
  <c r="AO105" i="8"/>
  <c r="AO38" i="8"/>
  <c r="AC66" i="12"/>
  <c r="BL485" i="8"/>
  <c r="AO220" i="8"/>
  <c r="BK152" i="8"/>
  <c r="BK153" i="8" s="1"/>
  <c r="BG152" i="8"/>
  <c r="BE152" i="8"/>
  <c r="AC152" i="8"/>
  <c r="AH476" i="8"/>
  <c r="AH210" i="8"/>
  <c r="AG50" i="8"/>
  <c r="AG42" i="8"/>
  <c r="AG38" i="8"/>
  <c r="AF210" i="8"/>
  <c r="AE323" i="8"/>
  <c r="Y8" i="8"/>
  <c r="Y550" i="8"/>
  <c r="BM216" i="8"/>
  <c r="BK216" i="8"/>
  <c r="BL216" i="8"/>
  <c r="BH614" i="8"/>
  <c r="BH524" i="8"/>
  <c r="BF524" i="8"/>
  <c r="BG523" i="8"/>
  <c r="BJ340" i="8"/>
  <c r="BH6" i="8"/>
  <c r="Q594" i="8"/>
  <c r="Q597" i="8" s="1"/>
  <c r="BR256" i="8"/>
  <c r="BS256" i="8" s="1"/>
  <c r="AN208" i="9"/>
  <c r="AB153" i="8"/>
  <c r="AB161" i="8"/>
  <c r="BK259" i="8"/>
  <c r="BK260" i="8" s="1"/>
  <c r="X395" i="8"/>
  <c r="AA269" i="8"/>
  <c r="AA268" i="8"/>
  <c r="W268" i="8"/>
  <c r="W269" i="8"/>
  <c r="X696" i="8"/>
  <c r="BK696" i="8" s="1"/>
  <c r="X713" i="8"/>
  <c r="BK455" i="8"/>
  <c r="AA456" i="8"/>
  <c r="W459" i="8"/>
  <c r="BK458" i="8"/>
  <c r="E491" i="8"/>
  <c r="E492" i="8"/>
  <c r="E498" i="8"/>
  <c r="AF328" i="8"/>
  <c r="AE331" i="8"/>
  <c r="AK382" i="8"/>
  <c r="AO555" i="8"/>
  <c r="AS555" i="8" s="1"/>
  <c r="AW555" i="8" s="1"/>
  <c r="Z594" i="8"/>
  <c r="AA590" i="8"/>
  <c r="BL475" i="8"/>
  <c r="BL474" i="8"/>
  <c r="BM365" i="9"/>
  <c r="BM367" i="9" s="1"/>
  <c r="BM164" i="9"/>
  <c r="AJ97" i="9"/>
  <c r="AJ147" i="9"/>
  <c r="AK191" i="9"/>
  <c r="T9" i="9"/>
  <c r="C168" i="9"/>
  <c r="BF5" i="9"/>
  <c r="AN71" i="9"/>
  <c r="AA71" i="9"/>
  <c r="AN110" i="8"/>
  <c r="AN111" i="8" s="1"/>
  <c r="BH164" i="9"/>
  <c r="BH365" i="9"/>
  <c r="BH367" i="9" s="1"/>
  <c r="BH368" i="9" s="1"/>
  <c r="BK302" i="9"/>
  <c r="BK76" i="9"/>
  <c r="U11" i="9"/>
  <c r="D289" i="9"/>
  <c r="C289" i="9"/>
  <c r="E289" i="9"/>
  <c r="J26" i="9"/>
  <c r="J71" i="9" s="1"/>
  <c r="BE27" i="9"/>
  <c r="BG147" i="9"/>
  <c r="AI282" i="9"/>
  <c r="AH285" i="9"/>
  <c r="AL110" i="8"/>
  <c r="AL111" i="8" s="1"/>
  <c r="AI53" i="9"/>
  <c r="BJ367" i="9"/>
  <c r="BJ164" i="9"/>
  <c r="AL11" i="9"/>
  <c r="AF64" i="9"/>
  <c r="AF193" i="9"/>
  <c r="AD97" i="9"/>
  <c r="BJ97" i="9" s="1"/>
  <c r="BJ103" i="9"/>
  <c r="BJ147" i="9" s="1"/>
  <c r="K30" i="12"/>
  <c r="BI70" i="9"/>
  <c r="BD15" i="9"/>
  <c r="W331" i="9"/>
  <c r="T71" i="9"/>
  <c r="BF147" i="9"/>
  <c r="BE147" i="9"/>
  <c r="BE5" i="9"/>
  <c r="BE76" i="9"/>
  <c r="BD147" i="9"/>
  <c r="BD146" i="9" s="1"/>
  <c r="BD79" i="9"/>
  <c r="U153" i="9"/>
  <c r="W300" i="9"/>
  <c r="U289" i="9"/>
  <c r="U293" i="9" s="1"/>
  <c r="U295" i="9" s="1"/>
  <c r="T289" i="9"/>
  <c r="T293" i="9" s="1"/>
  <c r="T295" i="9" s="1"/>
  <c r="BF8" i="9"/>
  <c r="BG75" i="9"/>
  <c r="BF75" i="9"/>
  <c r="BH108" i="9"/>
  <c r="Q159" i="9"/>
  <c r="P159" i="9"/>
  <c r="O159" i="9"/>
  <c r="M159" i="9"/>
  <c r="L159" i="9"/>
  <c r="K159" i="9"/>
  <c r="J159" i="9"/>
  <c r="I159" i="9"/>
  <c r="H159" i="9"/>
  <c r="G159" i="9"/>
  <c r="E159" i="9"/>
  <c r="D159" i="9"/>
  <c r="C159" i="9"/>
  <c r="BM108" i="9"/>
  <c r="T279" i="9"/>
  <c r="BG34" i="9"/>
  <c r="I31" i="12" s="1"/>
  <c r="BF34" i="9"/>
  <c r="H31" i="12" s="1"/>
  <c r="BD34" i="9"/>
  <c r="C31" i="12" s="1"/>
  <c r="BG164" i="9"/>
  <c r="AE64" i="9"/>
  <c r="AE153" i="9"/>
  <c r="BE75" i="9"/>
  <c r="Z64" i="9"/>
  <c r="Y142" i="9"/>
  <c r="X97" i="9"/>
  <c r="BD75" i="9"/>
  <c r="BF164" i="9"/>
  <c r="V71" i="9"/>
  <c r="BE108" i="9"/>
  <c r="D69" i="9"/>
  <c r="X280" i="9"/>
  <c r="U300" i="9"/>
  <c r="H66" i="12"/>
  <c r="BF66" i="9"/>
  <c r="BG77" i="9"/>
  <c r="BG303" i="9"/>
  <c r="BE77" i="9"/>
  <c r="BE303" i="9"/>
  <c r="BG157" i="9"/>
  <c r="BG76" i="9"/>
  <c r="BG156" i="9"/>
  <c r="BG79" i="9"/>
  <c r="BF287" i="9"/>
  <c r="BF288" i="9" s="1"/>
  <c r="BF156" i="9"/>
  <c r="BF79" i="9"/>
  <c r="BE287" i="9"/>
  <c r="BE288" i="9" s="1"/>
  <c r="BE156" i="9"/>
  <c r="BE79" i="9"/>
  <c r="BG155" i="9"/>
  <c r="BG81" i="9"/>
  <c r="BF284" i="9"/>
  <c r="BF155" i="9"/>
  <c r="BF81" i="9"/>
  <c r="BE284" i="9"/>
  <c r="BE155" i="9"/>
  <c r="BE81" i="9"/>
  <c r="Z11" i="9"/>
  <c r="W11" i="9"/>
  <c r="AF146" i="9"/>
  <c r="T316" i="9"/>
  <c r="T341" i="9" s="1"/>
  <c r="R316" i="9"/>
  <c r="BG316" i="9" s="1"/>
  <c r="BH162" i="9"/>
  <c r="BG162" i="9"/>
  <c r="BF162" i="9"/>
  <c r="BE162" i="9"/>
  <c r="BD162" i="9"/>
  <c r="BD64" i="9" s="1"/>
  <c r="BG108" i="9"/>
  <c r="BF108" i="9"/>
  <c r="BD108" i="9"/>
  <c r="S142" i="9"/>
  <c r="P142" i="9"/>
  <c r="M142" i="9"/>
  <c r="L142" i="9"/>
  <c r="AH53" i="9"/>
  <c r="BL292" i="9"/>
  <c r="AJ280" i="9"/>
  <c r="AI300" i="9"/>
  <c r="AI279" i="9" s="1"/>
  <c r="BK139" i="9"/>
  <c r="AH129" i="9"/>
  <c r="BK103" i="9"/>
  <c r="BK147" i="9" s="1"/>
  <c r="AH97" i="9"/>
  <c r="BK97" i="9" s="1"/>
  <c r="AF97" i="9"/>
  <c r="AG191" i="9"/>
  <c r="BF77" i="9"/>
  <c r="BF303" i="9"/>
  <c r="BF302" i="9"/>
  <c r="BF157" i="9"/>
  <c r="BF76" i="9"/>
  <c r="BG149" i="9"/>
  <c r="BF149" i="9"/>
  <c r="BE149" i="9"/>
  <c r="BD149" i="9"/>
  <c r="BD287" i="9"/>
  <c r="BD288" i="9" s="1"/>
  <c r="BD156" i="9"/>
  <c r="BD153" i="9" s="1"/>
  <c r="C70" i="12" s="1"/>
  <c r="BH34" i="9"/>
  <c r="BK282" i="9"/>
  <c r="BJ285" i="9"/>
  <c r="AM285" i="9"/>
  <c r="AN282" i="9"/>
  <c r="AF79" i="9"/>
  <c r="AA64" i="9"/>
  <c r="AE304" i="9"/>
  <c r="S178" i="9"/>
  <c r="S316" i="9"/>
  <c r="Q142" i="9"/>
  <c r="O142" i="9"/>
  <c r="C115" i="9"/>
  <c r="AB53" i="9"/>
  <c r="AF216" i="9"/>
  <c r="AF214" i="9" s="1"/>
  <c r="N30" i="12"/>
  <c r="BL70" i="9"/>
  <c r="BJ139" i="9"/>
  <c r="AD129" i="9"/>
  <c r="BJ123" i="9"/>
  <c r="BJ148" i="9" s="1"/>
  <c r="AD116" i="9"/>
  <c r="BJ116" i="9" s="1"/>
  <c r="BH139" i="9"/>
  <c r="BH165" i="9" s="1"/>
  <c r="V129" i="9"/>
  <c r="V191" i="9"/>
  <c r="V97" i="9"/>
  <c r="BH103" i="9"/>
  <c r="BH147" i="9" s="1"/>
  <c r="V161" i="9"/>
  <c r="BH141" i="9"/>
  <c r="BH161" i="9" s="1"/>
  <c r="BE28" i="9"/>
  <c r="BH155" i="9"/>
  <c r="BI81" i="9"/>
  <c r="AE367" i="9"/>
  <c r="Z367" i="9"/>
  <c r="Z153" i="9"/>
  <c r="BI77" i="9"/>
  <c r="AI191" i="9"/>
  <c r="AH147" i="9"/>
  <c r="AH57" i="9"/>
  <c r="AH71" i="9" s="1"/>
  <c r="AH362" i="9"/>
  <c r="AG292" i="9"/>
  <c r="AE280" i="9"/>
  <c r="AF280" i="9"/>
  <c r="AF27" i="9" s="1"/>
  <c r="AA108" i="9"/>
  <c r="AA79" i="9"/>
  <c r="Z193" i="9"/>
  <c r="Z188" i="9" s="1"/>
  <c r="Z148" i="9"/>
  <c r="Z146" i="9" s="1"/>
  <c r="AA193" i="9"/>
  <c r="BH123" i="9"/>
  <c r="BH148" i="9" s="1"/>
  <c r="V193" i="9"/>
  <c r="BH149" i="9"/>
  <c r="BI149" i="9"/>
  <c r="BQ289" i="9"/>
  <c r="BF28" i="9"/>
  <c r="N26" i="9"/>
  <c r="BF27" i="9"/>
  <c r="N165" i="9"/>
  <c r="BF127" i="9"/>
  <c r="BF165" i="9" s="1"/>
  <c r="N116" i="9"/>
  <c r="N178" i="9"/>
  <c r="R28" i="9"/>
  <c r="BH28" i="9"/>
  <c r="S26" i="9"/>
  <c r="BH27" i="9"/>
  <c r="BE34" i="9"/>
  <c r="G31" i="12" s="1"/>
  <c r="O70" i="9"/>
  <c r="BG19" i="9"/>
  <c r="K70" i="9"/>
  <c r="BF19" i="9"/>
  <c r="G70" i="9"/>
  <c r="BE19" i="9"/>
  <c r="C70" i="9"/>
  <c r="BD19" i="9"/>
  <c r="O11" i="9"/>
  <c r="BG13" i="9"/>
  <c r="BF13" i="9"/>
  <c r="K11" i="9"/>
  <c r="G11" i="9"/>
  <c r="BE13" i="9"/>
  <c r="BD13" i="9"/>
  <c r="C11" i="9"/>
  <c r="BG8" i="9"/>
  <c r="BE8" i="9"/>
  <c r="Q171" i="9"/>
  <c r="Q172" i="9"/>
  <c r="P172" i="9"/>
  <c r="P171" i="9"/>
  <c r="O171" i="9"/>
  <c r="O172" i="9"/>
  <c r="N171" i="9"/>
  <c r="BF7" i="9"/>
  <c r="N172" i="9"/>
  <c r="BG5" i="9"/>
  <c r="P176" i="9"/>
  <c r="S170" i="9"/>
  <c r="O178" i="9"/>
  <c r="O176" i="9"/>
  <c r="O208" i="9"/>
  <c r="O177" i="9"/>
  <c r="R170" i="9"/>
  <c r="BG3" i="9"/>
  <c r="Q170" i="9"/>
  <c r="N177" i="9"/>
  <c r="N176" i="9"/>
  <c r="N208" i="9"/>
  <c r="M208" i="9"/>
  <c r="M177" i="9"/>
  <c r="M178" i="9"/>
  <c r="L178" i="9"/>
  <c r="L177" i="9"/>
  <c r="L208" i="9"/>
  <c r="K208" i="9"/>
  <c r="K178" i="9"/>
  <c r="BF3" i="9"/>
  <c r="I176" i="9"/>
  <c r="L170" i="9"/>
  <c r="H176" i="9"/>
  <c r="K170" i="9"/>
  <c r="G178" i="9"/>
  <c r="G176" i="9"/>
  <c r="J170" i="9"/>
  <c r="G208" i="9"/>
  <c r="G177" i="9"/>
  <c r="BE3" i="9"/>
  <c r="I170" i="9"/>
  <c r="F208" i="9"/>
  <c r="F178" i="9"/>
  <c r="F176" i="9"/>
  <c r="F177" i="9"/>
  <c r="E178" i="9"/>
  <c r="E208" i="9"/>
  <c r="E177" i="9"/>
  <c r="D177" i="9"/>
  <c r="D208" i="9"/>
  <c r="D178" i="9"/>
  <c r="BD3" i="9"/>
  <c r="E170" i="9"/>
  <c r="D170" i="9"/>
  <c r="C178" i="9"/>
  <c r="C208" i="9"/>
  <c r="R129" i="9"/>
  <c r="BG129" i="9" s="1"/>
  <c r="BG139" i="9"/>
  <c r="T116" i="9"/>
  <c r="T142" i="9" s="1"/>
  <c r="T165" i="9"/>
  <c r="R178" i="9"/>
  <c r="R165" i="9"/>
  <c r="BG127" i="9"/>
  <c r="R116" i="9"/>
  <c r="BG116" i="9" s="1"/>
  <c r="BG93" i="8"/>
  <c r="BH94" i="8" s="1"/>
  <c r="O216" i="9"/>
  <c r="O212" i="9" s="1"/>
  <c r="O217" i="9" s="1"/>
  <c r="BF93" i="8"/>
  <c r="BG94" i="8" s="1"/>
  <c r="K216" i="9"/>
  <c r="K212" i="9" s="1"/>
  <c r="BE93" i="8"/>
  <c r="G216" i="9"/>
  <c r="G212" i="9" s="1"/>
  <c r="G217" i="9" s="1"/>
  <c r="BL66" i="9"/>
  <c r="N66" i="12"/>
  <c r="AL367" i="9"/>
  <c r="AL304" i="9"/>
  <c r="AL153" i="9"/>
  <c r="AD367" i="9"/>
  <c r="AB300" i="9"/>
  <c r="AB279" i="9" s="1"/>
  <c r="AD71" i="9"/>
  <c r="BH233" i="9"/>
  <c r="BH75" i="9" s="1"/>
  <c r="Y367" i="9"/>
  <c r="BJ209" i="9"/>
  <c r="BJ81" i="9"/>
  <c r="BJ76" i="9"/>
  <c r="BJ157" i="9"/>
  <c r="AG182" i="9"/>
  <c r="AF181" i="9"/>
  <c r="AE181" i="9" s="1"/>
  <c r="BK112" i="8"/>
  <c r="Z110" i="8"/>
  <c r="V289" i="9"/>
  <c r="V293" i="9" s="1"/>
  <c r="V295" i="9" s="1"/>
  <c r="W289" i="9"/>
  <c r="W293" i="9" s="1"/>
  <c r="W295" i="9" s="1"/>
  <c r="F289" i="9"/>
  <c r="G289" i="9"/>
  <c r="O26" i="9"/>
  <c r="R27" i="9"/>
  <c r="S177" i="9"/>
  <c r="S176" i="9"/>
  <c r="R176" i="9"/>
  <c r="R177" i="9"/>
  <c r="Q208" i="9"/>
  <c r="Q177" i="9"/>
  <c r="Q178" i="9"/>
  <c r="P208" i="9"/>
  <c r="P178" i="9"/>
  <c r="P177" i="9"/>
  <c r="M176" i="9"/>
  <c r="P170" i="9"/>
  <c r="O170" i="9"/>
  <c r="L176" i="9"/>
  <c r="N170" i="9"/>
  <c r="K176" i="9"/>
  <c r="K177" i="9"/>
  <c r="J208" i="9"/>
  <c r="J177" i="9"/>
  <c r="J176" i="9"/>
  <c r="J178" i="9"/>
  <c r="I208" i="9"/>
  <c r="I177" i="9"/>
  <c r="I178" i="9"/>
  <c r="H208" i="9"/>
  <c r="H177" i="9"/>
  <c r="H178" i="9"/>
  <c r="H170" i="9"/>
  <c r="E176" i="9"/>
  <c r="G170" i="9"/>
  <c r="D176" i="9"/>
  <c r="C177" i="9"/>
  <c r="C176" i="9"/>
  <c r="F170" i="9"/>
  <c r="BM76" i="9"/>
  <c r="BM302" i="9"/>
  <c r="AL64" i="9"/>
  <c r="BS289" i="9"/>
  <c r="AS342" i="9"/>
  <c r="AR342" i="9"/>
  <c r="AJ64" i="9"/>
  <c r="AJ331" i="9"/>
  <c r="Z71" i="9"/>
  <c r="U53" i="9"/>
  <c r="Y53" i="9"/>
  <c r="Z53" i="9"/>
  <c r="AC53" i="9"/>
  <c r="AD53" i="9"/>
  <c r="BJ304" i="9"/>
  <c r="AE53" i="9"/>
  <c r="AF53" i="9"/>
  <c r="BK77" i="9"/>
  <c r="AN216" i="9"/>
  <c r="AN214" i="9" s="1"/>
  <c r="AM142" i="9"/>
  <c r="AN193" i="9"/>
  <c r="AM115" i="9"/>
  <c r="AN191" i="9"/>
  <c r="AL129" i="9"/>
  <c r="BL139" i="9"/>
  <c r="AL116" i="9"/>
  <c r="BL116" i="9" s="1"/>
  <c r="BL123" i="9"/>
  <c r="BL148" i="9" s="1"/>
  <c r="AM193" i="9"/>
  <c r="AL193" i="9"/>
  <c r="AL79" i="9"/>
  <c r="BL110" i="9"/>
  <c r="AL108" i="9"/>
  <c r="BL107" i="9"/>
  <c r="AL165" i="9"/>
  <c r="AM69" i="9" s="1"/>
  <c r="AL191" i="9"/>
  <c r="BL103" i="9"/>
  <c r="AM191" i="9"/>
  <c r="BK307" i="9"/>
  <c r="AG193" i="9"/>
  <c r="AF116" i="9"/>
  <c r="AF142" i="9" s="1"/>
  <c r="AF300" i="9"/>
  <c r="AE300" i="9"/>
  <c r="AE116" i="9"/>
  <c r="AE142" i="9" s="1"/>
  <c r="AE193" i="9"/>
  <c r="AE108" i="9"/>
  <c r="AE79" i="9"/>
  <c r="AF191" i="9"/>
  <c r="AE191" i="9"/>
  <c r="AE97" i="9"/>
  <c r="AE71" i="9"/>
  <c r="BK26" i="9"/>
  <c r="AD285" i="9"/>
  <c r="AE282" i="9"/>
  <c r="AC193" i="9"/>
  <c r="AC188" i="9" s="1"/>
  <c r="AB116" i="9"/>
  <c r="AB142" i="9" s="1"/>
  <c r="AC280" i="9"/>
  <c r="AC27" i="9" s="1"/>
  <c r="BJ292" i="9"/>
  <c r="AA300" i="9"/>
  <c r="AA279" i="9" s="1"/>
  <c r="AB193" i="9"/>
  <c r="AB188" i="9" s="1"/>
  <c r="AA116" i="9"/>
  <c r="AA142" i="9" s="1"/>
  <c r="BI139" i="9"/>
  <c r="Z129" i="9"/>
  <c r="BI127" i="9"/>
  <c r="BI123" i="9"/>
  <c r="BI148" i="9" s="1"/>
  <c r="Z116" i="9"/>
  <c r="BI116" i="9" s="1"/>
  <c r="Z108" i="9"/>
  <c r="Z79" i="9"/>
  <c r="BI110" i="9"/>
  <c r="BI107" i="9"/>
  <c r="Z97" i="9"/>
  <c r="BI334" i="9"/>
  <c r="Z336" i="9"/>
  <c r="W191" i="9"/>
  <c r="W97" i="9"/>
  <c r="W115" i="9" s="1"/>
  <c r="M73" i="12"/>
  <c r="BL156" i="9"/>
  <c r="BL287" i="9"/>
  <c r="BL288" i="9" s="1"/>
  <c r="S336" i="9"/>
  <c r="S337" i="9"/>
  <c r="Q292" i="9"/>
  <c r="BF300" i="9"/>
  <c r="N300" i="9"/>
  <c r="N299" i="9" s="1"/>
  <c r="AU135" i="9"/>
  <c r="AU162" i="9" s="1"/>
  <c r="AU139" i="9"/>
  <c r="AV139" i="9" s="1"/>
  <c r="AW139" i="9" s="1"/>
  <c r="AC142" i="9"/>
  <c r="Y522" i="8"/>
  <c r="Y11" i="9"/>
  <c r="Y21" i="9" s="1"/>
  <c r="Y32" i="9" s="1"/>
  <c r="Y33" i="8"/>
  <c r="BF523" i="8"/>
  <c r="AH550" i="8"/>
  <c r="AA205" i="8"/>
  <c r="BJ483" i="8"/>
  <c r="BH622" i="8"/>
  <c r="BH556" i="8"/>
  <c r="BH591" i="8"/>
  <c r="BG524" i="8"/>
  <c r="AO210" i="8"/>
  <c r="U546" i="8"/>
  <c r="BE347" i="8"/>
  <c r="Q630" i="8"/>
  <c r="R388" i="8"/>
  <c r="Q388" i="8"/>
  <c r="P388" i="8"/>
  <c r="N388" i="8"/>
  <c r="M388" i="8"/>
  <c r="L388" i="8"/>
  <c r="J388" i="8"/>
  <c r="I388" i="8"/>
  <c r="H388" i="8"/>
  <c r="R302" i="8"/>
  <c r="P302" i="8"/>
  <c r="M302" i="8"/>
  <c r="J302" i="8"/>
  <c r="I302" i="8"/>
  <c r="BG625" i="8"/>
  <c r="AN105" i="8"/>
  <c r="L656" i="8"/>
  <c r="K656" i="8"/>
  <c r="AN220" i="8"/>
  <c r="BG7" i="9"/>
  <c r="AQ486" i="8"/>
  <c r="BK485" i="8"/>
  <c r="BK487" i="8" s="1"/>
  <c r="W693" i="8"/>
  <c r="W691" i="8"/>
  <c r="W695" i="8"/>
  <c r="BE16" i="8"/>
  <c r="BF17" i="8"/>
  <c r="V655" i="8"/>
  <c r="V656" i="8" s="1"/>
  <c r="V30" i="8"/>
  <c r="AM487" i="8"/>
  <c r="AM486" i="8"/>
  <c r="AM490" i="8"/>
  <c r="AL490" i="8"/>
  <c r="AL486" i="8"/>
  <c r="AL487" i="8"/>
  <c r="AK490" i="8"/>
  <c r="AK487" i="8"/>
  <c r="AK486" i="8"/>
  <c r="AH490" i="8"/>
  <c r="AH486" i="8"/>
  <c r="AH487" i="8"/>
  <c r="AG490" i="8"/>
  <c r="AG498" i="8" s="1"/>
  <c r="AG486" i="8"/>
  <c r="AG487" i="8"/>
  <c r="AD486" i="8"/>
  <c r="AD490" i="8"/>
  <c r="AD498" i="8" s="1"/>
  <c r="AD487" i="8"/>
  <c r="AC487" i="8"/>
  <c r="AC490" i="8"/>
  <c r="AC486" i="8"/>
  <c r="Z490" i="8"/>
  <c r="Z487" i="8"/>
  <c r="Y487" i="8"/>
  <c r="Y490" i="8"/>
  <c r="AM220" i="8"/>
  <c r="AM224" i="8"/>
  <c r="BO219" i="8"/>
  <c r="BO221" i="8" s="1"/>
  <c r="AM221" i="8"/>
  <c r="AL224" i="8"/>
  <c r="AP220" i="8"/>
  <c r="Y5" i="9"/>
  <c r="Y9" i="9" s="1"/>
  <c r="Y82" i="8"/>
  <c r="Y84" i="8"/>
  <c r="Y58" i="8"/>
  <c r="BN326" i="8"/>
  <c r="AJ326" i="8"/>
  <c r="AK326" i="8" s="1"/>
  <c r="AL326" i="8" s="1"/>
  <c r="AM326" i="8" s="1"/>
  <c r="BJ121" i="8"/>
  <c r="BJ122" i="8" s="1"/>
  <c r="S122" i="8"/>
  <c r="W123" i="8" s="1"/>
  <c r="X131" i="8"/>
  <c r="X17" i="9"/>
  <c r="BI157" i="8"/>
  <c r="AF486" i="8"/>
  <c r="AG220" i="8"/>
  <c r="BK221" i="8"/>
  <c r="AM38" i="8"/>
  <c r="R389" i="8"/>
  <c r="Q389" i="8"/>
  <c r="P389" i="8"/>
  <c r="N389" i="8"/>
  <c r="M389" i="8"/>
  <c r="L389" i="8"/>
  <c r="K389" i="8"/>
  <c r="J389" i="8"/>
  <c r="H389" i="8"/>
  <c r="G389" i="8"/>
  <c r="W697" i="8"/>
  <c r="U522" i="8"/>
  <c r="BF579" i="8"/>
  <c r="BK524" i="8"/>
  <c r="H656" i="8"/>
  <c r="BJ524" i="8"/>
  <c r="G656" i="8"/>
  <c r="M656" i="8"/>
  <c r="BJ610" i="8"/>
  <c r="AD62" i="8"/>
  <c r="AD8" i="9"/>
  <c r="AD33" i="8"/>
  <c r="AD8" i="8"/>
  <c r="BL409" i="8"/>
  <c r="BL410" i="8" s="1"/>
  <c r="AH409" i="8"/>
  <c r="BL285" i="8"/>
  <c r="AH285" i="8"/>
  <c r="Y59" i="8"/>
  <c r="Y63" i="8"/>
  <c r="Y62" i="8"/>
  <c r="W606" i="8"/>
  <c r="W594" i="8"/>
  <c r="U668" i="8"/>
  <c r="U628" i="8"/>
  <c r="U624" i="8"/>
  <c r="U625" i="8"/>
  <c r="U622" i="8"/>
  <c r="U621" i="8"/>
  <c r="U629" i="8"/>
  <c r="Y630" i="8" s="1"/>
  <c r="U639" i="8"/>
  <c r="U638" i="8"/>
  <c r="U556" i="8"/>
  <c r="U557" i="8"/>
  <c r="U554" i="8"/>
  <c r="U553" i="8"/>
  <c r="U561" i="8"/>
  <c r="BJ288" i="8"/>
  <c r="BJ289" i="8" s="1"/>
  <c r="U289" i="8"/>
  <c r="G348" i="8"/>
  <c r="BF347" i="8"/>
  <c r="K348" i="8"/>
  <c r="BG347" i="8"/>
  <c r="T554" i="8"/>
  <c r="T561" i="8"/>
  <c r="X553" i="8"/>
  <c r="T380" i="8"/>
  <c r="T387" i="8"/>
  <c r="T667" i="8"/>
  <c r="T299" i="8"/>
  <c r="T298" i="8"/>
  <c r="T301" i="8"/>
  <c r="T296" i="8"/>
  <c r="X296" i="8" s="1"/>
  <c r="X294" i="8" s="1"/>
  <c r="T666" i="8"/>
  <c r="T295" i="8"/>
  <c r="S553" i="8"/>
  <c r="W553" i="8"/>
  <c r="S387" i="8"/>
  <c r="S380" i="8"/>
  <c r="S298" i="8"/>
  <c r="S301" i="8"/>
  <c r="S667" i="8"/>
  <c r="W297" i="8"/>
  <c r="S295" i="8"/>
  <c r="S296" i="8"/>
  <c r="W296" i="8" s="1"/>
  <c r="S666" i="8"/>
  <c r="R630" i="8"/>
  <c r="R631" i="8"/>
  <c r="O631" i="8"/>
  <c r="BH629" i="8"/>
  <c r="M631" i="8"/>
  <c r="BG629" i="8"/>
  <c r="BG631" i="8" s="1"/>
  <c r="R565" i="8"/>
  <c r="R562" i="8"/>
  <c r="Q565" i="8"/>
  <c r="Q562" i="8"/>
  <c r="P565" i="8"/>
  <c r="P562" i="8"/>
  <c r="O562" i="8"/>
  <c r="BH561" i="8"/>
  <c r="N563" i="8"/>
  <c r="N565" i="8"/>
  <c r="N562" i="8"/>
  <c r="M565" i="8"/>
  <c r="M562" i="8"/>
  <c r="M563" i="8"/>
  <c r="L565" i="8"/>
  <c r="L562" i="8"/>
  <c r="K565" i="8"/>
  <c r="K563" i="8"/>
  <c r="K562" i="8"/>
  <c r="BG561" i="8"/>
  <c r="J563" i="8"/>
  <c r="J565" i="8"/>
  <c r="J562" i="8"/>
  <c r="I565" i="8"/>
  <c r="I562" i="8"/>
  <c r="H565" i="8"/>
  <c r="H562" i="8"/>
  <c r="G563" i="8"/>
  <c r="G565" i="8"/>
  <c r="G562" i="8"/>
  <c r="BF561" i="8"/>
  <c r="F565" i="8"/>
  <c r="F562" i="8"/>
  <c r="F563" i="8"/>
  <c r="E565" i="8"/>
  <c r="E563" i="8"/>
  <c r="E562" i="8"/>
  <c r="BE561" i="8"/>
  <c r="BE563" i="8" s="1"/>
  <c r="C563" i="8"/>
  <c r="C562" i="8"/>
  <c r="O388" i="8"/>
  <c r="BH387" i="8"/>
  <c r="BG387" i="8"/>
  <c r="K388" i="8"/>
  <c r="G388" i="8"/>
  <c r="BF387" i="8"/>
  <c r="Q302" i="8"/>
  <c r="Q303" i="8"/>
  <c r="BH301" i="8"/>
  <c r="O302" i="8"/>
  <c r="N302" i="8"/>
  <c r="N303" i="8"/>
  <c r="L303" i="8"/>
  <c r="L302" i="8"/>
  <c r="K303" i="8"/>
  <c r="K302" i="8"/>
  <c r="BG301" i="8"/>
  <c r="H303" i="8"/>
  <c r="H302" i="8"/>
  <c r="G303" i="8"/>
  <c r="BF301" i="8"/>
  <c r="G302" i="8"/>
  <c r="E302" i="8"/>
  <c r="E303" i="8"/>
  <c r="D302" i="8"/>
  <c r="D303" i="8"/>
  <c r="BE301" i="8"/>
  <c r="BE303" i="8" s="1"/>
  <c r="C302" i="8"/>
  <c r="T668" i="8"/>
  <c r="X627" i="8"/>
  <c r="BJ331" i="8"/>
  <c r="BK334" i="8"/>
  <c r="BK333" i="8" s="1"/>
  <c r="BJ592" i="8"/>
  <c r="BH592" i="8"/>
  <c r="BH523" i="8"/>
  <c r="BJ523" i="8"/>
  <c r="BJ342" i="8"/>
  <c r="BH340" i="8"/>
  <c r="BG340" i="8"/>
  <c r="BH342" i="8"/>
  <c r="BF340" i="8"/>
  <c r="BG342" i="8"/>
  <c r="BF342" i="8"/>
  <c r="BE342" i="8"/>
  <c r="BT701" i="8"/>
  <c r="AD66" i="8"/>
  <c r="AD59" i="8"/>
  <c r="AD7" i="9" s="1"/>
  <c r="BH621" i="8"/>
  <c r="BH570" i="8"/>
  <c r="BE579" i="8"/>
  <c r="BH383" i="8"/>
  <c r="BG383" i="8"/>
  <c r="BF383" i="8"/>
  <c r="BH380" i="8"/>
  <c r="BF380" i="8"/>
  <c r="BG365" i="8"/>
  <c r="BG289" i="8"/>
  <c r="P656" i="8"/>
  <c r="R656" i="8"/>
  <c r="I656" i="8"/>
  <c r="O656" i="8"/>
  <c r="AA110" i="8"/>
  <c r="AA111" i="8" s="1"/>
  <c r="AB487" i="8"/>
  <c r="AB486" i="8"/>
  <c r="AB490" i="8"/>
  <c r="AA487" i="8"/>
  <c r="AA486" i="8"/>
  <c r="AA490" i="8"/>
  <c r="AH220" i="8"/>
  <c r="AH221" i="8"/>
  <c r="AH224" i="8"/>
  <c r="AH233" i="8" s="1"/>
  <c r="AF221" i="8"/>
  <c r="AF224" i="8"/>
  <c r="AF220" i="8"/>
  <c r="BM219" i="8"/>
  <c r="AE220" i="8"/>
  <c r="AD224" i="8"/>
  <c r="AD220" i="8"/>
  <c r="AD221" i="8"/>
  <c r="AC224" i="8"/>
  <c r="AC221" i="8"/>
  <c r="AC220" i="8"/>
  <c r="AB220" i="8"/>
  <c r="AB224" i="8"/>
  <c r="AB221" i="8"/>
  <c r="BL219" i="8"/>
  <c r="AA220" i="8"/>
  <c r="AA224" i="8"/>
  <c r="AA221" i="8"/>
  <c r="Z224" i="8"/>
  <c r="Z221" i="8"/>
  <c r="Y224" i="8"/>
  <c r="Y221" i="8"/>
  <c r="AJ220" i="8"/>
  <c r="AJ224" i="8"/>
  <c r="AJ233" i="8" s="1"/>
  <c r="AJ221" i="8"/>
  <c r="AL33" i="8"/>
  <c r="AL38" i="8"/>
  <c r="AL8" i="8"/>
  <c r="AL41" i="8" s="1"/>
  <c r="BN36" i="8"/>
  <c r="W141" i="8"/>
  <c r="BK141" i="8" s="1"/>
  <c r="W167" i="8"/>
  <c r="T44" i="8"/>
  <c r="T606" i="8"/>
  <c r="T607" i="8" s="1"/>
  <c r="T604" i="8"/>
  <c r="T594" i="8"/>
  <c r="S606" i="8"/>
  <c r="S607" i="8" s="1"/>
  <c r="S594" i="8"/>
  <c r="X347" i="8"/>
  <c r="T348" i="8"/>
  <c r="T617" i="8"/>
  <c r="X618" i="8" s="1"/>
  <c r="X616" i="8"/>
  <c r="BM327" i="8"/>
  <c r="AI327" i="8"/>
  <c r="BJ518" i="8"/>
  <c r="AA641" i="8"/>
  <c r="AE642" i="8" s="1"/>
  <c r="AA635" i="8"/>
  <c r="AF106" i="8"/>
  <c r="AE412" i="8"/>
  <c r="AH264" i="8"/>
  <c r="BH624" i="8"/>
  <c r="BG622" i="8"/>
  <c r="BH554" i="8"/>
  <c r="BH542" i="8"/>
  <c r="BH373" i="8"/>
  <c r="BH296" i="8"/>
  <c r="BF296" i="8"/>
  <c r="BH289" i="8"/>
  <c r="BH638" i="8"/>
  <c r="BG628" i="8"/>
  <c r="BH610" i="8"/>
  <c r="BG296" i="8"/>
  <c r="BE296" i="8"/>
  <c r="S616" i="8"/>
  <c r="R550" i="8"/>
  <c r="X220" i="8"/>
  <c r="X221" i="8"/>
  <c r="X224" i="8"/>
  <c r="AA153" i="8"/>
  <c r="AA154" i="8"/>
  <c r="Z153" i="8"/>
  <c r="Z154" i="8"/>
  <c r="Y153" i="8"/>
  <c r="Y154" i="8"/>
  <c r="W153" i="8"/>
  <c r="W154" i="8"/>
  <c r="BN97" i="8"/>
  <c r="AL105" i="8"/>
  <c r="AA179" i="8"/>
  <c r="AA147" i="8" s="1"/>
  <c r="AA148" i="8" s="1"/>
  <c r="AA162" i="8"/>
  <c r="Z179" i="8"/>
  <c r="Z147" i="8" s="1"/>
  <c r="Z148" i="8" s="1"/>
  <c r="Z162" i="8"/>
  <c r="Z167" i="8"/>
  <c r="Z149" i="8" s="1"/>
  <c r="Z186" i="8" s="1"/>
  <c r="Y179" i="8"/>
  <c r="Y147" i="8" s="1"/>
  <c r="Y148" i="8" s="1"/>
  <c r="Y167" i="8"/>
  <c r="Y149" i="8" s="1"/>
  <c r="Y186" i="8" s="1"/>
  <c r="Y162" i="8"/>
  <c r="W179" i="8"/>
  <c r="W147" i="8" s="1"/>
  <c r="W148" i="8" s="1"/>
  <c r="W162" i="8"/>
  <c r="AF152" i="8"/>
  <c r="AJ156" i="8"/>
  <c r="AI156" i="8"/>
  <c r="AE152" i="8"/>
  <c r="AH156" i="8"/>
  <c r="AD152" i="8"/>
  <c r="W354" i="8"/>
  <c r="W5" i="8"/>
  <c r="BL712" i="8"/>
  <c r="BL711" i="8" s="1"/>
  <c r="BL701" i="8"/>
  <c r="BH334" i="8"/>
  <c r="BH333" i="8" s="1"/>
  <c r="BG331" i="8"/>
  <c r="BE331" i="8"/>
  <c r="BF334" i="8"/>
  <c r="BF333" i="8" s="1"/>
  <c r="R210" i="9"/>
  <c r="Q210" i="9"/>
  <c r="P210" i="9"/>
  <c r="O210" i="9"/>
  <c r="N210" i="9"/>
  <c r="M210" i="9"/>
  <c r="L210" i="9"/>
  <c r="K210" i="9"/>
  <c r="J210" i="9"/>
  <c r="I210" i="9"/>
  <c r="H210" i="9"/>
  <c r="G210" i="9"/>
  <c r="F210" i="9"/>
  <c r="E210" i="9"/>
  <c r="D210" i="9"/>
  <c r="C210" i="9"/>
  <c r="Q55" i="8"/>
  <c r="Q4" i="9"/>
  <c r="P55" i="8"/>
  <c r="P4" i="9"/>
  <c r="O55" i="8"/>
  <c r="O4" i="9"/>
  <c r="K55" i="8"/>
  <c r="BG54" i="8"/>
  <c r="BG55" i="8" s="1"/>
  <c r="I55" i="8"/>
  <c r="I4" i="9"/>
  <c r="H55" i="8"/>
  <c r="BF54" i="8"/>
  <c r="BF55" i="8" s="1"/>
  <c r="H4" i="9"/>
  <c r="AL9" i="9"/>
  <c r="BK157" i="8"/>
  <c r="BG157" i="8"/>
  <c r="N546" i="8"/>
  <c r="H546" i="8"/>
  <c r="P546" i="8"/>
  <c r="L546" i="8"/>
  <c r="M546" i="8"/>
  <c r="BJ382" i="8"/>
  <c r="BF320" i="8"/>
  <c r="BE320" i="8"/>
  <c r="BH625" i="8"/>
  <c r="BE549" i="8"/>
  <c r="BE557" i="8"/>
  <c r="BH557" i="8"/>
  <c r="BF560" i="8"/>
  <c r="BH560" i="8"/>
  <c r="BF373" i="8"/>
  <c r="BF365" i="8"/>
  <c r="BH295" i="8"/>
  <c r="BG295" i="8"/>
  <c r="T550" i="8"/>
  <c r="O550" i="8"/>
  <c r="M550" i="8"/>
  <c r="K550" i="8"/>
  <c r="I550" i="8"/>
  <c r="G550" i="8"/>
  <c r="Q546" i="8"/>
  <c r="I546" i="8"/>
  <c r="BE554" i="8"/>
  <c r="BG557" i="8"/>
  <c r="BE560" i="8"/>
  <c r="BE570" i="8"/>
  <c r="BF542" i="8"/>
  <c r="BG380" i="8"/>
  <c r="BG373" i="8"/>
  <c r="BF289" i="8"/>
  <c r="T616" i="8"/>
  <c r="S550" i="8"/>
  <c r="P550" i="8"/>
  <c r="L550" i="8"/>
  <c r="H550" i="8"/>
  <c r="S546" i="8"/>
  <c r="J546" i="8"/>
  <c r="E391" i="8"/>
  <c r="E399" i="8" s="1"/>
  <c r="D391" i="8"/>
  <c r="D399" i="8" s="1"/>
  <c r="BK557" i="8"/>
  <c r="BL557" i="8"/>
  <c r="AG257" i="8"/>
  <c r="AC8" i="8"/>
  <c r="AC33" i="8"/>
  <c r="AF343" i="8"/>
  <c r="AG343" i="8" s="1"/>
  <c r="AH343" i="8" s="1"/>
  <c r="AI343" i="8" s="1"/>
  <c r="AJ343" i="8" s="1"/>
  <c r="AK343" i="8" s="1"/>
  <c r="AL343" i="8" s="1"/>
  <c r="AM343" i="8" s="1"/>
  <c r="AN343" i="8" s="1"/>
  <c r="AO343" i="8" s="1"/>
  <c r="AP343" i="8" s="1"/>
  <c r="AQ343" i="8" s="1"/>
  <c r="AR343" i="8" s="1"/>
  <c r="AS343" i="8" s="1"/>
  <c r="AT343" i="8" s="1"/>
  <c r="AU343" i="8" s="1"/>
  <c r="AE342" i="8"/>
  <c r="V4" i="9"/>
  <c r="BH627" i="8"/>
  <c r="BH628" i="8"/>
  <c r="BJ334" i="8"/>
  <c r="BJ333" i="8" s="1"/>
  <c r="BH331" i="8"/>
  <c r="BG334" i="8"/>
  <c r="BG333" i="8" s="1"/>
  <c r="BF331" i="8"/>
  <c r="BF548" i="8"/>
  <c r="BF549" i="8"/>
  <c r="BF553" i="8"/>
  <c r="BF554" i="8"/>
  <c r="BG570" i="8"/>
  <c r="BG542" i="8"/>
  <c r="BG549" i="8"/>
  <c r="BH298" i="8"/>
  <c r="BH299" i="8"/>
  <c r="BG298" i="8"/>
  <c r="BG299" i="8"/>
  <c r="BF298" i="8"/>
  <c r="BF299" i="8"/>
  <c r="BE667" i="8"/>
  <c r="BE299" i="8"/>
  <c r="R312" i="8"/>
  <c r="R571" i="8"/>
  <c r="R639" i="8"/>
  <c r="R672" i="8"/>
  <c r="R665" i="8" s="1"/>
  <c r="Q639" i="8"/>
  <c r="Q129" i="8"/>
  <c r="Q17" i="9" s="1"/>
  <c r="Q55" i="9" s="1"/>
  <c r="Q53" i="9" s="1"/>
  <c r="Q312" i="8"/>
  <c r="Q571" i="8"/>
  <c r="Q672" i="8"/>
  <c r="Q665" i="8" s="1"/>
  <c r="P65" i="8"/>
  <c r="P129" i="8"/>
  <c r="P17" i="9" s="1"/>
  <c r="P55" i="9" s="1"/>
  <c r="P53" i="9" s="1"/>
  <c r="P90" i="8"/>
  <c r="P571" i="8"/>
  <c r="P639" i="8"/>
  <c r="P312" i="8"/>
  <c r="P672" i="8"/>
  <c r="P665" i="8" s="1"/>
  <c r="O90" i="8"/>
  <c r="O672" i="8"/>
  <c r="O665" i="8" s="1"/>
  <c r="O571" i="8"/>
  <c r="O312" i="8"/>
  <c r="O639" i="8"/>
  <c r="N129" i="8"/>
  <c r="N17" i="9" s="1"/>
  <c r="N55" i="9" s="1"/>
  <c r="N53" i="9" s="1"/>
  <c r="N672" i="8"/>
  <c r="N665" i="8" s="1"/>
  <c r="N65" i="8"/>
  <c r="N312" i="8"/>
  <c r="N639" i="8"/>
  <c r="N90" i="8"/>
  <c r="N571" i="8"/>
  <c r="M129" i="8"/>
  <c r="M17" i="9" s="1"/>
  <c r="M55" i="9" s="1"/>
  <c r="M53" i="9" s="1"/>
  <c r="M639" i="8"/>
  <c r="M90" i="8"/>
  <c r="M312" i="8"/>
  <c r="M571" i="8"/>
  <c r="M672" i="8"/>
  <c r="M665" i="8" s="1"/>
  <c r="M65" i="8"/>
  <c r="L129" i="8"/>
  <c r="L17" i="9" s="1"/>
  <c r="L55" i="9" s="1"/>
  <c r="L53" i="9" s="1"/>
  <c r="L65" i="8"/>
  <c r="L312" i="8"/>
  <c r="L639" i="8"/>
  <c r="L571" i="8"/>
  <c r="L672" i="8"/>
  <c r="L665" i="8" s="1"/>
  <c r="L90" i="8"/>
  <c r="K312" i="8"/>
  <c r="K90" i="8"/>
  <c r="K571" i="8"/>
  <c r="K639" i="8"/>
  <c r="K672" i="8"/>
  <c r="K665" i="8" s="1"/>
  <c r="J571" i="8"/>
  <c r="J672" i="8"/>
  <c r="J665" i="8" s="1"/>
  <c r="J312" i="8"/>
  <c r="J639" i="8"/>
  <c r="I65" i="8"/>
  <c r="I129" i="8"/>
  <c r="I17" i="9" s="1"/>
  <c r="I55" i="9" s="1"/>
  <c r="I53" i="9" s="1"/>
  <c r="I672" i="8"/>
  <c r="I665" i="8" s="1"/>
  <c r="I312" i="8"/>
  <c r="I639" i="8"/>
  <c r="I571" i="8"/>
  <c r="I90" i="8"/>
  <c r="H129" i="8"/>
  <c r="H17" i="9" s="1"/>
  <c r="H55" i="9" s="1"/>
  <c r="H53" i="9" s="1"/>
  <c r="H90" i="8"/>
  <c r="H65" i="8"/>
  <c r="H672" i="8"/>
  <c r="H665" i="8" s="1"/>
  <c r="H312" i="8"/>
  <c r="H639" i="8"/>
  <c r="H571" i="8"/>
  <c r="G639" i="8"/>
  <c r="G90" i="8"/>
  <c r="G672" i="8"/>
  <c r="G665" i="8" s="1"/>
  <c r="G571" i="8"/>
  <c r="G312" i="8"/>
  <c r="F129" i="8"/>
  <c r="F17" i="9" s="1"/>
  <c r="F55" i="9" s="1"/>
  <c r="F53" i="9" s="1"/>
  <c r="F312" i="8"/>
  <c r="F639" i="8"/>
  <c r="F65" i="8"/>
  <c r="F90" i="8"/>
  <c r="F672" i="8"/>
  <c r="F665" i="8" s="1"/>
  <c r="F571" i="8"/>
  <c r="E129" i="8"/>
  <c r="E17" i="9" s="1"/>
  <c r="E55" i="9" s="1"/>
  <c r="E53" i="9" s="1"/>
  <c r="E571" i="8"/>
  <c r="E639" i="8"/>
  <c r="E65" i="8"/>
  <c r="E90" i="8"/>
  <c r="E312" i="8"/>
  <c r="E672" i="8"/>
  <c r="E665" i="8" s="1"/>
  <c r="D312" i="8"/>
  <c r="D571" i="8"/>
  <c r="D639" i="8"/>
  <c r="D672" i="8"/>
  <c r="D665" i="8" s="1"/>
  <c r="C672" i="8"/>
  <c r="C665" i="8" s="1"/>
  <c r="C571" i="8"/>
  <c r="C639" i="8"/>
  <c r="C90" i="8"/>
  <c r="C312" i="8"/>
  <c r="T92" i="8"/>
  <c r="T94" i="8" s="1"/>
  <c r="U96" i="8"/>
  <c r="BJ96" i="8" s="1"/>
  <c r="AK119" i="8"/>
  <c r="AK23" i="9"/>
  <c r="AK86" i="8"/>
  <c r="AL23" i="9"/>
  <c r="AL24" i="9" s="1"/>
  <c r="AL86" i="8"/>
  <c r="AL119" i="8"/>
  <c r="AL116" i="8"/>
  <c r="AN221" i="8"/>
  <c r="AN224" i="8"/>
  <c r="AN63" i="9"/>
  <c r="AM63" i="9"/>
  <c r="AM214" i="9"/>
  <c r="BO230" i="8"/>
  <c r="O65" i="12"/>
  <c r="G186" i="12" s="1"/>
  <c r="AN37" i="8"/>
  <c r="AA271" i="8"/>
  <c r="AJ210" i="8"/>
  <c r="AJ67" i="8"/>
  <c r="AJ42" i="8"/>
  <c r="AJ630" i="8"/>
  <c r="AD50" i="8"/>
  <c r="AG476" i="8"/>
  <c r="AG210" i="8"/>
  <c r="BK15" i="9"/>
  <c r="Y68" i="8"/>
  <c r="BN482" i="8"/>
  <c r="BE522" i="8"/>
  <c r="BJ542" i="8"/>
  <c r="BJ548" i="8"/>
  <c r="AF205" i="8"/>
  <c r="AC512" i="8"/>
  <c r="BL165" i="8"/>
  <c r="BL166" i="8" s="1"/>
  <c r="AG165" i="8"/>
  <c r="AK165" i="8" s="1"/>
  <c r="AO166" i="8" s="1"/>
  <c r="BJ152" i="8"/>
  <c r="BJ157" i="8"/>
  <c r="BH152" i="8"/>
  <c r="BH144" i="8" s="1"/>
  <c r="BH153" i="8" s="1"/>
  <c r="BH157" i="8"/>
  <c r="BF152" i="8"/>
  <c r="BF157" i="8"/>
  <c r="BL156" i="8"/>
  <c r="AG156" i="8"/>
  <c r="V625" i="8"/>
  <c r="Z624" i="8"/>
  <c r="V624" i="8"/>
  <c r="Z621" i="8"/>
  <c r="V622" i="8"/>
  <c r="V557" i="8"/>
  <c r="BJ555" i="8"/>
  <c r="V556" i="8"/>
  <c r="Z556" i="8"/>
  <c r="V667" i="8"/>
  <c r="BJ297" i="8"/>
  <c r="T624" i="8"/>
  <c r="X624" i="8"/>
  <c r="T556" i="8"/>
  <c r="X556" i="8"/>
  <c r="T557" i="8"/>
  <c r="W624" i="8"/>
  <c r="S625" i="8"/>
  <c r="W621" i="8"/>
  <c r="S622" i="8"/>
  <c r="W556" i="8"/>
  <c r="S556" i="8"/>
  <c r="S557" i="8"/>
  <c r="S554" i="8"/>
  <c r="S561" i="8"/>
  <c r="O563" i="8"/>
  <c r="O565" i="8"/>
  <c r="D563" i="8"/>
  <c r="D565" i="8"/>
  <c r="D562" i="8"/>
  <c r="T628" i="8"/>
  <c r="T629" i="8"/>
  <c r="BH549" i="8"/>
  <c r="BH548" i="8"/>
  <c r="BG554" i="8"/>
  <c r="BG553" i="8"/>
  <c r="BF557" i="8"/>
  <c r="BF556" i="8"/>
  <c r="BG560" i="8"/>
  <c r="BG559" i="8"/>
  <c r="BF570" i="8"/>
  <c r="BJ365" i="8"/>
  <c r="BH365" i="8"/>
  <c r="BF666" i="8"/>
  <c r="BF295" i="8"/>
  <c r="BH311" i="8"/>
  <c r="BH286" i="8"/>
  <c r="BG286" i="8"/>
  <c r="BG311" i="8"/>
  <c r="BF311" i="8"/>
  <c r="BF286" i="8"/>
  <c r="BE661" i="8"/>
  <c r="BE311" i="8"/>
  <c r="BJ615" i="8"/>
  <c r="S617" i="8"/>
  <c r="W618" i="8" s="1"/>
  <c r="W616" i="8"/>
  <c r="R633" i="8"/>
  <c r="R616" i="8"/>
  <c r="Q616" i="8"/>
  <c r="Q633" i="8"/>
  <c r="P617" i="8"/>
  <c r="P616" i="8"/>
  <c r="P633" i="8"/>
  <c r="O617" i="8"/>
  <c r="O618" i="8" s="1"/>
  <c r="BH615" i="8"/>
  <c r="O616" i="8"/>
  <c r="O633" i="8"/>
  <c r="N617" i="8"/>
  <c r="N633" i="8"/>
  <c r="M616" i="8"/>
  <c r="M633" i="8"/>
  <c r="BG615" i="8"/>
  <c r="BG617" i="8" s="1"/>
  <c r="BG618" i="8" s="1"/>
  <c r="U550" i="8"/>
  <c r="Q550" i="8"/>
  <c r="N550" i="8"/>
  <c r="J550" i="8"/>
  <c r="X546" i="8"/>
  <c r="T546" i="8"/>
  <c r="V546" i="8"/>
  <c r="R546" i="8"/>
  <c r="O546" i="8"/>
  <c r="BH545" i="8"/>
  <c r="BG545" i="8"/>
  <c r="K546" i="8"/>
  <c r="BF545" i="8"/>
  <c r="G546" i="8"/>
  <c r="S663" i="8"/>
  <c r="S291" i="8"/>
  <c r="S292" i="8"/>
  <c r="T663" i="8"/>
  <c r="T291" i="8"/>
  <c r="V291" i="8"/>
  <c r="R292" i="8"/>
  <c r="R306" i="8"/>
  <c r="R663" i="8"/>
  <c r="R291" i="8"/>
  <c r="U291" i="8"/>
  <c r="Q306" i="8"/>
  <c r="Q663" i="8"/>
  <c r="Q291" i="8"/>
  <c r="P292" i="8"/>
  <c r="P306" i="8"/>
  <c r="P663" i="8"/>
  <c r="P291" i="8"/>
  <c r="O292" i="8"/>
  <c r="BH290" i="8"/>
  <c r="O306" i="8"/>
  <c r="O663" i="8"/>
  <c r="O291" i="8"/>
  <c r="N663" i="8"/>
  <c r="N306" i="8"/>
  <c r="N291" i="8"/>
  <c r="M292" i="8"/>
  <c r="M663" i="8"/>
  <c r="M306" i="8"/>
  <c r="M291" i="8"/>
  <c r="L663" i="8"/>
  <c r="L291" i="8"/>
  <c r="L292" i="8"/>
  <c r="L306" i="8"/>
  <c r="K663" i="8"/>
  <c r="K306" i="8"/>
  <c r="K291" i="8"/>
  <c r="BG290" i="8"/>
  <c r="J663" i="8"/>
  <c r="J306" i="8"/>
  <c r="J291" i="8"/>
  <c r="J292" i="8"/>
  <c r="I292" i="8"/>
  <c r="I663" i="8"/>
  <c r="I291" i="8"/>
  <c r="I306" i="8"/>
  <c r="H291" i="8"/>
  <c r="H306" i="8"/>
  <c r="H663" i="8"/>
  <c r="BF290" i="8"/>
  <c r="G663" i="8"/>
  <c r="G292" i="8"/>
  <c r="G306" i="8"/>
  <c r="G291" i="8"/>
  <c r="F292" i="8"/>
  <c r="F663" i="8"/>
  <c r="F306" i="8"/>
  <c r="E292" i="8"/>
  <c r="E663" i="8"/>
  <c r="E306" i="8"/>
  <c r="D292" i="8"/>
  <c r="D663" i="8"/>
  <c r="D306" i="8"/>
  <c r="C663" i="8"/>
  <c r="BE290" i="8"/>
  <c r="C306" i="8"/>
  <c r="S376" i="8"/>
  <c r="S375" i="8"/>
  <c r="R376" i="8"/>
  <c r="R375" i="8"/>
  <c r="R391" i="8"/>
  <c r="Q375" i="8"/>
  <c r="U375" i="8"/>
  <c r="Q391" i="8"/>
  <c r="Q376" i="8"/>
  <c r="P391" i="8"/>
  <c r="P376" i="8"/>
  <c r="P375" i="8"/>
  <c r="O376" i="8"/>
  <c r="O391" i="8"/>
  <c r="O375" i="8"/>
  <c r="BH374" i="8"/>
  <c r="N376" i="8"/>
  <c r="N391" i="8"/>
  <c r="N375" i="8"/>
  <c r="M376" i="8"/>
  <c r="M391" i="8"/>
  <c r="M375" i="8"/>
  <c r="L375" i="8"/>
  <c r="L391" i="8"/>
  <c r="BG374" i="8"/>
  <c r="K391" i="8"/>
  <c r="K376" i="8"/>
  <c r="K375" i="8"/>
  <c r="J376" i="8"/>
  <c r="J391" i="8"/>
  <c r="J375" i="8"/>
  <c r="I376" i="8"/>
  <c r="I391" i="8"/>
  <c r="I375" i="8"/>
  <c r="H376" i="8"/>
  <c r="L377" i="8" s="1"/>
  <c r="H391" i="8"/>
  <c r="H375" i="8"/>
  <c r="G376" i="8"/>
  <c r="BF374" i="8"/>
  <c r="G391" i="8"/>
  <c r="G375" i="8"/>
  <c r="F376" i="8"/>
  <c r="F391" i="8"/>
  <c r="F399" i="8" s="1"/>
  <c r="BE374" i="8"/>
  <c r="BE376" i="8" s="1"/>
  <c r="BE377" i="8" s="1"/>
  <c r="C376" i="8"/>
  <c r="C391" i="8"/>
  <c r="AA334" i="8"/>
  <c r="AA333" i="8" s="1"/>
  <c r="X326" i="8"/>
  <c r="W331" i="8"/>
  <c r="BK523" i="8"/>
  <c r="BL523" i="8"/>
  <c r="AG340" i="8"/>
  <c r="AF339" i="8"/>
  <c r="AD526" i="8"/>
  <c r="BL518" i="8"/>
  <c r="T4" i="9"/>
  <c r="R4" i="9"/>
  <c r="BH54" i="8"/>
  <c r="BH55" i="8" s="1"/>
  <c r="AH110" i="8"/>
  <c r="BM113" i="8"/>
  <c r="BO72" i="8"/>
  <c r="O23" i="12"/>
  <c r="AO67" i="8"/>
  <c r="AM66" i="8"/>
  <c r="AM67" i="8"/>
  <c r="AN66" i="8"/>
  <c r="AN67" i="8"/>
  <c r="AN116" i="8"/>
  <c r="AN23" i="9"/>
  <c r="AO171" i="9"/>
  <c r="AO172" i="9"/>
  <c r="AM4" i="9"/>
  <c r="AK614" i="8"/>
  <c r="AS696" i="8"/>
  <c r="AQ696" i="8"/>
  <c r="AM476" i="8"/>
  <c r="AM210" i="8"/>
  <c r="AL476" i="8"/>
  <c r="AK42" i="8"/>
  <c r="AK476" i="8"/>
  <c r="AK210" i="8"/>
  <c r="G142" i="12"/>
  <c r="AJ618" i="8"/>
  <c r="AF614" i="8"/>
  <c r="AJ550" i="8"/>
  <c r="AJ476" i="8"/>
  <c r="AD67" i="8"/>
  <c r="AD63" i="8"/>
  <c r="AD58" i="8"/>
  <c r="AD46" i="8"/>
  <c r="AH38" i="8"/>
  <c r="S214" i="9"/>
  <c r="BE214" i="9"/>
  <c r="AF618" i="8"/>
  <c r="AF550" i="8"/>
  <c r="AB210" i="8"/>
  <c r="BK579" i="8"/>
  <c r="BL579" i="8"/>
  <c r="AE38" i="8"/>
  <c r="AE42" i="8"/>
  <c r="AA476" i="8"/>
  <c r="AA210" i="8"/>
  <c r="BK613" i="8"/>
  <c r="BI13" i="9"/>
  <c r="BJ358" i="8"/>
  <c r="BJ350" i="8" s="1"/>
  <c r="BJ374" i="8"/>
  <c r="BJ379" i="8"/>
  <c r="BJ623" i="8"/>
  <c r="BJ294" i="8"/>
  <c r="M618" i="8"/>
  <c r="X50" i="8"/>
  <c r="BJ82" i="8"/>
  <c r="BE666" i="8"/>
  <c r="BF667" i="8"/>
  <c r="BF661" i="8"/>
  <c r="BG667" i="8"/>
  <c r="BG666" i="8"/>
  <c r="BG661" i="8"/>
  <c r="BJ58" i="8"/>
  <c r="AF590" i="8"/>
  <c r="AF487" i="8"/>
  <c r="AF490" i="8"/>
  <c r="AJ490" i="8"/>
  <c r="AJ487" i="8"/>
  <c r="AN486" i="8"/>
  <c r="AJ486" i="8"/>
  <c r="AQ38" i="8"/>
  <c r="BE668" i="8"/>
  <c r="BE121" i="8"/>
  <c r="BF668" i="8"/>
  <c r="BF121" i="8"/>
  <c r="BG121" i="8"/>
  <c r="BG668" i="8"/>
  <c r="BH121" i="8"/>
  <c r="BH122" i="8" s="1"/>
  <c r="BH668" i="8"/>
  <c r="BH84" i="8"/>
  <c r="AU165" i="8"/>
  <c r="AM166" i="8"/>
  <c r="AO617" i="8"/>
  <c r="AS617" i="8" s="1"/>
  <c r="AW617" i="8" s="1"/>
  <c r="AK618" i="8"/>
  <c r="AD382" i="8"/>
  <c r="AD264" i="8"/>
  <c r="BL259" i="8"/>
  <c r="AD261" i="8"/>
  <c r="BN265" i="8"/>
  <c r="AI267" i="8"/>
  <c r="AI271" i="8" s="1"/>
  <c r="AE367" i="8"/>
  <c r="BM259" i="8"/>
  <c r="AH261" i="8"/>
  <c r="AE266" i="8"/>
  <c r="AE267" i="8"/>
  <c r="AB386" i="8"/>
  <c r="AB430" i="8"/>
  <c r="AD385" i="8"/>
  <c r="AD266" i="8"/>
  <c r="AG58" i="8"/>
  <c r="AC84" i="8"/>
  <c r="BM712" i="8"/>
  <c r="BM711" i="8" s="1"/>
  <c r="BM701" i="8"/>
  <c r="BJ112" i="8"/>
  <c r="V110" i="8"/>
  <c r="V9" i="9"/>
  <c r="V208" i="9"/>
  <c r="V178" i="9"/>
  <c r="V176" i="9"/>
  <c r="V177" i="9"/>
  <c r="S45" i="8"/>
  <c r="W46" i="8"/>
  <c r="V604" i="8"/>
  <c r="V606" i="8"/>
  <c r="V607" i="8" s="1"/>
  <c r="V44" i="8"/>
  <c r="V668" i="8"/>
  <c r="V560" i="8"/>
  <c r="V49" i="8"/>
  <c r="Z50" i="8"/>
  <c r="V380" i="8"/>
  <c r="V387" i="8"/>
  <c r="V389" i="8" s="1"/>
  <c r="V666" i="8"/>
  <c r="V354" i="8"/>
  <c r="V350" i="8"/>
  <c r="V357" i="8" s="1"/>
  <c r="V361" i="8"/>
  <c r="U298" i="8"/>
  <c r="U299" i="8"/>
  <c r="U301" i="8"/>
  <c r="U302" i="8" s="1"/>
  <c r="U296" i="8"/>
  <c r="Y296" i="8" s="1"/>
  <c r="Y294" i="8" s="1"/>
  <c r="U295" i="8"/>
  <c r="BJ286" i="8"/>
  <c r="BH661" i="8"/>
  <c r="R617" i="8"/>
  <c r="V618" i="8" s="1"/>
  <c r="V616" i="8"/>
  <c r="BK328" i="8"/>
  <c r="AA328" i="8"/>
  <c r="BL328" i="8" s="1"/>
  <c r="S4" i="9"/>
  <c r="N4" i="9"/>
  <c r="M4" i="9"/>
  <c r="K4" i="9"/>
  <c r="E4" i="9"/>
  <c r="D4" i="9"/>
  <c r="C4" i="9"/>
  <c r="J4" i="9"/>
  <c r="AC641" i="8"/>
  <c r="AC643" i="8" s="1"/>
  <c r="AC635" i="8"/>
  <c r="U656" i="8"/>
  <c r="BP280" i="8"/>
  <c r="BP255" i="8"/>
  <c r="BP249" i="8"/>
  <c r="AN38" i="8"/>
  <c r="AJ412" i="8"/>
  <c r="Z372" i="8"/>
  <c r="Z374" i="8" s="1"/>
  <c r="AF367" i="8"/>
  <c r="AF412" i="8"/>
  <c r="AB11" i="9"/>
  <c r="X42" i="8"/>
  <c r="W590" i="8"/>
  <c r="BJ475" i="8"/>
  <c r="BI15" i="9"/>
  <c r="BO215" i="8"/>
  <c r="BJ105" i="8"/>
  <c r="R594" i="8"/>
  <c r="R597" i="8" s="1"/>
  <c r="V571" i="8"/>
  <c r="V550" i="8"/>
  <c r="L25" i="12"/>
  <c r="BJ15" i="9"/>
  <c r="U667" i="8"/>
  <c r="U666" i="8"/>
  <c r="AC210" i="8"/>
  <c r="BJ637" i="8"/>
  <c r="BJ395" i="8"/>
  <c r="K25" i="12"/>
  <c r="BL364" i="8"/>
  <c r="BL407" i="8"/>
  <c r="BL408" i="8" s="1"/>
  <c r="U86" i="8"/>
  <c r="BJ54" i="8"/>
  <c r="AD210" i="8"/>
  <c r="AC38" i="8"/>
  <c r="BK625" i="8"/>
  <c r="BL15" i="9"/>
  <c r="T656" i="8"/>
  <c r="BJ386" i="8"/>
  <c r="BJ373" i="8"/>
  <c r="Y614" i="8"/>
  <c r="BK408" i="8"/>
  <c r="AC58" i="8"/>
  <c r="AJ46" i="8"/>
  <c r="AJ63" i="8"/>
  <c r="AE210" i="8"/>
  <c r="AA167" i="8"/>
  <c r="AA149" i="8" s="1"/>
  <c r="AA186" i="8" s="1"/>
  <c r="AJ58" i="8"/>
  <c r="AJ631" i="8"/>
  <c r="AJ633" i="8"/>
  <c r="AJ634" i="8" s="1"/>
  <c r="AQ623" i="8"/>
  <c r="AU623" i="8" s="1"/>
  <c r="BO623" i="8"/>
  <c r="T396" i="8"/>
  <c r="T384" i="8"/>
  <c r="S381" i="8"/>
  <c r="S396" i="8"/>
  <c r="O389" i="8"/>
  <c r="I389" i="8"/>
  <c r="BK379" i="8"/>
  <c r="W380" i="8"/>
  <c r="BM538" i="8"/>
  <c r="BM539" i="8" s="1"/>
  <c r="AE539" i="8"/>
  <c r="AE709" i="8"/>
  <c r="BM709" i="8" s="1"/>
  <c r="AE696" i="8"/>
  <c r="AA131" i="8"/>
  <c r="AA90" i="8"/>
  <c r="AA75" i="8"/>
  <c r="AA122" i="8"/>
  <c r="AA71" i="8"/>
  <c r="AA63" i="8"/>
  <c r="AA115" i="8"/>
  <c r="AE205" i="8"/>
  <c r="BM204" i="8"/>
  <c r="BM205" i="8" s="1"/>
  <c r="BJ405" i="8"/>
  <c r="BJ404" i="8" s="1"/>
  <c r="BJ482" i="8"/>
  <c r="X142" i="8"/>
  <c r="Y594" i="8"/>
  <c r="Y590" i="8"/>
  <c r="Z590" i="8"/>
  <c r="Y70" i="9"/>
  <c r="Y71" i="8"/>
  <c r="Y122" i="8"/>
  <c r="Y90" i="8"/>
  <c r="BK57" i="8"/>
  <c r="Y75" i="8"/>
  <c r="Y131" i="8"/>
  <c r="Y115" i="8"/>
  <c r="BK61" i="8"/>
  <c r="Y67" i="8"/>
  <c r="BK36" i="8"/>
  <c r="K6" i="12" s="1"/>
  <c r="BK40" i="8"/>
  <c r="K9" i="12" s="1"/>
  <c r="BK44" i="8"/>
  <c r="Y607" i="8"/>
  <c r="W92" i="8"/>
  <c r="W94" i="8" s="1"/>
  <c r="W218" i="9"/>
  <c r="U48" i="8"/>
  <c r="U538" i="8"/>
  <c r="U539" i="8" s="1"/>
  <c r="Y536" i="8"/>
  <c r="U526" i="8"/>
  <c r="U536" i="8"/>
  <c r="U361" i="8"/>
  <c r="U354" i="8"/>
  <c r="U350" i="8"/>
  <c r="T361" i="8"/>
  <c r="T362" i="8" s="1"/>
  <c r="T354" i="8"/>
  <c r="T350" i="8"/>
  <c r="U672" i="8"/>
  <c r="U397" i="8"/>
  <c r="U176" i="9"/>
  <c r="U177" i="9"/>
  <c r="U178" i="9"/>
  <c r="Q617" i="8"/>
  <c r="U616" i="8"/>
  <c r="R65" i="8"/>
  <c r="R129" i="8"/>
  <c r="R17" i="9" s="1"/>
  <c r="R55" i="9" s="1"/>
  <c r="R53" i="9" s="1"/>
  <c r="R90" i="8"/>
  <c r="Q90" i="8"/>
  <c r="Q65" i="8"/>
  <c r="BH89" i="8"/>
  <c r="O65" i="8"/>
  <c r="O129" i="8"/>
  <c r="K65" i="8"/>
  <c r="K129" i="8"/>
  <c r="BG89" i="8"/>
  <c r="J65" i="8"/>
  <c r="J129" i="8"/>
  <c r="J17" i="9" s="1"/>
  <c r="J55" i="9" s="1"/>
  <c r="J53" i="9" s="1"/>
  <c r="J90" i="8"/>
  <c r="G65" i="8"/>
  <c r="G129" i="8"/>
  <c r="BF89" i="8"/>
  <c r="D65" i="8"/>
  <c r="D90" i="8"/>
  <c r="D129" i="8"/>
  <c r="D17" i="9" s="1"/>
  <c r="D55" i="9" s="1"/>
  <c r="D53" i="9" s="1"/>
  <c r="C129" i="8"/>
  <c r="BE89" i="8"/>
  <c r="C65" i="8"/>
  <c r="T218" i="9"/>
  <c r="T98" i="8"/>
  <c r="R122" i="8"/>
  <c r="O122" i="8"/>
  <c r="Q122" i="8"/>
  <c r="R171" i="9"/>
  <c r="R172" i="9"/>
  <c r="BH667" i="8"/>
  <c r="BH76" i="8"/>
  <c r="BH75" i="8"/>
  <c r="BJ72" i="8"/>
  <c r="BH72" i="8"/>
  <c r="BH666" i="8"/>
  <c r="BH71" i="8"/>
  <c r="BH62" i="8"/>
  <c r="BH63" i="8"/>
  <c r="AU174" i="8"/>
  <c r="BP709" i="8"/>
  <c r="AR19" i="9"/>
  <c r="AK255" i="8"/>
  <c r="AK257" i="8"/>
  <c r="BN65" i="8"/>
  <c r="AN476" i="8"/>
  <c r="BO709" i="8"/>
  <c r="Z380" i="8"/>
  <c r="AE618" i="8"/>
  <c r="BL606" i="8"/>
  <c r="BL607" i="8" s="1"/>
  <c r="AE550" i="8"/>
  <c r="AE476" i="8"/>
  <c r="AM205" i="8"/>
  <c r="Z618" i="8"/>
  <c r="AD476" i="8"/>
  <c r="Y618" i="8"/>
  <c r="AC476" i="8"/>
  <c r="AD462" i="8"/>
  <c r="Z697" i="8"/>
  <c r="Y512" i="8"/>
  <c r="S526" i="8"/>
  <c r="S529" i="8" s="1"/>
  <c r="BF512" i="8"/>
  <c r="BO480" i="8"/>
  <c r="BO481" i="8" s="1"/>
  <c r="AB550" i="8"/>
  <c r="BJ347" i="8"/>
  <c r="BJ6" i="8"/>
  <c r="BJ591" i="8"/>
  <c r="U594" i="8"/>
  <c r="V594" i="8"/>
  <c r="BM76" i="8"/>
  <c r="AG562" i="8"/>
  <c r="BJ613" i="8"/>
  <c r="Y205" i="8"/>
  <c r="BN208" i="8"/>
  <c r="AD38" i="8"/>
  <c r="AJ562" i="8"/>
  <c r="AJ546" i="8"/>
  <c r="AJ566" i="8"/>
  <c r="BM48" i="8"/>
  <c r="BN495" i="8"/>
  <c r="BN485" i="8"/>
  <c r="BN487" i="8" s="1"/>
  <c r="AE105" i="8"/>
  <c r="AJ527" i="8"/>
  <c r="AH46" i="8"/>
  <c r="AL67" i="8"/>
  <c r="N52" i="12"/>
  <c r="BN592" i="8"/>
  <c r="AK590" i="8"/>
  <c r="AJ372" i="8"/>
  <c r="BN524" i="8"/>
  <c r="AN210" i="8"/>
  <c r="AR210" i="8"/>
  <c r="AI487" i="8"/>
  <c r="AI486" i="8"/>
  <c r="AI490" i="8"/>
  <c r="AE487" i="8"/>
  <c r="AE490" i="8"/>
  <c r="AE486" i="8"/>
  <c r="X490" i="8"/>
  <c r="X487" i="8"/>
  <c r="W490" i="8"/>
  <c r="AK224" i="8"/>
  <c r="AK220" i="8"/>
  <c r="AK221" i="8"/>
  <c r="AG224" i="8"/>
  <c r="AG221" i="8"/>
  <c r="W220" i="8"/>
  <c r="W224" i="8"/>
  <c r="W221" i="8"/>
  <c r="BJ84" i="8"/>
  <c r="AL42" i="8"/>
  <c r="BN40" i="8"/>
  <c r="AH165" i="8"/>
  <c r="AT475" i="8"/>
  <c r="BP214" i="8"/>
  <c r="BP215" i="8" s="1"/>
  <c r="BL102" i="8"/>
  <c r="BK105" i="8"/>
  <c r="BL100" i="8"/>
  <c r="AE102" i="8"/>
  <c r="AF102" i="8"/>
  <c r="AG101" i="8"/>
  <c r="AK101" i="8"/>
  <c r="AJ102" i="8"/>
  <c r="T386" i="8"/>
  <c r="T381" i="8"/>
  <c r="BK261" i="8"/>
  <c r="X385" i="8"/>
  <c r="X266" i="8"/>
  <c r="X267" i="8"/>
  <c r="W266" i="8"/>
  <c r="X413" i="8"/>
  <c r="X367" i="8"/>
  <c r="AG383" i="8"/>
  <c r="AF385" i="8"/>
  <c r="AF266" i="8"/>
  <c r="AF267" i="8"/>
  <c r="AQ382" i="8"/>
  <c r="AU382" i="8" s="1"/>
  <c r="BF386" i="8"/>
  <c r="Y386" i="8"/>
  <c r="Y430" i="8"/>
  <c r="AQ427" i="8"/>
  <c r="W271" i="8"/>
  <c r="BO263" i="8"/>
  <c r="BN263" i="8"/>
  <c r="AI459" i="8"/>
  <c r="BN458" i="8"/>
  <c r="BN459" i="8" s="1"/>
  <c r="AI142" i="8"/>
  <c r="AK38" i="8"/>
  <c r="BM36" i="8"/>
  <c r="AG563" i="8"/>
  <c r="AG565" i="8"/>
  <c r="AF459" i="8"/>
  <c r="BM458" i="8"/>
  <c r="BM459" i="8" s="1"/>
  <c r="AE290" i="8"/>
  <c r="AE288" i="8" s="1"/>
  <c r="AE142" i="8"/>
  <c r="BM141" i="8"/>
  <c r="BM142" i="8" s="1"/>
  <c r="AI290" i="8"/>
  <c r="AQ407" i="8"/>
  <c r="AU407" i="8" s="1"/>
  <c r="BO407" i="8"/>
  <c r="AH42" i="8"/>
  <c r="AD42" i="8"/>
  <c r="AH618" i="8"/>
  <c r="AD618" i="8"/>
  <c r="AG46" i="8"/>
  <c r="AC46" i="8"/>
  <c r="AG63" i="8"/>
  <c r="AC59" i="8"/>
  <c r="AC7" i="9" s="1"/>
  <c r="AC62" i="8"/>
  <c r="AC63" i="8"/>
  <c r="AG618" i="8"/>
  <c r="AC618" i="8"/>
  <c r="AG550" i="8"/>
  <c r="AC550" i="8"/>
  <c r="AC96" i="8"/>
  <c r="AC98" i="8" s="1"/>
  <c r="AB92" i="8"/>
  <c r="AB94" i="8" s="1"/>
  <c r="AB49" i="8"/>
  <c r="BL48" i="8"/>
  <c r="AF46" i="8"/>
  <c r="AB46" i="8"/>
  <c r="AB45" i="8"/>
  <c r="BL40" i="8"/>
  <c r="AB33" i="8"/>
  <c r="AB37" i="8"/>
  <c r="AB38" i="8"/>
  <c r="AF38" i="8"/>
  <c r="BL36" i="8"/>
  <c r="AB66" i="8"/>
  <c r="AF67" i="8"/>
  <c r="AB62" i="8"/>
  <c r="AB59" i="8"/>
  <c r="AB8" i="9"/>
  <c r="AF63" i="8"/>
  <c r="AB5" i="9"/>
  <c r="AF58" i="8"/>
  <c r="E6" i="17"/>
  <c r="E9" i="17" s="1"/>
  <c r="AB54" i="8"/>
  <c r="AB75" i="8"/>
  <c r="AB71" i="8"/>
  <c r="AB539" i="8"/>
  <c r="BL538" i="8"/>
  <c r="BL539" i="8" s="1"/>
  <c r="AF476" i="8"/>
  <c r="AB476" i="8"/>
  <c r="AB459" i="8"/>
  <c r="BL458" i="8"/>
  <c r="BL459" i="8" s="1"/>
  <c r="AB142" i="8"/>
  <c r="BL141" i="8"/>
  <c r="BL142" i="8" s="1"/>
  <c r="AB697" i="8"/>
  <c r="AB3" i="9"/>
  <c r="V65" i="8"/>
  <c r="V90" i="8"/>
  <c r="V129" i="8"/>
  <c r="V496" i="8"/>
  <c r="V672" i="8"/>
  <c r="U219" i="8"/>
  <c r="BJ217" i="8"/>
  <c r="V461" i="8"/>
  <c r="BJ461" i="8" s="1"/>
  <c r="V465" i="8"/>
  <c r="AF294" i="8"/>
  <c r="AJ285" i="8"/>
  <c r="AF323" i="8"/>
  <c r="AG323" i="8"/>
  <c r="AW15" i="9"/>
  <c r="W538" i="8"/>
  <c r="W526" i="8"/>
  <c r="BK535" i="8"/>
  <c r="BL536" i="8" s="1"/>
  <c r="AA536" i="8"/>
  <c r="W115" i="8"/>
  <c r="W66" i="8"/>
  <c r="AA68" i="8" s="1"/>
  <c r="BJ75" i="8"/>
  <c r="BJ76" i="8"/>
  <c r="BK76" i="8"/>
  <c r="V639" i="8"/>
  <c r="V638" i="8"/>
  <c r="V628" i="8"/>
  <c r="V627" i="8"/>
  <c r="BJ626" i="8"/>
  <c r="V621" i="8"/>
  <c r="V629" i="8"/>
  <c r="BJ620" i="8"/>
  <c r="BJ603" i="8"/>
  <c r="W604" i="8"/>
  <c r="BJ558" i="8"/>
  <c r="V559" i="8"/>
  <c r="Z559" i="8"/>
  <c r="V554" i="8"/>
  <c r="V561" i="8"/>
  <c r="Z553" i="8"/>
  <c r="V553" i="8"/>
  <c r="BJ552" i="8"/>
  <c r="V376" i="8"/>
  <c r="V375" i="8"/>
  <c r="Z347" i="8"/>
  <c r="V348" i="8"/>
  <c r="W339" i="8"/>
  <c r="X340" i="8"/>
  <c r="V312" i="8"/>
  <c r="V311" i="8"/>
  <c r="Z297" i="8"/>
  <c r="V299" i="8"/>
  <c r="V301" i="8"/>
  <c r="W290" i="8"/>
  <c r="X292" i="8"/>
  <c r="AN492" i="8"/>
  <c r="AN498" i="8"/>
  <c r="AV292" i="8"/>
  <c r="U387" i="8"/>
  <c r="U380" i="8"/>
  <c r="S89" i="8"/>
  <c r="BJ569" i="8"/>
  <c r="BJ310" i="8"/>
  <c r="BJ311" i="8" s="1"/>
  <c r="BJ545" i="8"/>
  <c r="W546" i="8"/>
  <c r="BJ290" i="8"/>
  <c r="T292" i="8"/>
  <c r="BK330" i="8"/>
  <c r="AA330" i="8"/>
  <c r="BL330" i="8" s="1"/>
  <c r="BK329" i="8"/>
  <c r="AA329" i="8"/>
  <c r="BL329" i="8" s="1"/>
  <c r="AP555" i="8"/>
  <c r="BN555" i="8"/>
  <c r="BN556" i="8" s="1"/>
  <c r="AA327" i="8"/>
  <c r="BL327" i="8" s="1"/>
  <c r="BK327" i="8"/>
  <c r="X33" i="8"/>
  <c r="BK48" i="8"/>
  <c r="X8" i="8"/>
  <c r="AO413" i="8"/>
  <c r="AO431" i="8" s="1"/>
  <c r="AS407" i="8"/>
  <c r="AK364" i="8"/>
  <c r="AG261" i="8"/>
  <c r="AK261" i="8" s="1"/>
  <c r="AG264" i="8"/>
  <c r="N122" i="8"/>
  <c r="BJ59" i="8"/>
  <c r="S7" i="9"/>
  <c r="G172" i="9"/>
  <c r="G171" i="9"/>
  <c r="D171" i="9"/>
  <c r="BD7" i="9"/>
  <c r="F171" i="9"/>
  <c r="F172" i="9"/>
  <c r="D172" i="9"/>
  <c r="E172" i="9"/>
  <c r="E171" i="9"/>
  <c r="M171" i="9"/>
  <c r="M172" i="9"/>
  <c r="L171" i="9"/>
  <c r="L172" i="9"/>
  <c r="BJ63" i="8"/>
  <c r="AT623" i="8"/>
  <c r="BC623" i="8" s="1"/>
  <c r="BJ661" i="8"/>
  <c r="BK365" i="8"/>
  <c r="AW539" i="8"/>
  <c r="AF630" i="8"/>
  <c r="AB630" i="8"/>
  <c r="AB633" i="8"/>
  <c r="BM407" i="8"/>
  <c r="BN407" i="8"/>
  <c r="AR15" i="9"/>
  <c r="AO197" i="8"/>
  <c r="BO37" i="10"/>
  <c r="BO43" i="10" s="1"/>
  <c r="BO35" i="10"/>
  <c r="BO41" i="10" s="1"/>
  <c r="BO34" i="10"/>
  <c r="BO40" i="10" s="1"/>
  <c r="BO33" i="10"/>
  <c r="BO39" i="10" s="1"/>
  <c r="J4" i="12"/>
  <c r="P606" i="8"/>
  <c r="P607" i="8" s="1"/>
  <c r="P594" i="8"/>
  <c r="P597" i="8" s="1"/>
  <c r="P600" i="8" s="1"/>
  <c r="O606" i="8"/>
  <c r="BH603" i="8"/>
  <c r="O594" i="8"/>
  <c r="O597" i="8" s="1"/>
  <c r="O600" i="8" s="1"/>
  <c r="S48" i="8"/>
  <c r="S33" i="8" s="1"/>
  <c r="S538" i="8"/>
  <c r="S539" i="8" s="1"/>
  <c r="U44" i="8"/>
  <c r="U604" i="8"/>
  <c r="U606" i="8"/>
  <c r="R604" i="8"/>
  <c r="R606" i="8"/>
  <c r="R607" i="8" s="1"/>
  <c r="Q606" i="8"/>
  <c r="Q607" i="8" s="1"/>
  <c r="Q604" i="8"/>
  <c r="N606" i="8"/>
  <c r="N607" i="8" s="1"/>
  <c r="N594" i="8"/>
  <c r="M606" i="8"/>
  <c r="M594" i="8"/>
  <c r="V538" i="8"/>
  <c r="V539" i="8" s="1"/>
  <c r="V536" i="8"/>
  <c r="V526" i="8"/>
  <c r="V529" i="8" s="1"/>
  <c r="Z536" i="8"/>
  <c r="T538" i="8"/>
  <c r="BJ535" i="8"/>
  <c r="T536" i="8"/>
  <c r="T526" i="8"/>
  <c r="R538" i="8"/>
  <c r="R539" i="8" s="1"/>
  <c r="R526" i="8"/>
  <c r="R529" i="8" s="1"/>
  <c r="R536" i="8"/>
  <c r="Q538" i="8"/>
  <c r="Q539" i="8" s="1"/>
  <c r="Q526" i="8"/>
  <c r="Q529" i="8" s="1"/>
  <c r="Q536" i="8"/>
  <c r="P538" i="8"/>
  <c r="P539" i="8" s="1"/>
  <c r="P526" i="8"/>
  <c r="P529" i="8" s="1"/>
  <c r="P536" i="8"/>
  <c r="O538" i="8"/>
  <c r="S536" i="8"/>
  <c r="O526" i="8"/>
  <c r="O529" i="8" s="1"/>
  <c r="O536" i="8"/>
  <c r="N526" i="8"/>
  <c r="N529" i="8" s="1"/>
  <c r="N538" i="8"/>
  <c r="N539" i="8" s="1"/>
  <c r="N536" i="8"/>
  <c r="M526" i="8"/>
  <c r="M529" i="8" s="1"/>
  <c r="M538" i="8"/>
  <c r="M539" i="8" s="1"/>
  <c r="M536" i="8"/>
  <c r="L536" i="8"/>
  <c r="L538" i="8"/>
  <c r="L539" i="8" s="1"/>
  <c r="L526" i="8"/>
  <c r="L529" i="8" s="1"/>
  <c r="K536" i="8"/>
  <c r="K538" i="8"/>
  <c r="BG535" i="8"/>
  <c r="K526" i="8"/>
  <c r="K529" i="8" s="1"/>
  <c r="J538" i="8"/>
  <c r="J539" i="8" s="1"/>
  <c r="J536" i="8"/>
  <c r="J526" i="8"/>
  <c r="J529" i="8" s="1"/>
  <c r="I538" i="8"/>
  <c r="I539" i="8" s="1"/>
  <c r="I536" i="8"/>
  <c r="I526" i="8"/>
  <c r="I529" i="8" s="1"/>
  <c r="H536" i="8"/>
  <c r="H538" i="8"/>
  <c r="H539" i="8" s="1"/>
  <c r="H526" i="8"/>
  <c r="H529" i="8" s="1"/>
  <c r="G536" i="8"/>
  <c r="G538" i="8"/>
  <c r="G526" i="8"/>
  <c r="G529" i="8" s="1"/>
  <c r="F526" i="8"/>
  <c r="F529" i="8" s="1"/>
  <c r="F538" i="8"/>
  <c r="F539" i="8" s="1"/>
  <c r="E538" i="8"/>
  <c r="E539" i="8" s="1"/>
  <c r="E526" i="8"/>
  <c r="E529" i="8" s="1"/>
  <c r="D538" i="8"/>
  <c r="D539" i="8" s="1"/>
  <c r="D526" i="8"/>
  <c r="D529" i="8" s="1"/>
  <c r="C538" i="8"/>
  <c r="BE535" i="8"/>
  <c r="BE526" i="8" s="1"/>
  <c r="C526" i="8"/>
  <c r="C529" i="8" s="1"/>
  <c r="S361" i="8"/>
  <c r="S354" i="8"/>
  <c r="S350" i="8"/>
  <c r="R350" i="8"/>
  <c r="R357" i="8" s="1"/>
  <c r="R359" i="8" s="1"/>
  <c r="R361" i="8"/>
  <c r="R354" i="8"/>
  <c r="Q350" i="8"/>
  <c r="Q357" i="8" s="1"/>
  <c r="Q361" i="8"/>
  <c r="Q354" i="8"/>
  <c r="P350" i="8"/>
  <c r="P361" i="8"/>
  <c r="P354" i="8"/>
  <c r="BH358" i="8"/>
  <c r="BH350" i="8" s="1"/>
  <c r="O350" i="8"/>
  <c r="O354" i="8"/>
  <c r="O361" i="8"/>
  <c r="N354" i="8"/>
  <c r="N361" i="8"/>
  <c r="N350" i="8"/>
  <c r="M350" i="8"/>
  <c r="M354" i="8"/>
  <c r="M361" i="8"/>
  <c r="L350" i="8"/>
  <c r="L361" i="8"/>
  <c r="L354" i="8"/>
  <c r="K354" i="8"/>
  <c r="K361" i="8"/>
  <c r="K350" i="8"/>
  <c r="BG358" i="8"/>
  <c r="BG350" i="8" s="1"/>
  <c r="J354" i="8"/>
  <c r="J361" i="8"/>
  <c r="J350" i="8"/>
  <c r="I354" i="8"/>
  <c r="I361" i="8"/>
  <c r="I350" i="8"/>
  <c r="H354" i="8"/>
  <c r="H350" i="8"/>
  <c r="H361" i="8"/>
  <c r="G354" i="8"/>
  <c r="G350" i="8"/>
  <c r="BF358" i="8"/>
  <c r="BF350" i="8" s="1"/>
  <c r="G361" i="8"/>
  <c r="F350" i="8"/>
  <c r="F357" i="8" s="1"/>
  <c r="F359" i="8" s="1"/>
  <c r="F354" i="8"/>
  <c r="F361" i="8"/>
  <c r="E354" i="8"/>
  <c r="E361" i="8"/>
  <c r="E350" i="8"/>
  <c r="E357" i="8" s="1"/>
  <c r="E359" i="8" s="1"/>
  <c r="D354" i="8"/>
  <c r="D350" i="8"/>
  <c r="D357" i="8" s="1"/>
  <c r="D359" i="8" s="1"/>
  <c r="D361" i="8"/>
  <c r="C350" i="8"/>
  <c r="C357" i="8" s="1"/>
  <c r="BE358" i="8"/>
  <c r="BE350" i="8" s="1"/>
  <c r="C354" i="8"/>
  <c r="C361" i="8"/>
  <c r="BH656" i="8"/>
  <c r="D12" i="20"/>
  <c r="AN228" i="16"/>
  <c r="AN219" i="16"/>
  <c r="AN214" i="16"/>
  <c r="AN216" i="16"/>
  <c r="AN215" i="16"/>
  <c r="AN217" i="16"/>
  <c r="S212" i="16"/>
  <c r="S221" i="16" s="1"/>
  <c r="AO217" i="16"/>
  <c r="BP36" i="10"/>
  <c r="BO42" i="10"/>
  <c r="BI53" i="10"/>
  <c r="AP179" i="16"/>
  <c r="G259" i="16"/>
  <c r="S55" i="20"/>
  <c r="S61" i="20"/>
  <c r="R61" i="20"/>
  <c r="R55" i="20"/>
  <c r="P231" i="16"/>
  <c r="P233" i="16"/>
  <c r="S188" i="16"/>
  <c r="AP217" i="16"/>
  <c r="R12" i="20"/>
  <c r="AO12" i="20"/>
  <c r="AN12" i="20"/>
  <c r="AP12" i="20"/>
  <c r="BK461" i="8"/>
  <c r="BL462" i="8" s="1"/>
  <c r="G20" i="10"/>
  <c r="H19" i="10"/>
  <c r="Y511" i="8"/>
  <c r="X532" i="8"/>
  <c r="AB533" i="8" s="1"/>
  <c r="AB512" i="8"/>
  <c r="BI47" i="10"/>
  <c r="BK510" i="8" s="1"/>
  <c r="W510" i="8"/>
  <c r="V511" i="8"/>
  <c r="Z512" i="8"/>
  <c r="K132" i="16"/>
  <c r="K195" i="8"/>
  <c r="G132" i="16"/>
  <c r="G195" i="8"/>
  <c r="S109" i="16"/>
  <c r="AN108" i="16"/>
  <c r="V198" i="16"/>
  <c r="V199" i="16" s="1"/>
  <c r="V196" i="16"/>
  <c r="V192" i="16"/>
  <c r="V193" i="16" s="1"/>
  <c r="V112" i="16"/>
  <c r="AN111" i="16"/>
  <c r="AN112" i="16" s="1"/>
  <c r="V206" i="16"/>
  <c r="AN204" i="16"/>
  <c r="AE52" i="10"/>
  <c r="AF49" i="10"/>
  <c r="AF50" i="10" s="1"/>
  <c r="AH462" i="8"/>
  <c r="BM461" i="8"/>
  <c r="BM462" i="8" s="1"/>
  <c r="AQ31" i="20"/>
  <c r="X462" i="8"/>
  <c r="AN195" i="16"/>
  <c r="AN178" i="16"/>
  <c r="AC462" i="8"/>
  <c r="Q55" i="20"/>
  <c r="Q61" i="20"/>
  <c r="P61" i="20"/>
  <c r="P55" i="20"/>
  <c r="L132" i="16"/>
  <c r="L133" i="16" s="1"/>
  <c r="L195" i="8"/>
  <c r="J132" i="16"/>
  <c r="J195" i="8"/>
  <c r="I132" i="16"/>
  <c r="I195" i="8"/>
  <c r="H132" i="16"/>
  <c r="H195" i="8"/>
  <c r="T132" i="16"/>
  <c r="T195" i="8"/>
  <c r="U132" i="16"/>
  <c r="U195" i="8"/>
  <c r="V212" i="16"/>
  <c r="AN210" i="16"/>
  <c r="V262" i="16"/>
  <c r="V181" i="16"/>
  <c r="AQ12" i="20"/>
  <c r="AG462" i="8"/>
  <c r="V199" i="8"/>
  <c r="M118" i="16"/>
  <c r="V221" i="16"/>
  <c r="AN261" i="16"/>
  <c r="AN262" i="16" s="1"/>
  <c r="AN263" i="16" s="1"/>
  <c r="AN179" i="16"/>
  <c r="AN183" i="16"/>
  <c r="AN201" i="16"/>
  <c r="AN258" i="16"/>
  <c r="AN259" i="16" s="1"/>
  <c r="AN260" i="16" s="1"/>
  <c r="AN189" i="16"/>
  <c r="AN223" i="16"/>
  <c r="AN180" i="16"/>
  <c r="AN181" i="16" s="1"/>
  <c r="AN185" i="16"/>
  <c r="AN186" i="16" s="1"/>
  <c r="AO186" i="16" s="1"/>
  <c r="T186" i="16"/>
  <c r="T188" i="16" s="1"/>
  <c r="U231" i="16"/>
  <c r="U233" i="16"/>
  <c r="Y231" i="16"/>
  <c r="BK197" i="8"/>
  <c r="X712" i="8"/>
  <c r="X711" i="8" s="1"/>
  <c r="BH53" i="10"/>
  <c r="T512" i="8"/>
  <c r="T532" i="8"/>
  <c r="T511" i="8"/>
  <c r="S532" i="8"/>
  <c r="S512" i="8"/>
  <c r="S511" i="8"/>
  <c r="R532" i="8"/>
  <c r="R512" i="8"/>
  <c r="R511" i="8"/>
  <c r="Q532" i="8"/>
  <c r="Q511" i="8"/>
  <c r="Q512" i="8"/>
  <c r="P532" i="8"/>
  <c r="P512" i="8"/>
  <c r="P511" i="8"/>
  <c r="N532" i="8"/>
  <c r="N511" i="8"/>
  <c r="N512" i="8"/>
  <c r="M532" i="8"/>
  <c r="M511" i="8"/>
  <c r="M512" i="8"/>
  <c r="L532" i="8"/>
  <c r="L511" i="8"/>
  <c r="L512" i="8"/>
  <c r="K532" i="8"/>
  <c r="K511" i="8"/>
  <c r="K512" i="8"/>
  <c r="J532" i="8"/>
  <c r="J533" i="8" s="1"/>
  <c r="J511" i="8"/>
  <c r="I511" i="8"/>
  <c r="I532" i="8"/>
  <c r="I533" i="8" s="1"/>
  <c r="H511" i="8"/>
  <c r="H532" i="8"/>
  <c r="H533" i="8" s="1"/>
  <c r="G532" i="8"/>
  <c r="BI41" i="10"/>
  <c r="W199" i="8"/>
  <c r="BK199" i="8" s="1"/>
  <c r="AN132" i="16"/>
  <c r="S133" i="16"/>
  <c r="W132" i="16"/>
  <c r="P195" i="8"/>
  <c r="P132" i="16"/>
  <c r="O133" i="16"/>
  <c r="AL132" i="16"/>
  <c r="K133" i="16"/>
  <c r="T133" i="16"/>
  <c r="X132" i="16"/>
  <c r="Z132" i="16"/>
  <c r="V133" i="16"/>
  <c r="Y132" i="16"/>
  <c r="U133" i="16"/>
  <c r="BI43" i="10"/>
  <c r="W195" i="8"/>
  <c r="BK195" i="8" s="1"/>
  <c r="O532" i="8"/>
  <c r="O512" i="8"/>
  <c r="O511" i="8"/>
  <c r="V233" i="16"/>
  <c r="Z231" i="16"/>
  <c r="V231" i="16"/>
  <c r="V202" i="16"/>
  <c r="V207" i="16"/>
  <c r="V259" i="16"/>
  <c r="AN198" i="16"/>
  <c r="AN199" i="16" s="1"/>
  <c r="AN202" i="16"/>
  <c r="AN212" i="16"/>
  <c r="AN221" i="16" s="1"/>
  <c r="AN206" i="16"/>
  <c r="AN207" i="16" s="1"/>
  <c r="U532" i="8"/>
  <c r="V532" i="8"/>
  <c r="AD512" i="8"/>
  <c r="Z532" i="8"/>
  <c r="AD533" i="8" s="1"/>
  <c r="Z529" i="8"/>
  <c r="AA511" i="8"/>
  <c r="AL185" i="16"/>
  <c r="AL186" i="16" s="1"/>
  <c r="L186" i="16"/>
  <c r="P188" i="16" s="1"/>
  <c r="R188" i="16"/>
  <c r="V188" i="16"/>
  <c r="H233" i="16"/>
  <c r="L231" i="16"/>
  <c r="Q231" i="16"/>
  <c r="M233" i="16"/>
  <c r="M231" i="16"/>
  <c r="O231" i="16"/>
  <c r="O233" i="16"/>
  <c r="N233" i="16"/>
  <c r="N231" i="16"/>
  <c r="R231" i="16"/>
  <c r="X231" i="16"/>
  <c r="T233" i="16"/>
  <c r="T231" i="16"/>
  <c r="AP186" i="16"/>
  <c r="AL231" i="16"/>
  <c r="AK233" i="16"/>
  <c r="G233" i="16"/>
  <c r="K231" i="16"/>
  <c r="AM231" i="16"/>
  <c r="AM233" i="16"/>
  <c r="AN196" i="16"/>
  <c r="AN192" i="16"/>
  <c r="AN193" i="16" s="1"/>
  <c r="R133" i="16"/>
  <c r="Q133" i="16"/>
  <c r="N133" i="16"/>
  <c r="M133" i="16"/>
  <c r="BH512" i="8"/>
  <c r="BG512" i="8"/>
  <c r="V118" i="16"/>
  <c r="Q188" i="16"/>
  <c r="AV99" i="9"/>
  <c r="AV156" i="9" s="1"/>
  <c r="AU79" i="9"/>
  <c r="AU287" i="9"/>
  <c r="AU288" i="9" s="1"/>
  <c r="AV108" i="9"/>
  <c r="AW110" i="9"/>
  <c r="AE597" i="8"/>
  <c r="AE600" i="8" s="1"/>
  <c r="BR711" i="8"/>
  <c r="BS352" i="9"/>
  <c r="BS354" i="9" s="1"/>
  <c r="BS696" i="8"/>
  <c r="BR696" i="8"/>
  <c r="AV227" i="16"/>
  <c r="AV219" i="16"/>
  <c r="AV216" i="16"/>
  <c r="BP15" i="10"/>
  <c r="BR335" i="8" s="1"/>
  <c r="BR701" i="8"/>
  <c r="AV210" i="16"/>
  <c r="AV228" i="16"/>
  <c r="AV204" i="16"/>
  <c r="AV214" i="16"/>
  <c r="AV179" i="16"/>
  <c r="AV215" i="16"/>
  <c r="AU227" i="16"/>
  <c r="AU214" i="16"/>
  <c r="AU204" i="16"/>
  <c r="BO15" i="10"/>
  <c r="BQ335" i="8" s="1"/>
  <c r="AT228" i="16"/>
  <c r="AT219" i="16"/>
  <c r="AT204" i="16"/>
  <c r="AN195" i="8"/>
  <c r="AR302" i="9"/>
  <c r="AR303" i="9"/>
  <c r="T115" i="9"/>
  <c r="S115" i="9"/>
  <c r="R115" i="9"/>
  <c r="Q115" i="9"/>
  <c r="P115" i="9"/>
  <c r="O115" i="9"/>
  <c r="N115" i="9"/>
  <c r="M115" i="9"/>
  <c r="L115" i="9"/>
  <c r="K115" i="9"/>
  <c r="J115" i="9"/>
  <c r="I115" i="9"/>
  <c r="H115" i="9"/>
  <c r="G115" i="9"/>
  <c r="F115" i="9"/>
  <c r="BD115" i="9" s="1"/>
  <c r="E115" i="9"/>
  <c r="D115" i="9"/>
  <c r="BJ162" i="9"/>
  <c r="BK162" i="9"/>
  <c r="BL162" i="9"/>
  <c r="AR193" i="9"/>
  <c r="S299" i="9"/>
  <c r="E142" i="9"/>
  <c r="D142" i="9"/>
  <c r="N174" i="9"/>
  <c r="C174" i="9"/>
  <c r="O174" i="9"/>
  <c r="E174" i="9"/>
  <c r="Z289" i="9"/>
  <c r="U71" i="9"/>
  <c r="BK233" i="9"/>
  <c r="BK75" i="9" s="1"/>
  <c r="BI233" i="9"/>
  <c r="BI75" i="9" s="1"/>
  <c r="BH209" i="9"/>
  <c r="BI147" i="9"/>
  <c r="AK280" i="9"/>
  <c r="AK27" i="9" s="1"/>
  <c r="AK79" i="9"/>
  <c r="AJ108" i="9"/>
  <c r="X317" i="9"/>
  <c r="X316" i="9" s="1"/>
  <c r="Y319" i="9"/>
  <c r="BK164" i="9"/>
  <c r="BK366" i="9"/>
  <c r="BK367" i="9" s="1"/>
  <c r="BN113" i="8"/>
  <c r="AI110" i="8"/>
  <c r="W317" i="9"/>
  <c r="W316" i="9" s="1"/>
  <c r="O299" i="9"/>
  <c r="BI367" i="9"/>
  <c r="AG289" i="9"/>
  <c r="AJ289" i="9"/>
  <c r="AJ293" i="9" s="1"/>
  <c r="AJ295" i="9" s="1"/>
  <c r="X64" i="9"/>
  <c r="BJ233" i="9"/>
  <c r="BJ75" i="9" s="1"/>
  <c r="AK289" i="9"/>
  <c r="AK293" i="9" s="1"/>
  <c r="AL307" i="9"/>
  <c r="AI108" i="9"/>
  <c r="AJ79" i="9"/>
  <c r="AN289" i="9"/>
  <c r="AN293" i="9" s="1"/>
  <c r="AO289" i="9"/>
  <c r="AO293" i="9" s="1"/>
  <c r="AO295" i="9" s="1"/>
  <c r="BM287" i="9"/>
  <c r="BM288" i="9" s="1"/>
  <c r="G142" i="9"/>
  <c r="F142" i="9"/>
  <c r="C142" i="9"/>
  <c r="H142" i="9"/>
  <c r="I142" i="9"/>
  <c r="R342" i="9"/>
  <c r="BG342" i="9" s="1"/>
  <c r="BG340" i="9"/>
  <c r="Y289" i="9"/>
  <c r="X289" i="9"/>
  <c r="X293" i="9" s="1"/>
  <c r="X295" i="9" s="1"/>
  <c r="P289" i="9"/>
  <c r="P293" i="9" s="1"/>
  <c r="P295" i="9" s="1"/>
  <c r="O289" i="9"/>
  <c r="O293" i="9" s="1"/>
  <c r="O295" i="9" s="1"/>
  <c r="J289" i="9"/>
  <c r="K289" i="9"/>
  <c r="K293" i="9" s="1"/>
  <c r="K295" i="9" s="1"/>
  <c r="H289" i="9"/>
  <c r="I289" i="9"/>
  <c r="U280" i="9"/>
  <c r="M292" i="9"/>
  <c r="M280" i="9"/>
  <c r="M279" i="9" s="1"/>
  <c r="Q280" i="9"/>
  <c r="Q279" i="9" s="1"/>
  <c r="BG300" i="9"/>
  <c r="R300" i="9"/>
  <c r="V75" i="9"/>
  <c r="BD302" i="9"/>
  <c r="BD76" i="9"/>
  <c r="BG284" i="9"/>
  <c r="BH81" i="9"/>
  <c r="AN285" i="9"/>
  <c r="AO282" i="9"/>
  <c r="BH322" i="9"/>
  <c r="AN69" i="9"/>
  <c r="M71" i="9"/>
  <c r="C71" i="9"/>
  <c r="BL233" i="9"/>
  <c r="BL75" i="9" s="1"/>
  <c r="BJ329" i="9"/>
  <c r="BE164" i="9"/>
  <c r="BL81" i="9"/>
  <c r="W64" i="9"/>
  <c r="W165" i="9"/>
  <c r="W159" i="9" s="1"/>
  <c r="BI162" i="9"/>
  <c r="AN115" i="9"/>
  <c r="AN143" i="9" s="1"/>
  <c r="AO115" i="9"/>
  <c r="AO143" i="9" s="1"/>
  <c r="U316" i="9"/>
  <c r="S159" i="9"/>
  <c r="BH292" i="9"/>
  <c r="S279" i="9"/>
  <c r="O279" i="9"/>
  <c r="BL77" i="9"/>
  <c r="E71" i="9"/>
  <c r="AD280" i="9"/>
  <c r="AB115" i="9"/>
  <c r="BH77" i="9"/>
  <c r="BH3" i="9"/>
  <c r="AK53" i="9"/>
  <c r="P71" i="9"/>
  <c r="H71" i="9"/>
  <c r="W153" i="9"/>
  <c r="BH8" i="9"/>
  <c r="AK300" i="9"/>
  <c r="AJ300" i="9"/>
  <c r="AJ28" i="9" s="1"/>
  <c r="AJ53" i="9"/>
  <c r="I71" i="9"/>
  <c r="AN64" i="9"/>
  <c r="G71" i="9"/>
  <c r="BK329" i="9"/>
  <c r="BH15" i="9"/>
  <c r="BL209" i="9"/>
  <c r="AG64" i="9"/>
  <c r="Q71" i="9"/>
  <c r="K71" i="9"/>
  <c r="D71" i="9"/>
  <c r="BD164" i="9"/>
  <c r="BH5" i="9"/>
  <c r="AK11" i="9"/>
  <c r="AM64" i="9"/>
  <c r="AM11" i="9"/>
  <c r="L71" i="9"/>
  <c r="F71" i="9"/>
  <c r="BH13" i="9"/>
  <c r="AO188" i="9"/>
  <c r="BL76" i="9"/>
  <c r="BL17" i="9"/>
  <c r="BL55" i="9" s="1"/>
  <c r="AC300" i="9"/>
  <c r="AC28" i="9" s="1"/>
  <c r="Y292" i="9"/>
  <c r="Y193" i="9"/>
  <c r="X193" i="9"/>
  <c r="AB285" i="9"/>
  <c r="AC282" i="9"/>
  <c r="AF98" i="8"/>
  <c r="AF105" i="8"/>
  <c r="N31" i="12"/>
  <c r="BM70" i="9"/>
  <c r="O30" i="12"/>
  <c r="AS289" i="9"/>
  <c r="AS293" i="9" s="1"/>
  <c r="AS295" i="9" s="1"/>
  <c r="BD214" i="9"/>
  <c r="AJ11" i="9"/>
  <c r="AP304" i="9"/>
  <c r="AL53" i="9"/>
  <c r="BL13" i="9"/>
  <c r="BL19" i="9"/>
  <c r="AO71" i="9"/>
  <c r="AO69" i="9"/>
  <c r="AP69" i="9"/>
  <c r="AP64" i="9"/>
  <c r="AO64" i="9"/>
  <c r="AO65" i="9"/>
  <c r="AP65" i="9"/>
  <c r="AN65" i="9"/>
  <c r="AN98" i="8"/>
  <c r="AM105" i="8"/>
  <c r="AN79" i="9"/>
  <c r="AM79" i="9"/>
  <c r="AM293" i="9"/>
  <c r="AM295" i="9" s="1"/>
  <c r="AL289" i="9"/>
  <c r="AL293" i="9" s="1"/>
  <c r="AL75" i="9"/>
  <c r="AL97" i="9"/>
  <c r="BL100" i="9"/>
  <c r="AM189" i="9"/>
  <c r="AL189" i="9"/>
  <c r="AL145" i="9"/>
  <c r="AK116" i="9"/>
  <c r="AK142" i="9" s="1"/>
  <c r="AK148" i="9"/>
  <c r="BL330" i="9"/>
  <c r="BL328" i="9" s="1"/>
  <c r="AM330" i="9"/>
  <c r="AJ57" i="9"/>
  <c r="AJ71" i="9" s="1"/>
  <c r="AK216" i="9"/>
  <c r="AK214" i="9" s="1"/>
  <c r="BM332" i="9"/>
  <c r="AI116" i="9"/>
  <c r="AI142" i="9" s="1"/>
  <c r="AJ193" i="9"/>
  <c r="AI97" i="9"/>
  <c r="AJ191" i="9"/>
  <c r="AI147" i="9"/>
  <c r="AI146" i="9" s="1"/>
  <c r="AH289" i="9"/>
  <c r="AI289" i="9"/>
  <c r="AI293" i="9" s="1"/>
  <c r="AH148" i="9"/>
  <c r="BK123" i="9"/>
  <c r="BK148" i="9" s="1"/>
  <c r="AI193" i="9"/>
  <c r="BK110" i="9"/>
  <c r="BK165" i="9" s="1"/>
  <c r="AH108" i="9"/>
  <c r="AG108" i="9"/>
  <c r="AH79" i="9"/>
  <c r="AG79" i="9"/>
  <c r="AF108" i="9"/>
  <c r="AE289" i="9"/>
  <c r="AE293" i="9" s="1"/>
  <c r="AE295" i="9" s="1"/>
  <c r="AF289" i="9"/>
  <c r="AF293" i="9" s="1"/>
  <c r="AF295" i="9" s="1"/>
  <c r="BJ110" i="9"/>
  <c r="AD108" i="9"/>
  <c r="AC289" i="9"/>
  <c r="AC293" i="9" s="1"/>
  <c r="AC295" i="9" s="1"/>
  <c r="AD289" i="9"/>
  <c r="AD293" i="9" s="1"/>
  <c r="AD295" i="9" s="1"/>
  <c r="U216" i="9"/>
  <c r="Y216" i="9"/>
  <c r="BJ307" i="9"/>
  <c r="AD216" i="9"/>
  <c r="AM315" i="9"/>
  <c r="AN315" i="9" s="1"/>
  <c r="AO315" i="9" s="1"/>
  <c r="AP315" i="9" s="1"/>
  <c r="BL315" i="9"/>
  <c r="AB289" i="9"/>
  <c r="AB293" i="9" s="1"/>
  <c r="AB295" i="9" s="1"/>
  <c r="AA289" i="9"/>
  <c r="AA293" i="9" s="1"/>
  <c r="AA295" i="9" s="1"/>
  <c r="AA340" i="9"/>
  <c r="BI340" i="9"/>
  <c r="BP332" i="9"/>
  <c r="X307" i="9"/>
  <c r="Y191" i="9"/>
  <c r="X191" i="9"/>
  <c r="X108" i="9"/>
  <c r="X79" i="9"/>
  <c r="W335" i="9"/>
  <c r="X323" i="9"/>
  <c r="W322" i="9"/>
  <c r="W280" i="9"/>
  <c r="W148" i="9"/>
  <c r="W146" i="9" s="1"/>
  <c r="W193" i="9"/>
  <c r="S75" i="9"/>
  <c r="R75" i="9"/>
  <c r="Q75" i="9"/>
  <c r="O75" i="9"/>
  <c r="M75" i="9"/>
  <c r="G75" i="9"/>
  <c r="F75" i="9"/>
  <c r="BG209" i="9"/>
  <c r="I66" i="12"/>
  <c r="BF209" i="9"/>
  <c r="BE209" i="9"/>
  <c r="G66" i="12"/>
  <c r="C66" i="12"/>
  <c r="BE160" i="9"/>
  <c r="BD303" i="9"/>
  <c r="BD77" i="9"/>
  <c r="BG302" i="9"/>
  <c r="BH76" i="9"/>
  <c r="BE157" i="9"/>
  <c r="BE302" i="9"/>
  <c r="BE148" i="9"/>
  <c r="BE165" i="9"/>
  <c r="BD165" i="9"/>
  <c r="BD69" i="9" s="1"/>
  <c r="BH79" i="9"/>
  <c r="BG287" i="9"/>
  <c r="BG288" i="9" s="1"/>
  <c r="BD81" i="9"/>
  <c r="BD284" i="9"/>
  <c r="T70" i="9"/>
  <c r="BH19" i="9"/>
  <c r="BJ2" i="9"/>
  <c r="BJ238" i="9" s="1"/>
  <c r="BI205" i="9"/>
  <c r="BI222" i="9"/>
  <c r="BI276" i="9"/>
  <c r="BI269" i="9"/>
  <c r="BI96" i="9"/>
  <c r="BE276" i="9"/>
  <c r="BE222" i="9"/>
  <c r="BE269" i="9"/>
  <c r="BE96" i="9"/>
  <c r="BE205" i="9"/>
  <c r="BF2" i="9"/>
  <c r="BF238" i="9" s="1"/>
  <c r="W285" i="9"/>
  <c r="X282" i="9"/>
  <c r="BI302" i="9"/>
  <c r="BI76" i="9"/>
  <c r="AC115" i="9"/>
  <c r="AK331" i="9"/>
  <c r="AK329" i="9" s="1"/>
  <c r="AL331" i="9"/>
  <c r="AL329" i="9" s="1"/>
  <c r="AL300" i="9"/>
  <c r="AL28" i="9" s="1"/>
  <c r="Y380" i="8"/>
  <c r="AF110" i="8"/>
  <c r="AF111" i="8" s="1"/>
  <c r="AI372" i="8"/>
  <c r="BK382" i="8"/>
  <c r="BN44" i="8"/>
  <c r="BO260" i="8"/>
  <c r="Y383" i="8"/>
  <c r="BL379" i="8"/>
  <c r="BN219" i="8"/>
  <c r="AB115" i="8"/>
  <c r="AH522" i="8"/>
  <c r="AN102" i="8"/>
  <c r="AP38" i="8"/>
  <c r="AK105" i="8"/>
  <c r="BN637" i="8"/>
  <c r="AL639" i="8"/>
  <c r="AK63" i="9"/>
  <c r="Y42" i="8"/>
  <c r="AC42" i="8"/>
  <c r="T37" i="8"/>
  <c r="AE526" i="8"/>
  <c r="X635" i="8"/>
  <c r="X641" i="8"/>
  <c r="AC70" i="9"/>
  <c r="BJ19" i="9"/>
  <c r="BO141" i="8"/>
  <c r="BO142" i="8" s="1"/>
  <c r="AM142" i="8"/>
  <c r="AC594" i="8"/>
  <c r="AC590" i="8"/>
  <c r="AG635" i="8"/>
  <c r="AG641" i="8"/>
  <c r="AH372" i="8"/>
  <c r="AG49" i="8"/>
  <c r="AG630" i="8"/>
  <c r="M52" i="12"/>
  <c r="AG372" i="8"/>
  <c r="AG634" i="8"/>
  <c r="BN476" i="8"/>
  <c r="BM625" i="8"/>
  <c r="BM548" i="8"/>
  <c r="AJ105" i="8"/>
  <c r="AK67" i="8"/>
  <c r="M25" i="12"/>
  <c r="BM557" i="8"/>
  <c r="AH546" i="8"/>
  <c r="BM129" i="8"/>
  <c r="BM495" i="8"/>
  <c r="BM559" i="8"/>
  <c r="BM229" i="8"/>
  <c r="AI595" i="8"/>
  <c r="BM604" i="8"/>
  <c r="AH630" i="8"/>
  <c r="BM57" i="8"/>
  <c r="BM592" i="8"/>
  <c r="BM579" i="8"/>
  <c r="AH67" i="8"/>
  <c r="AA67" i="8"/>
  <c r="BM523" i="8"/>
  <c r="BM553" i="8"/>
  <c r="BM591" i="8"/>
  <c r="BM627" i="8"/>
  <c r="BM59" i="8"/>
  <c r="AA8" i="8"/>
  <c r="BM536" i="8"/>
  <c r="AH614" i="8"/>
  <c r="AH50" i="8"/>
  <c r="AJ614" i="8"/>
  <c r="AG98" i="8"/>
  <c r="AH58" i="8"/>
  <c r="AG614" i="8"/>
  <c r="AB110" i="8"/>
  <c r="AB111" i="8" s="1"/>
  <c r="AL220" i="8"/>
  <c r="BM100" i="8"/>
  <c r="AH105" i="8"/>
  <c r="AI105" i="8"/>
  <c r="AJ255" i="8"/>
  <c r="AJ256" i="8"/>
  <c r="AJ257" i="8" s="1"/>
  <c r="BN254" i="8"/>
  <c r="BO253" i="8"/>
  <c r="BP253" i="8"/>
  <c r="AJ106" i="8"/>
  <c r="AJ98" i="8"/>
  <c r="AJ92" i="8"/>
  <c r="AJ94" i="8" s="1"/>
  <c r="AN63" i="8"/>
  <c r="AJ8" i="9"/>
  <c r="AJ115" i="8"/>
  <c r="AJ84" i="8"/>
  <c r="AJ71" i="8"/>
  <c r="AJ82" i="8"/>
  <c r="AJ5" i="9"/>
  <c r="AJ90" i="8"/>
  <c r="AJ75" i="8"/>
  <c r="AJ131" i="8"/>
  <c r="AJ122" i="8"/>
  <c r="AK98" i="8"/>
  <c r="AL96" i="8"/>
  <c r="Z254" i="8"/>
  <c r="Z253" i="8"/>
  <c r="BK252" i="8"/>
  <c r="AH253" i="8"/>
  <c r="AH254" i="8"/>
  <c r="BM254" i="8" s="1"/>
  <c r="BM252" i="8"/>
  <c r="BM368" i="8"/>
  <c r="BM384" i="8" s="1"/>
  <c r="AH413" i="8"/>
  <c r="AH384" i="8"/>
  <c r="AH381" i="8"/>
  <c r="AE256" i="8"/>
  <c r="AE255" i="8"/>
  <c r="AI255" i="8"/>
  <c r="AI8" i="9"/>
  <c r="AM63" i="8"/>
  <c r="BN61" i="8"/>
  <c r="AI59" i="8"/>
  <c r="AI62" i="8"/>
  <c r="AI115" i="8"/>
  <c r="BN57" i="8"/>
  <c r="AI90" i="8"/>
  <c r="AI66" i="8"/>
  <c r="AI71" i="8"/>
  <c r="AI131" i="8"/>
  <c r="AI122" i="8"/>
  <c r="AI214" i="9"/>
  <c r="AG8" i="9"/>
  <c r="AK63" i="8"/>
  <c r="N25" i="12"/>
  <c r="AB462" i="8"/>
  <c r="AF462" i="8"/>
  <c r="AA618" i="8"/>
  <c r="BO216" i="8"/>
  <c r="Z614" i="8"/>
  <c r="V614" i="8"/>
  <c r="X8" i="9"/>
  <c r="AB63" i="8"/>
  <c r="AK5" i="9"/>
  <c r="AK58" i="8"/>
  <c r="AK71" i="8"/>
  <c r="AK75" i="8"/>
  <c r="AK90" i="8"/>
  <c r="AK59" i="8"/>
  <c r="AK7" i="9" s="1"/>
  <c r="AK66" i="8"/>
  <c r="AK122" i="8"/>
  <c r="AK131" i="8"/>
  <c r="AK82" i="8"/>
  <c r="AK62" i="8"/>
  <c r="AK116" i="8"/>
  <c r="AI643" i="8"/>
  <c r="AN9" i="9"/>
  <c r="BH347" i="8"/>
  <c r="H333" i="8"/>
  <c r="P333" i="8"/>
  <c r="L333" i="8"/>
  <c r="I333" i="8"/>
  <c r="S333" i="8"/>
  <c r="T333" i="8"/>
  <c r="M333" i="8"/>
  <c r="U333" i="8"/>
  <c r="U337" i="8" s="1"/>
  <c r="N333" i="8"/>
  <c r="J333" i="8"/>
  <c r="R333" i="8"/>
  <c r="G333" i="8"/>
  <c r="O333" i="8"/>
  <c r="K333" i="8"/>
  <c r="Q333" i="8"/>
  <c r="Q337" i="8" s="1"/>
  <c r="Y333" i="8"/>
  <c r="W333" i="8"/>
  <c r="BL312" i="8"/>
  <c r="V333" i="8"/>
  <c r="AE546" i="8"/>
  <c r="E132" i="12"/>
  <c r="BL627" i="8"/>
  <c r="AF333" i="8"/>
  <c r="V512" i="8"/>
  <c r="BJ204" i="8"/>
  <c r="W536" i="8"/>
  <c r="AF546" i="8"/>
  <c r="AC630" i="8"/>
  <c r="AD630" i="8"/>
  <c r="AF372" i="8"/>
  <c r="Z333" i="8"/>
  <c r="AC614" i="8"/>
  <c r="L52" i="12"/>
  <c r="BO711" i="8"/>
  <c r="AG333" i="8"/>
  <c r="AD372" i="8"/>
  <c r="BN709" i="8"/>
  <c r="BM364" i="8"/>
  <c r="BM264" i="8" s="1"/>
  <c r="AE11" i="9"/>
  <c r="AE68" i="8"/>
  <c r="U512" i="8"/>
  <c r="AF562" i="8"/>
  <c r="BL610" i="8"/>
  <c r="BL129" i="8"/>
  <c r="BU711" i="8"/>
  <c r="T11" i="9"/>
  <c r="BM474" i="8"/>
  <c r="AH333" i="8"/>
  <c r="AH351" i="8" s="1"/>
  <c r="AH350" i="8" s="1"/>
  <c r="Y529" i="8"/>
  <c r="AF11" i="9"/>
  <c r="AE562" i="8"/>
  <c r="BL616" i="8"/>
  <c r="E169" i="12"/>
  <c r="BP480" i="8"/>
  <c r="BM379" i="8"/>
  <c r="AD614" i="8"/>
  <c r="Y38" i="8"/>
  <c r="X333" i="8"/>
  <c r="X337" i="8" s="1"/>
  <c r="AI334" i="8"/>
  <c r="BL625" i="8"/>
  <c r="BL229" i="8"/>
  <c r="BL621" i="8"/>
  <c r="BM478" i="8"/>
  <c r="AB590" i="8"/>
  <c r="AG105" i="8"/>
  <c r="AK569" i="8"/>
  <c r="AL571" i="8"/>
  <c r="U386" i="8"/>
  <c r="U396" i="8"/>
  <c r="U381" i="8"/>
  <c r="U384" i="8"/>
  <c r="AI82" i="8"/>
  <c r="AI58" i="8"/>
  <c r="AI75" i="8"/>
  <c r="AG84" i="8"/>
  <c r="AG82" i="8"/>
  <c r="AG122" i="8"/>
  <c r="AG71" i="8"/>
  <c r="AG90" i="8"/>
  <c r="AG75" i="8"/>
  <c r="AK46" i="8"/>
  <c r="AF63" i="9"/>
  <c r="AF641" i="8"/>
  <c r="AF643" i="8" s="1"/>
  <c r="AE607" i="8"/>
  <c r="BM606" i="8"/>
  <c r="BM607" i="8" s="1"/>
  <c r="AD115" i="8"/>
  <c r="AD86" i="8" s="1"/>
  <c r="AH63" i="8"/>
  <c r="Z220" i="8"/>
  <c r="V221" i="8"/>
  <c r="V224" i="8"/>
  <c r="AF290" i="8"/>
  <c r="AF299" i="8"/>
  <c r="S397" i="8"/>
  <c r="AB618" i="8"/>
  <c r="AG290" i="8"/>
  <c r="AG299" i="8"/>
  <c r="S226" i="8"/>
  <c r="S233" i="8"/>
  <c r="AK290" i="8"/>
  <c r="AK299" i="8"/>
  <c r="AN205" i="8"/>
  <c r="AA529" i="8"/>
  <c r="AS347" i="8"/>
  <c r="AW347" i="8" s="1"/>
  <c r="AK205" i="8"/>
  <c r="C212" i="9"/>
  <c r="C217" i="9" s="1"/>
  <c r="I171" i="9"/>
  <c r="K172" i="9"/>
  <c r="I172" i="9"/>
  <c r="H172" i="9"/>
  <c r="J171" i="9"/>
  <c r="J172" i="9"/>
  <c r="K171" i="9"/>
  <c r="H171" i="9"/>
  <c r="BE7" i="9"/>
  <c r="AN11" i="9"/>
  <c r="BM15" i="9"/>
  <c r="AO11" i="9"/>
  <c r="Y635" i="8"/>
  <c r="D165" i="12"/>
  <c r="BM610" i="8"/>
  <c r="BM621" i="8"/>
  <c r="BL622" i="8"/>
  <c r="BM616" i="8"/>
  <c r="BL617" i="8"/>
  <c r="AI46" i="8"/>
  <c r="BM44" i="8"/>
  <c r="AI630" i="8"/>
  <c r="BM629" i="8"/>
  <c r="BM631" i="8" s="1"/>
  <c r="BM613" i="8"/>
  <c r="AI614" i="8"/>
  <c r="BM545" i="8"/>
  <c r="BM546" i="8" s="1"/>
  <c r="AI546" i="8"/>
  <c r="AI562" i="8"/>
  <c r="BM561" i="8"/>
  <c r="BM563" i="8" s="1"/>
  <c r="AI634" i="8"/>
  <c r="BM633" i="8"/>
  <c r="BM635" i="8" s="1"/>
  <c r="AI63" i="8"/>
  <c r="BM61" i="8"/>
  <c r="AI67" i="8"/>
  <c r="BM65" i="8"/>
  <c r="AJ72" i="8"/>
  <c r="BM70" i="8"/>
  <c r="AG590" i="8"/>
  <c r="AG594" i="8"/>
  <c r="AH590" i="8"/>
  <c r="AJ595" i="8"/>
  <c r="AF595" i="8"/>
  <c r="AG17" i="9"/>
  <c r="AG131" i="8"/>
  <c r="BP268" i="8"/>
  <c r="BO76" i="8"/>
  <c r="BM19" i="9"/>
  <c r="W49" i="8"/>
  <c r="W54" i="8"/>
  <c r="W55" i="8" s="1"/>
  <c r="W3" i="9"/>
  <c r="W9" i="8"/>
  <c r="W45" i="8"/>
  <c r="W37" i="8"/>
  <c r="W41" i="8"/>
  <c r="AR76" i="8"/>
  <c r="AO102" i="8"/>
  <c r="AP101" i="8"/>
  <c r="BO101" i="8" s="1"/>
  <c r="BO102" i="8" s="1"/>
  <c r="AO98" i="8"/>
  <c r="AO92" i="8"/>
  <c r="AO94" i="8" s="1"/>
  <c r="AO218" i="9"/>
  <c r="AO219" i="9" s="1"/>
  <c r="AO106" i="8"/>
  <c r="AI221" i="8"/>
  <c r="AI220" i="8"/>
  <c r="AI224" i="8"/>
  <c r="AE221" i="8"/>
  <c r="AE224" i="8"/>
  <c r="AP637" i="8"/>
  <c r="AQ637" i="8" s="1"/>
  <c r="V384" i="8"/>
  <c r="V381" i="8"/>
  <c r="V396" i="8"/>
  <c r="BK368" i="8"/>
  <c r="Z381" i="8"/>
  <c r="Z413" i="8"/>
  <c r="Z369" i="8"/>
  <c r="Z367" i="8"/>
  <c r="AH369" i="8"/>
  <c r="BL368" i="8"/>
  <c r="AD413" i="8"/>
  <c r="AD367" i="8"/>
  <c r="AD381" i="8"/>
  <c r="AD369" i="8"/>
  <c r="AB397" i="8"/>
  <c r="AB440" i="8"/>
  <c r="AB396" i="8"/>
  <c r="AC266" i="8"/>
  <c r="AC267" i="8"/>
  <c r="BL265" i="8"/>
  <c r="AA266" i="8"/>
  <c r="AC367" i="8"/>
  <c r="AC412" i="8"/>
  <c r="AG367" i="8"/>
  <c r="AG413" i="8"/>
  <c r="AG266" i="8"/>
  <c r="AG385" i="8"/>
  <c r="AG267" i="8"/>
  <c r="AG395" i="8"/>
  <c r="AH275" i="8"/>
  <c r="AE385" i="8"/>
  <c r="AD395" i="8"/>
  <c r="BL275" i="8"/>
  <c r="Z383" i="8"/>
  <c r="Z384" i="8"/>
  <c r="AL607" i="8"/>
  <c r="AM607" i="8" s="1"/>
  <c r="AT617" i="8"/>
  <c r="AI409" i="8"/>
  <c r="AD105" i="8"/>
  <c r="BL97" i="8"/>
  <c r="AD71" i="8"/>
  <c r="AD90" i="8"/>
  <c r="AD131" i="8"/>
  <c r="AD122" i="8"/>
  <c r="AD84" i="8"/>
  <c r="AD75" i="8"/>
  <c r="AD82" i="8"/>
  <c r="AP364" i="8"/>
  <c r="AC72" i="8"/>
  <c r="BL70" i="8"/>
  <c r="AC65" i="8"/>
  <c r="AC13" i="9"/>
  <c r="AC71" i="8"/>
  <c r="AC8" i="9"/>
  <c r="AC131" i="8"/>
  <c r="AC90" i="8"/>
  <c r="AC75" i="8"/>
  <c r="AC122" i="8"/>
  <c r="AC5" i="9"/>
  <c r="AC82" i="8"/>
  <c r="AB218" i="9"/>
  <c r="AB98" i="8"/>
  <c r="AF50" i="8"/>
  <c r="AB50" i="8"/>
  <c r="AF42" i="8"/>
  <c r="AB42" i="8"/>
  <c r="AB131" i="8"/>
  <c r="AB90" i="8"/>
  <c r="AB122" i="8"/>
  <c r="BL44" i="8"/>
  <c r="AE46" i="8"/>
  <c r="AE50" i="8"/>
  <c r="AA50" i="8"/>
  <c r="BL57" i="8"/>
  <c r="BL472" i="8" s="1"/>
  <c r="BK472" i="8" s="1"/>
  <c r="AA84" i="8"/>
  <c r="AE58" i="8"/>
  <c r="BL61" i="8"/>
  <c r="AE63" i="8"/>
  <c r="AE67" i="8"/>
  <c r="AD550" i="8"/>
  <c r="Z550" i="8"/>
  <c r="V485" i="8"/>
  <c r="V490" i="8"/>
  <c r="AC50" i="8"/>
  <c r="U485" i="8"/>
  <c r="U490" i="8"/>
  <c r="AA462" i="8"/>
  <c r="AE462" i="8"/>
  <c r="W462" i="8"/>
  <c r="X512" i="8"/>
  <c r="U511" i="8"/>
  <c r="W42" i="8"/>
  <c r="BJ40" i="8"/>
  <c r="S41" i="8"/>
  <c r="X486" i="8"/>
  <c r="T490" i="8"/>
  <c r="T487" i="8"/>
  <c r="AN413" i="8"/>
  <c r="AR409" i="8"/>
  <c r="BJ36" i="8"/>
  <c r="AO299" i="8"/>
  <c r="AS285" i="8"/>
  <c r="AW285" i="8" s="1"/>
  <c r="BK701" i="8"/>
  <c r="BK712" i="8"/>
  <c r="BK711" i="8" s="1"/>
  <c r="AA550" i="8"/>
  <c r="W550" i="8"/>
  <c r="C498" i="8"/>
  <c r="C492" i="8"/>
  <c r="C491" i="8"/>
  <c r="BK481" i="8"/>
  <c r="BL481" i="8"/>
  <c r="W98" i="8"/>
  <c r="W347" i="8"/>
  <c r="W343" i="8"/>
  <c r="X343" i="8" s="1"/>
  <c r="AD696" i="8"/>
  <c r="AD709" i="8"/>
  <c r="W9" i="9"/>
  <c r="BM485" i="8"/>
  <c r="BM481" i="8"/>
  <c r="BN481" i="8"/>
  <c r="BM482" i="8"/>
  <c r="BN215" i="8"/>
  <c r="BM215" i="8"/>
  <c r="Q348" i="8"/>
  <c r="R348" i="8"/>
  <c r="AT549" i="8"/>
  <c r="AI329" i="8"/>
  <c r="BM329" i="8"/>
  <c r="AI330" i="8"/>
  <c r="BM330" i="8"/>
  <c r="BM524" i="8"/>
  <c r="BL524" i="8"/>
  <c r="AN347" i="8"/>
  <c r="X529" i="8"/>
  <c r="AB526" i="8"/>
  <c r="AC526" i="8"/>
  <c r="V170" i="9"/>
  <c r="T177" i="9"/>
  <c r="T178" i="9"/>
  <c r="T208" i="9"/>
  <c r="T176" i="9"/>
  <c r="T170" i="9"/>
  <c r="U170" i="9"/>
  <c r="BN76" i="8"/>
  <c r="N24" i="12"/>
  <c r="W172" i="9"/>
  <c r="W171" i="9"/>
  <c r="V98" i="8"/>
  <c r="AP297" i="8"/>
  <c r="W417" i="8"/>
  <c r="AG546" i="8"/>
  <c r="AC372" i="8"/>
  <c r="AC374" i="8" s="1"/>
  <c r="BM542" i="8"/>
  <c r="BL570" i="8"/>
  <c r="AC573" i="8"/>
  <c r="AH562" i="8"/>
  <c r="BL561" i="8"/>
  <c r="AH566" i="8"/>
  <c r="AD573" i="8"/>
  <c r="BK592" i="8"/>
  <c r="BL592" i="8"/>
  <c r="BK591" i="8"/>
  <c r="BL591" i="8"/>
  <c r="X5" i="9"/>
  <c r="AB58" i="8"/>
  <c r="E7" i="17" s="1"/>
  <c r="L7" i="17" s="1"/>
  <c r="X82" i="8"/>
  <c r="X84" i="8"/>
  <c r="AE70" i="9"/>
  <c r="BK19" i="9"/>
  <c r="AB573" i="8"/>
  <c r="AF566" i="8"/>
  <c r="AC634" i="8"/>
  <c r="Y641" i="8"/>
  <c r="BM213" i="8"/>
  <c r="BN212" i="8"/>
  <c r="AE33" i="8"/>
  <c r="AE34" i="8" s="1"/>
  <c r="AE8" i="8"/>
  <c r="AF8" i="8"/>
  <c r="AF37" i="8" s="1"/>
  <c r="AF33" i="8"/>
  <c r="AI33" i="8"/>
  <c r="AI8" i="8"/>
  <c r="AI37" i="8" s="1"/>
  <c r="AH33" i="8"/>
  <c r="AH8" i="8"/>
  <c r="AH37" i="8" s="1"/>
  <c r="AK33" i="8"/>
  <c r="AK34" i="8" s="1"/>
  <c r="AK8" i="8"/>
  <c r="AK37" i="8" s="1"/>
  <c r="AA372" i="8"/>
  <c r="BL613" i="8"/>
  <c r="AE614" i="8"/>
  <c r="AE630" i="8"/>
  <c r="BL629" i="8"/>
  <c r="AE634" i="8"/>
  <c r="BJ17" i="9"/>
  <c r="AA55" i="9"/>
  <c r="AA53" i="9" s="1"/>
  <c r="BL495" i="8"/>
  <c r="BM471" i="8"/>
  <c r="AI42" i="8"/>
  <c r="BM40" i="8"/>
  <c r="AE595" i="8"/>
  <c r="AA597" i="8"/>
  <c r="BN711" i="8"/>
  <c r="AJ328" i="9"/>
  <c r="AJ342" i="9"/>
  <c r="AR3" i="20"/>
  <c r="AR61" i="20" s="1"/>
  <c r="BP342" i="9"/>
  <c r="AY3" i="20"/>
  <c r="AY55" i="20" s="1"/>
  <c r="AY52" i="20" s="1"/>
  <c r="AL696" i="8"/>
  <c r="AL461" i="8"/>
  <c r="AP461" i="8" s="1"/>
  <c r="AP15" i="10"/>
  <c r="AP335" i="8" s="1"/>
  <c r="AI14" i="10"/>
  <c r="AT14" i="10"/>
  <c r="BS342" i="9"/>
  <c r="AT342" i="9"/>
  <c r="BN342" i="9" s="1"/>
  <c r="BR352" i="9"/>
  <c r="BR354" i="9" s="1"/>
  <c r="AT4" i="20"/>
  <c r="AT46" i="20" s="1"/>
  <c r="AJ696" i="8"/>
  <c r="AM696" i="8"/>
  <c r="AM15" i="10"/>
  <c r="AM335" i="8" s="1"/>
  <c r="AL328" i="9"/>
  <c r="AL342" i="9"/>
  <c r="BL342" i="9" s="1"/>
  <c r="AR179" i="16"/>
  <c r="AR228" i="16"/>
  <c r="AR210" i="16"/>
  <c r="AR227" i="16"/>
  <c r="BL318" i="9"/>
  <c r="AM461" i="8"/>
  <c r="AR214" i="16"/>
  <c r="AR4" i="20"/>
  <c r="AR43" i="20" s="1"/>
  <c r="AL15" i="10"/>
  <c r="AL335" i="8" s="1"/>
  <c r="AX4" i="20"/>
  <c r="AX46" i="20" s="1"/>
  <c r="AM14" i="10"/>
  <c r="BL294" i="9"/>
  <c r="AU4" i="20"/>
  <c r="AK696" i="8"/>
  <c r="AT318" i="9"/>
  <c r="AR318" i="9"/>
  <c r="I6" i="13"/>
  <c r="I5" i="13" s="1"/>
  <c r="BS294" i="9"/>
  <c r="V19" i="20"/>
  <c r="AL195" i="8"/>
  <c r="AL196" i="8" s="1"/>
  <c r="V31" i="20"/>
  <c r="AN15" i="10"/>
  <c r="AN335" i="8" s="1"/>
  <c r="BM15" i="10"/>
  <c r="BO335" i="8" s="1"/>
  <c r="AL309" i="9"/>
  <c r="AL349" i="9" s="1"/>
  <c r="AL350" i="9" s="1"/>
  <c r="AL357" i="9" s="1"/>
  <c r="AS309" i="9"/>
  <c r="AS349" i="9" s="1"/>
  <c r="AS350" i="9" s="1"/>
  <c r="AS357" i="9" s="1"/>
  <c r="BP696" i="8"/>
  <c r="AS318" i="9"/>
  <c r="AK342" i="9"/>
  <c r="AS14" i="10"/>
  <c r="AU3" i="20"/>
  <c r="AU55" i="20" s="1"/>
  <c r="AU52" i="20" s="1"/>
  <c r="BS701" i="8"/>
  <c r="H11" i="13"/>
  <c r="AT15" i="10"/>
  <c r="AT335" i="8" s="1"/>
  <c r="BS711" i="8"/>
  <c r="AI294" i="9"/>
  <c r="BT711" i="8"/>
  <c r="C14" i="20"/>
  <c r="C10" i="20" s="1"/>
  <c r="AP309" i="9"/>
  <c r="AP349" i="9" s="1"/>
  <c r="AP350" i="9" s="1"/>
  <c r="AQ309" i="9"/>
  <c r="AQ349" i="9" s="1"/>
  <c r="AI318" i="9"/>
  <c r="BT696" i="8"/>
  <c r="C24" i="20"/>
  <c r="B67" i="20" s="1"/>
  <c r="AP342" i="9"/>
  <c r="BM342" i="9" s="1"/>
  <c r="BQ6" i="10"/>
  <c r="BQ294" i="9" s="1"/>
  <c r="AQ318" i="9"/>
  <c r="AN342" i="9"/>
  <c r="C31" i="20"/>
  <c r="AH328" i="9" s="1"/>
  <c r="AN696" i="8"/>
  <c r="C19" i="20"/>
  <c r="AP696" i="8"/>
  <c r="AR14" i="10"/>
  <c r="V55" i="20"/>
  <c r="V61" i="20"/>
  <c r="AT215" i="16"/>
  <c r="AT210" i="16"/>
  <c r="AK318" i="9"/>
  <c r="AQ342" i="9"/>
  <c r="AR696" i="8"/>
  <c r="BP701" i="8"/>
  <c r="AT179" i="16"/>
  <c r="AU228" i="16"/>
  <c r="AT216" i="16"/>
  <c r="AU210" i="16"/>
  <c r="AT227" i="16"/>
  <c r="H6" i="13"/>
  <c r="H5" i="13" s="1"/>
  <c r="AO14" i="10"/>
  <c r="AP318" i="9"/>
  <c r="AK294" i="9"/>
  <c r="AT696" i="8"/>
  <c r="BP711" i="8"/>
  <c r="AU216" i="16"/>
  <c r="AS228" i="16"/>
  <c r="I16" i="11"/>
  <c r="AR15" i="10"/>
  <c r="AR335" i="8" s="1"/>
  <c r="AO342" i="9"/>
  <c r="BN15" i="10"/>
  <c r="BP335" i="8" s="1"/>
  <c r="AU215" i="16"/>
  <c r="AS210" i="16"/>
  <c r="AJ318" i="9"/>
  <c r="BU696" i="8"/>
  <c r="BU701" i="8"/>
  <c r="BO2" i="8"/>
  <c r="AL294" i="9"/>
  <c r="AU219" i="16"/>
  <c r="AS216" i="16"/>
  <c r="AS227" i="16"/>
  <c r="BR342" i="9"/>
  <c r="AJ309" i="9"/>
  <c r="AK197" i="8"/>
  <c r="AK198" i="8" s="1"/>
  <c r="AU179" i="16"/>
  <c r="F11" i="13"/>
  <c r="F8" i="13" s="1"/>
  <c r="AS215" i="16"/>
  <c r="AX3" i="20"/>
  <c r="AX55" i="20" s="1"/>
  <c r="AX52" i="20" s="1"/>
  <c r="AS219" i="16"/>
  <c r="AP14" i="10"/>
  <c r="BR2" i="8"/>
  <c r="AO696" i="8"/>
  <c r="BQ342" i="9"/>
  <c r="BO696" i="8"/>
  <c r="AT214" i="16"/>
  <c r="U55" i="20"/>
  <c r="U61" i="20"/>
  <c r="AL180" i="9"/>
  <c r="AL182" i="9" s="1"/>
  <c r="AM181" i="9"/>
  <c r="E6" i="13"/>
  <c r="E5" i="13" s="1"/>
  <c r="T55" i="20"/>
  <c r="T61" i="20"/>
  <c r="AS55" i="20"/>
  <c r="AS52" i="20" s="1"/>
  <c r="X52" i="20"/>
  <c r="BU166" i="8"/>
  <c r="AN461" i="8"/>
  <c r="AN14" i="10"/>
  <c r="AM342" i="9"/>
  <c r="BR318" i="9"/>
  <c r="BR294" i="9"/>
  <c r="AO195" i="8"/>
  <c r="AS15" i="10"/>
  <c r="AS335" i="8" s="1"/>
  <c r="AO15" i="10"/>
  <c r="AO335" i="8" s="1"/>
  <c r="AM318" i="9"/>
  <c r="AM309" i="9"/>
  <c r="AR216" i="16"/>
  <c r="BN696" i="8"/>
  <c r="AR215" i="16"/>
  <c r="BN701" i="8"/>
  <c r="AR204" i="16"/>
  <c r="AR219" i="16"/>
  <c r="BL15" i="10"/>
  <c r="BN335" i="8" s="1"/>
  <c r="AP352" i="9"/>
  <c r="BM353" i="9"/>
  <c r="AQ353" i="9"/>
  <c r="BO701" i="8"/>
  <c r="AS214" i="16"/>
  <c r="AS179" i="16"/>
  <c r="AS204" i="16"/>
  <c r="AN197" i="8"/>
  <c r="AN318" i="9"/>
  <c r="AO318" i="9"/>
  <c r="AO309" i="9"/>
  <c r="B74" i="20"/>
  <c r="AJ181" i="9"/>
  <c r="U19" i="20"/>
  <c r="U31" i="20"/>
  <c r="I11" i="13"/>
  <c r="AY4" i="20"/>
  <c r="AI197" i="8"/>
  <c r="AI461" i="8"/>
  <c r="AI15" i="10"/>
  <c r="AI335" i="8" s="1"/>
  <c r="AI696" i="8"/>
  <c r="AI195" i="8"/>
  <c r="AJ15" i="10"/>
  <c r="AJ335" i="8" s="1"/>
  <c r="AJ461" i="8"/>
  <c r="AJ462" i="8" s="1"/>
  <c r="AJ195" i="8"/>
  <c r="AJ196" i="8" s="1"/>
  <c r="AJ14" i="10"/>
  <c r="AK328" i="9"/>
  <c r="BN6" i="10"/>
  <c r="BN309" i="9" s="1"/>
  <c r="AT3" i="20"/>
  <c r="AT55" i="20" s="1"/>
  <c r="AT52" i="20" s="1"/>
  <c r="AI181" i="9"/>
  <c r="T24" i="20"/>
  <c r="T19" i="20"/>
  <c r="T31" i="20"/>
  <c r="AI329" i="9" s="1"/>
  <c r="AK461" i="8"/>
  <c r="AK15" i="10"/>
  <c r="AK335" i="8" s="1"/>
  <c r="AK14" i="10"/>
  <c r="V24" i="20"/>
  <c r="BM294" i="9"/>
  <c r="BP67" i="9"/>
  <c r="BQ67" i="9" s="1"/>
  <c r="AJ197" i="8"/>
  <c r="AJ198" i="8" s="1"/>
  <c r="AL14" i="10"/>
  <c r="AL197" i="8"/>
  <c r="AL198" i="8" s="1"/>
  <c r="W19" i="20"/>
  <c r="W31" i="20"/>
  <c r="W24" i="20"/>
  <c r="BP6" i="10"/>
  <c r="BP309" i="9" s="1"/>
  <c r="BP308" i="9" s="1"/>
  <c r="AV3" i="20"/>
  <c r="AV55" i="20" s="1"/>
  <c r="AV52" i="20" s="1"/>
  <c r="AR40" i="20"/>
  <c r="AK195" i="8"/>
  <c r="AK196" i="8" s="1"/>
  <c r="AM197" i="8"/>
  <c r="AM195" i="8"/>
  <c r="AQ15" i="10"/>
  <c r="AQ335" i="8" s="1"/>
  <c r="AM353" i="9"/>
  <c r="AP195" i="8"/>
  <c r="AP197" i="8"/>
  <c r="AT198" i="8" s="1"/>
  <c r="AQ195" i="8"/>
  <c r="AU195" i="8" s="1"/>
  <c r="AQ461" i="8"/>
  <c r="AU461" i="8" s="1"/>
  <c r="AQ197" i="8"/>
  <c r="AQ14" i="10"/>
  <c r="AV4" i="20"/>
  <c r="BM17" i="9"/>
  <c r="BM55" i="9" s="1"/>
  <c r="AP55" i="9"/>
  <c r="AP53" i="9" s="1"/>
  <c r="AN54" i="8"/>
  <c r="AN55" i="8" s="1"/>
  <c r="AN174" i="9"/>
  <c r="AN176" i="9"/>
  <c r="AN177" i="9"/>
  <c r="AN178" i="9"/>
  <c r="BM303" i="9"/>
  <c r="AS193" i="9"/>
  <c r="AS191" i="9"/>
  <c r="BN99" i="9"/>
  <c r="BN156" i="9" s="1"/>
  <c r="AT287" i="9"/>
  <c r="AT288" i="9" s="1"/>
  <c r="AR289" i="9"/>
  <c r="AR293" i="9" s="1"/>
  <c r="O28" i="12"/>
  <c r="G151" i="12" s="1"/>
  <c r="P30" i="12"/>
  <c r="AQ92" i="8"/>
  <c r="BO494" i="8"/>
  <c r="AP496" i="8"/>
  <c r="O24" i="12"/>
  <c r="AP11" i="9"/>
  <c r="AP21" i="9" s="1"/>
  <c r="AS19" i="9"/>
  <c r="O25" i="12"/>
  <c r="G177" i="12"/>
  <c r="BO86" i="8"/>
  <c r="BO115" i="8" s="1"/>
  <c r="AP189" i="9"/>
  <c r="BM100" i="9"/>
  <c r="BM147" i="9" s="1"/>
  <c r="BP260" i="8"/>
  <c r="BP263" i="8"/>
  <c r="AQ218" i="9"/>
  <c r="AS560" i="8"/>
  <c r="AQ62" i="8"/>
  <c r="AQ82" i="8"/>
  <c r="BP272" i="8"/>
  <c r="BR483" i="8"/>
  <c r="AQ487" i="8"/>
  <c r="AQ490" i="8"/>
  <c r="AQ456" i="8"/>
  <c r="AQ84" i="8"/>
  <c r="AQ58" i="8"/>
  <c r="AQ75" i="8"/>
  <c r="AQ59" i="8"/>
  <c r="AQ7" i="9" s="1"/>
  <c r="P16" i="11"/>
  <c r="C14" i="13"/>
  <c r="C69" i="12"/>
  <c r="C91" i="12" s="1"/>
  <c r="O1" i="12"/>
  <c r="T88" i="12"/>
  <c r="J88" i="12"/>
  <c r="C88" i="12"/>
  <c r="G88" i="12" s="1"/>
  <c r="H88" i="12" s="1"/>
  <c r="R88" i="12"/>
  <c r="S88" i="12"/>
  <c r="Q88" i="12"/>
  <c r="I88" i="12"/>
  <c r="P88" i="12"/>
  <c r="O88" i="12"/>
  <c r="N88" i="12"/>
  <c r="M88" i="12"/>
  <c r="U88" i="12"/>
  <c r="K88" i="12"/>
  <c r="L88" i="12"/>
  <c r="AG305" i="9" l="1"/>
  <c r="AG308" i="9" s="1"/>
  <c r="AG310" i="9" s="1"/>
  <c r="Q152" i="9"/>
  <c r="V174" i="9"/>
  <c r="BL165" i="9"/>
  <c r="S52" i="20"/>
  <c r="P52" i="20"/>
  <c r="U197" i="8"/>
  <c r="I52" i="20"/>
  <c r="O118" i="16"/>
  <c r="AR46" i="20"/>
  <c r="BQ481" i="8"/>
  <c r="L197" i="8"/>
  <c r="O197" i="8"/>
  <c r="BF42" i="10"/>
  <c r="AL117" i="16" s="1"/>
  <c r="AT196" i="8"/>
  <c r="G52" i="20"/>
  <c r="L118" i="16"/>
  <c r="R52" i="20"/>
  <c r="J197" i="8"/>
  <c r="N197" i="8"/>
  <c r="Q197" i="8"/>
  <c r="AR55" i="20"/>
  <c r="AR52" i="20" s="1"/>
  <c r="AX139" i="9"/>
  <c r="BQ138" i="9"/>
  <c r="Z41" i="8"/>
  <c r="Z9" i="8"/>
  <c r="Z3" i="9"/>
  <c r="Z178" i="9" s="1"/>
  <c r="Z45" i="8"/>
  <c r="O6" i="12"/>
  <c r="AJ178" i="9"/>
  <c r="Z49" i="8"/>
  <c r="AJ208" i="9"/>
  <c r="AJ697" i="8"/>
  <c r="AJ177" i="9"/>
  <c r="AJ37" i="8"/>
  <c r="AJ41" i="8"/>
  <c r="AJ54" i="8"/>
  <c r="AJ55" i="8" s="1"/>
  <c r="AN9" i="8"/>
  <c r="AJ45" i="8"/>
  <c r="Z54" i="8"/>
  <c r="Z55" i="8" s="1"/>
  <c r="AN117" i="16"/>
  <c r="S118" i="16"/>
  <c r="N118" i="16"/>
  <c r="R118" i="16"/>
  <c r="AE512" i="8"/>
  <c r="P118" i="16"/>
  <c r="BG42" i="10"/>
  <c r="AM117" i="16" s="1"/>
  <c r="S197" i="8"/>
  <c r="BH42" i="10"/>
  <c r="AQ55" i="20"/>
  <c r="AQ52" i="20" s="1"/>
  <c r="BQ318" i="9"/>
  <c r="Q52" i="20"/>
  <c r="AR49" i="20"/>
  <c r="U118" i="16"/>
  <c r="G117" i="16"/>
  <c r="K118" i="16" s="1"/>
  <c r="BE42" i="10"/>
  <c r="AK117" i="16" s="1"/>
  <c r="AL118" i="16" s="1"/>
  <c r="G197" i="8"/>
  <c r="K52" i="20"/>
  <c r="AD328" i="9"/>
  <c r="AX43" i="20"/>
  <c r="AA328" i="9"/>
  <c r="AX40" i="20"/>
  <c r="AX49" i="20"/>
  <c r="AX37" i="20"/>
  <c r="BI235" i="8"/>
  <c r="BF546" i="8"/>
  <c r="BP257" i="8"/>
  <c r="AH634" i="8"/>
  <c r="AJ264" i="8"/>
  <c r="BK550" i="8"/>
  <c r="BM198" i="8"/>
  <c r="AJ269" i="8"/>
  <c r="AH635" i="8"/>
  <c r="BI141" i="8"/>
  <c r="BI142" i="8" s="1"/>
  <c r="BN408" i="8"/>
  <c r="BI153" i="8"/>
  <c r="AG23" i="9"/>
  <c r="AG24" i="9" s="1"/>
  <c r="BL550" i="8"/>
  <c r="W373" i="8"/>
  <c r="AH266" i="8"/>
  <c r="AI266" i="8" s="1"/>
  <c r="AJ266" i="8" s="1"/>
  <c r="AK266" i="8" s="1"/>
  <c r="F169" i="12"/>
  <c r="BM265" i="8"/>
  <c r="AH385" i="8"/>
  <c r="S571" i="8"/>
  <c r="AQ285" i="8"/>
  <c r="AU285" i="8" s="1"/>
  <c r="BM550" i="8"/>
  <c r="AM290" i="8"/>
  <c r="AM288" i="8" s="1"/>
  <c r="AB154" i="8"/>
  <c r="AC440" i="8"/>
  <c r="Y573" i="8"/>
  <c r="Y575" i="8" s="1"/>
  <c r="AF24" i="9"/>
  <c r="X597" i="8"/>
  <c r="AG86" i="8"/>
  <c r="BF384" i="8"/>
  <c r="AC431" i="8"/>
  <c r="D491" i="8"/>
  <c r="AG116" i="8"/>
  <c r="BF396" i="8"/>
  <c r="AG3" i="9"/>
  <c r="W430" i="8"/>
  <c r="W432" i="8" s="1"/>
  <c r="D498" i="8"/>
  <c r="D500" i="8" s="1"/>
  <c r="BO130" i="8"/>
  <c r="AO295" i="8"/>
  <c r="AF119" i="8"/>
  <c r="W386" i="8"/>
  <c r="AJ68" i="8"/>
  <c r="Y417" i="8"/>
  <c r="Y419" i="8" s="1"/>
  <c r="AF116" i="8"/>
  <c r="BO624" i="8"/>
  <c r="BJ30" i="8"/>
  <c r="AE23" i="9"/>
  <c r="BK478" i="8"/>
  <c r="AF86" i="8"/>
  <c r="Y374" i="8"/>
  <c r="BE384" i="8"/>
  <c r="X161" i="8"/>
  <c r="AM37" i="8"/>
  <c r="BJ485" i="8"/>
  <c r="BJ487" i="8" s="1"/>
  <c r="AE86" i="8"/>
  <c r="AG54" i="8"/>
  <c r="AG55" i="8" s="1"/>
  <c r="AE417" i="8"/>
  <c r="BE396" i="8"/>
  <c r="X154" i="8"/>
  <c r="AE116" i="8"/>
  <c r="X373" i="8"/>
  <c r="X417" i="8"/>
  <c r="BL254" i="8"/>
  <c r="BJ655" i="8"/>
  <c r="BJ656" i="8" s="1"/>
  <c r="BE386" i="8"/>
  <c r="F492" i="8"/>
  <c r="BH396" i="8"/>
  <c r="BL546" i="8"/>
  <c r="AA9" i="9"/>
  <c r="BF348" i="8"/>
  <c r="Z116" i="8"/>
  <c r="BJ141" i="8"/>
  <c r="BJ142" i="8" s="1"/>
  <c r="BN519" i="8"/>
  <c r="BN523" i="8" s="1"/>
  <c r="BN522" i="8" s="1"/>
  <c r="Z23" i="9"/>
  <c r="Z24" i="9" s="1"/>
  <c r="Z119" i="8"/>
  <c r="BL590" i="8"/>
  <c r="AH573" i="8"/>
  <c r="AH575" i="8" s="1"/>
  <c r="F491" i="8"/>
  <c r="AC414" i="8"/>
  <c r="X573" i="8"/>
  <c r="X575" i="8" s="1"/>
  <c r="Z641" i="8"/>
  <c r="AA430" i="8"/>
  <c r="AA431" i="8" s="1"/>
  <c r="AI367" i="8"/>
  <c r="AC396" i="8"/>
  <c r="X214" i="9"/>
  <c r="X212" i="9" s="1"/>
  <c r="X217" i="9" s="1"/>
  <c r="AN107" i="8"/>
  <c r="W630" i="8"/>
  <c r="AA386" i="8"/>
  <c r="AA414" i="8"/>
  <c r="BK633" i="8"/>
  <c r="BK635" i="8" s="1"/>
  <c r="AN68" i="8"/>
  <c r="AA412" i="8"/>
  <c r="AA429" i="8"/>
  <c r="Z267" i="8"/>
  <c r="BK267" i="8" s="1"/>
  <c r="AH226" i="8"/>
  <c r="AI566" i="8"/>
  <c r="AE566" i="8"/>
  <c r="AD255" i="8"/>
  <c r="BL580" i="8"/>
  <c r="AD34" i="8"/>
  <c r="X115" i="8"/>
  <c r="X86" i="8" s="1"/>
  <c r="AQ63" i="9"/>
  <c r="BN364" i="8"/>
  <c r="BN261" i="8" s="1"/>
  <c r="BM158" i="8"/>
  <c r="BM159" i="8" s="1"/>
  <c r="BK604" i="8"/>
  <c r="S630" i="8"/>
  <c r="AA441" i="8"/>
  <c r="AM364" i="8"/>
  <c r="AQ364" i="8" s="1"/>
  <c r="AU364" i="8" s="1"/>
  <c r="AD634" i="8"/>
  <c r="G658" i="8"/>
  <c r="G659" i="8" s="1"/>
  <c r="BH462" i="8"/>
  <c r="AB566" i="8"/>
  <c r="AJ368" i="9"/>
  <c r="AJ363" i="9" s="1"/>
  <c r="AI183" i="9"/>
  <c r="AF152" i="9"/>
  <c r="AH188" i="9"/>
  <c r="AH202" i="9" s="1"/>
  <c r="AG368" i="9"/>
  <c r="AG363" i="9" s="1"/>
  <c r="AF368" i="9"/>
  <c r="AF363" i="9" s="1"/>
  <c r="AJ183" i="9"/>
  <c r="P152" i="9"/>
  <c r="AK188" i="9"/>
  <c r="AK202" i="9" s="1"/>
  <c r="J152" i="9"/>
  <c r="F305" i="9"/>
  <c r="AK305" i="9"/>
  <c r="AK308" i="9" s="1"/>
  <c r="AK310" i="9" s="1"/>
  <c r="T174" i="9"/>
  <c r="G305" i="9"/>
  <c r="H152" i="9"/>
  <c r="H151" i="9" s="1"/>
  <c r="L174" i="9"/>
  <c r="T368" i="9"/>
  <c r="T363" i="9" s="1"/>
  <c r="V159" i="9"/>
  <c r="AG115" i="9"/>
  <c r="AJ146" i="9"/>
  <c r="AJ65" i="9" s="1"/>
  <c r="P305" i="9"/>
  <c r="P308" i="9" s="1"/>
  <c r="P310" i="9" s="1"/>
  <c r="I174" i="9"/>
  <c r="M65" i="9"/>
  <c r="I305" i="9"/>
  <c r="AA215" i="9"/>
  <c r="AD305" i="9"/>
  <c r="AD308" i="9" s="1"/>
  <c r="AD310" i="9" s="1"/>
  <c r="AA210" i="9"/>
  <c r="C145" i="9"/>
  <c r="AA188" i="9"/>
  <c r="AA203" i="9" s="1"/>
  <c r="H174" i="9"/>
  <c r="AO305" i="9"/>
  <c r="AO308" i="9" s="1"/>
  <c r="AO310" i="9" s="1"/>
  <c r="AN368" i="9"/>
  <c r="AN363" i="9" s="1"/>
  <c r="AI305" i="9"/>
  <c r="AI308" i="9" s="1"/>
  <c r="AI310" i="9" s="1"/>
  <c r="V21" i="9"/>
  <c r="V32" i="9" s="1"/>
  <c r="V35" i="9" s="1"/>
  <c r="AA219" i="9"/>
  <c r="BJ289" i="9"/>
  <c r="BJ293" i="9" s="1"/>
  <c r="BJ295" i="9" s="1"/>
  <c r="M174" i="9"/>
  <c r="N65" i="9"/>
  <c r="AI152" i="9"/>
  <c r="O152" i="9"/>
  <c r="O151" i="9" s="1"/>
  <c r="AC368" i="9"/>
  <c r="AC363" i="9" s="1"/>
  <c r="AO368" i="9"/>
  <c r="AO363" i="9" s="1"/>
  <c r="V65" i="9"/>
  <c r="O305" i="9"/>
  <c r="O308" i="9" s="1"/>
  <c r="O310" i="9" s="1"/>
  <c r="AB65" i="9"/>
  <c r="AB187" i="9" s="1"/>
  <c r="AG69" i="9"/>
  <c r="W368" i="9"/>
  <c r="W363" i="9" s="1"/>
  <c r="L305" i="9"/>
  <c r="L308" i="9" s="1"/>
  <c r="L310" i="9" s="1"/>
  <c r="J65" i="9"/>
  <c r="AI368" i="9"/>
  <c r="AI363" i="9" s="1"/>
  <c r="J305" i="9"/>
  <c r="AG183" i="9"/>
  <c r="D65" i="9"/>
  <c r="AC305" i="9"/>
  <c r="AC308" i="9" s="1"/>
  <c r="AC310" i="9" s="1"/>
  <c r="D305" i="9"/>
  <c r="N305" i="9"/>
  <c r="N308" i="9" s="1"/>
  <c r="N310" i="9" s="1"/>
  <c r="K305" i="9"/>
  <c r="K308" i="9" s="1"/>
  <c r="K310" i="9" s="1"/>
  <c r="T305" i="9"/>
  <c r="T308" i="9" s="1"/>
  <c r="T310" i="9" s="1"/>
  <c r="K143" i="9"/>
  <c r="BK5" i="9"/>
  <c r="V368" i="9"/>
  <c r="V363" i="9" s="1"/>
  <c r="M145" i="9"/>
  <c r="AD152" i="9"/>
  <c r="F152" i="9"/>
  <c r="F151" i="9" s="1"/>
  <c r="AH368" i="9"/>
  <c r="AH363" i="9" s="1"/>
  <c r="BK64" i="9"/>
  <c r="AH183" i="9"/>
  <c r="AE115" i="9"/>
  <c r="AE143" i="9" s="1"/>
  <c r="AJ152" i="9"/>
  <c r="AO356" i="9"/>
  <c r="V305" i="9"/>
  <c r="V308" i="9" s="1"/>
  <c r="V310" i="9" s="1"/>
  <c r="E152" i="9"/>
  <c r="E151" i="9" s="1"/>
  <c r="U368" i="9"/>
  <c r="U363" i="9" s="1"/>
  <c r="X305" i="9"/>
  <c r="X308" i="9" s="1"/>
  <c r="X310" i="9" s="1"/>
  <c r="AD69" i="9"/>
  <c r="K145" i="9"/>
  <c r="Q145" i="9"/>
  <c r="Q151" i="9" s="1"/>
  <c r="X172" i="9"/>
  <c r="BF146" i="9"/>
  <c r="BF145" i="9" s="1"/>
  <c r="AP368" i="9"/>
  <c r="AP363" i="9" s="1"/>
  <c r="AH172" i="9"/>
  <c r="AC159" i="9"/>
  <c r="AC152" i="9" s="1"/>
  <c r="AC151" i="9" s="1"/>
  <c r="V341" i="9"/>
  <c r="V347" i="9" s="1"/>
  <c r="O65" i="9"/>
  <c r="D145" i="9"/>
  <c r="AR350" i="9"/>
  <c r="E65" i="9"/>
  <c r="AQ350" i="9"/>
  <c r="R174" i="9"/>
  <c r="AT350" i="9"/>
  <c r="Q305" i="9"/>
  <c r="Q308" i="9" s="1"/>
  <c r="Q310" i="9" s="1"/>
  <c r="AU348" i="9"/>
  <c r="AU350" i="9" s="1"/>
  <c r="AC65" i="9"/>
  <c r="AC187" i="9" s="1"/>
  <c r="D174" i="9"/>
  <c r="AA69" i="9"/>
  <c r="AB305" i="9"/>
  <c r="AB308" i="9" s="1"/>
  <c r="AB310" i="9" s="1"/>
  <c r="X368" i="9"/>
  <c r="X363" i="9" s="1"/>
  <c r="X65" i="9"/>
  <c r="AA159" i="9"/>
  <c r="AA152" i="9" s="1"/>
  <c r="AA151" i="9" s="1"/>
  <c r="P174" i="9"/>
  <c r="W305" i="9"/>
  <c r="W308" i="9" s="1"/>
  <c r="W310" i="9" s="1"/>
  <c r="AK69" i="9"/>
  <c r="AB69" i="9"/>
  <c r="D152" i="9"/>
  <c r="T203" i="9"/>
  <c r="AG152" i="9"/>
  <c r="AG151" i="9" s="1"/>
  <c r="AB368" i="9"/>
  <c r="AB363" i="9" s="1"/>
  <c r="BO110" i="8"/>
  <c r="M293" i="9"/>
  <c r="M295" i="9" s="1"/>
  <c r="G152" i="9"/>
  <c r="AE65" i="9"/>
  <c r="P65" i="9"/>
  <c r="F174" i="9"/>
  <c r="BG142" i="9"/>
  <c r="AK183" i="9"/>
  <c r="AB145" i="9"/>
  <c r="AJ305" i="9"/>
  <c r="AJ308" i="9" s="1"/>
  <c r="AJ310" i="9" s="1"/>
  <c r="BJ64" i="9"/>
  <c r="AB174" i="9"/>
  <c r="S202" i="9"/>
  <c r="AN305" i="9"/>
  <c r="AN308" i="9" s="1"/>
  <c r="AN310" i="9" s="1"/>
  <c r="Q65" i="9"/>
  <c r="BK7" i="9"/>
  <c r="BK171" i="9" s="1"/>
  <c r="W71" i="9"/>
  <c r="Z152" i="9"/>
  <c r="C152" i="9"/>
  <c r="P151" i="9"/>
  <c r="BG146" i="9"/>
  <c r="BG145" i="9" s="1"/>
  <c r="S368" i="9"/>
  <c r="S363" i="9" s="1"/>
  <c r="M152" i="9"/>
  <c r="Y305" i="9"/>
  <c r="BL289" i="9"/>
  <c r="BL293" i="9" s="1"/>
  <c r="BL295" i="9" s="1"/>
  <c r="S152" i="9"/>
  <c r="S151" i="9" s="1"/>
  <c r="AH69" i="9"/>
  <c r="Z69" i="9"/>
  <c r="L65" i="9"/>
  <c r="V152" i="9"/>
  <c r="V151" i="9" s="1"/>
  <c r="BI289" i="9"/>
  <c r="S305" i="9"/>
  <c r="S308" i="9" s="1"/>
  <c r="S310" i="9" s="1"/>
  <c r="X152" i="9"/>
  <c r="X151" i="9" s="1"/>
  <c r="AB152" i="9"/>
  <c r="AA368" i="9"/>
  <c r="AA363" i="9" s="1"/>
  <c r="R337" i="9"/>
  <c r="BG337" i="9" s="1"/>
  <c r="Q293" i="9"/>
  <c r="Q295" i="9" s="1"/>
  <c r="AI12" i="9"/>
  <c r="F65" i="9"/>
  <c r="AK152" i="9"/>
  <c r="AE212" i="9"/>
  <c r="AE215" i="9" s="1"/>
  <c r="I152" i="9"/>
  <c r="I151" i="9" s="1"/>
  <c r="H65" i="9"/>
  <c r="V69" i="9"/>
  <c r="BH153" i="9"/>
  <c r="J70" i="12" s="1"/>
  <c r="AE69" i="9"/>
  <c r="I65" i="9"/>
  <c r="S65" i="9"/>
  <c r="S187" i="9" s="1"/>
  <c r="R305" i="9"/>
  <c r="R308" i="9" s="1"/>
  <c r="R310" i="9" s="1"/>
  <c r="AD111" i="8"/>
  <c r="AF69" i="9"/>
  <c r="G65" i="9"/>
  <c r="U305" i="9"/>
  <c r="U308" i="9" s="1"/>
  <c r="U310" i="9" s="1"/>
  <c r="S174" i="9"/>
  <c r="BK153" i="9"/>
  <c r="M70" i="12" s="1"/>
  <c r="AC69" i="9"/>
  <c r="AJ69" i="9"/>
  <c r="C28" i="12"/>
  <c r="R65" i="9"/>
  <c r="M305" i="9"/>
  <c r="M308" i="9" s="1"/>
  <c r="M310" i="9" s="1"/>
  <c r="G145" i="9"/>
  <c r="U174" i="9"/>
  <c r="Y65" i="9"/>
  <c r="J174" i="9"/>
  <c r="AE188" i="9"/>
  <c r="AE202" i="9" s="1"/>
  <c r="C14" i="12"/>
  <c r="H305" i="9"/>
  <c r="J145" i="9"/>
  <c r="U145" i="9"/>
  <c r="K152" i="9"/>
  <c r="T65" i="9"/>
  <c r="T187" i="9" s="1"/>
  <c r="K65" i="9"/>
  <c r="U65" i="9"/>
  <c r="U187" i="9" s="1"/>
  <c r="AH171" i="9"/>
  <c r="AN188" i="9"/>
  <c r="AN187" i="9" s="1"/>
  <c r="L152" i="9"/>
  <c r="L151" i="9" s="1"/>
  <c r="AI69" i="9"/>
  <c r="J73" i="12"/>
  <c r="BF4" i="9"/>
  <c r="R142" i="9"/>
  <c r="R143" i="9" s="1"/>
  <c r="BF289" i="9"/>
  <c r="BI165" i="9"/>
  <c r="BI69" i="9" s="1"/>
  <c r="AD65" i="9"/>
  <c r="AD187" i="9" s="1"/>
  <c r="AD145" i="9"/>
  <c r="AH9" i="9"/>
  <c r="BL111" i="8"/>
  <c r="K115" i="12"/>
  <c r="K116" i="12" s="1"/>
  <c r="K114" i="12"/>
  <c r="Z177" i="9"/>
  <c r="BK590" i="8"/>
  <c r="BK459" i="8"/>
  <c r="BM424" i="8"/>
  <c r="AO233" i="8"/>
  <c r="AO235" i="8" s="1"/>
  <c r="C19" i="12"/>
  <c r="AP238" i="8"/>
  <c r="AP243" i="8" s="1"/>
  <c r="AP245" i="8" s="1"/>
  <c r="T221" i="8"/>
  <c r="T224" i="8"/>
  <c r="AA21" i="9"/>
  <c r="AG41" i="8"/>
  <c r="C658" i="8"/>
  <c r="C659" i="8" s="1"/>
  <c r="BK65" i="8"/>
  <c r="BK66" i="8" s="1"/>
  <c r="S633" i="8"/>
  <c r="S634" i="8" s="1"/>
  <c r="AE9" i="9"/>
  <c r="BE354" i="8"/>
  <c r="BH386" i="8"/>
  <c r="BM196" i="8"/>
  <c r="BH14" i="9"/>
  <c r="S221" i="8"/>
  <c r="BJ216" i="8"/>
  <c r="AG697" i="8"/>
  <c r="E162" i="12"/>
  <c r="AG37" i="8"/>
  <c r="BH381" i="8"/>
  <c r="AB67" i="8"/>
  <c r="BG369" i="8"/>
  <c r="BJ209" i="8"/>
  <c r="BK210" i="8" s="1"/>
  <c r="AD597" i="8"/>
  <c r="AD600" i="8" s="1"/>
  <c r="AB257" i="8"/>
  <c r="AJ107" i="8"/>
  <c r="BD4" i="9"/>
  <c r="BK145" i="8"/>
  <c r="AM519" i="8"/>
  <c r="AN519" i="8" s="1"/>
  <c r="AO519" i="8" s="1"/>
  <c r="AC257" i="8"/>
  <c r="AA573" i="8"/>
  <c r="BL573" i="8" s="1"/>
  <c r="AA567" i="8"/>
  <c r="BK142" i="8"/>
  <c r="BK427" i="8"/>
  <c r="BK428" i="8" s="1"/>
  <c r="BJ229" i="8"/>
  <c r="BJ213" i="8"/>
  <c r="AJ414" i="8"/>
  <c r="AF414" i="8"/>
  <c r="AA389" i="8"/>
  <c r="AA388" i="8"/>
  <c r="AO290" i="8"/>
  <c r="AO306" i="8" s="1"/>
  <c r="BP174" i="8"/>
  <c r="BP175" i="8" s="1"/>
  <c r="BC174" i="8"/>
  <c r="AF342" i="8"/>
  <c r="AF344" i="8" s="1"/>
  <c r="AF6" i="8" s="1"/>
  <c r="BF369" i="8"/>
  <c r="BL249" i="8"/>
  <c r="Y429" i="8"/>
  <c r="Y428" i="8"/>
  <c r="S487" i="8"/>
  <c r="S490" i="8"/>
  <c r="AA426" i="8"/>
  <c r="AA425" i="8"/>
  <c r="BG384" i="8"/>
  <c r="AC533" i="8"/>
  <c r="AE425" i="8"/>
  <c r="AF429" i="8"/>
  <c r="AF428" i="8"/>
  <c r="BH369" i="8"/>
  <c r="AJ430" i="8"/>
  <c r="AJ386" i="8"/>
  <c r="AJ440" i="8"/>
  <c r="AJ397" i="8"/>
  <c r="AJ396" i="8"/>
  <c r="Z4" i="9"/>
  <c r="AJ428" i="8"/>
  <c r="Y98" i="8"/>
  <c r="BG396" i="8"/>
  <c r="BL424" i="8"/>
  <c r="Z440" i="8"/>
  <c r="Z442" i="8" s="1"/>
  <c r="W429" i="8"/>
  <c r="W441" i="8"/>
  <c r="W412" i="8"/>
  <c r="BJ369" i="8"/>
  <c r="AH66" i="8"/>
  <c r="AL68" i="8" s="1"/>
  <c r="AH115" i="8"/>
  <c r="BK13" i="9"/>
  <c r="BG381" i="8"/>
  <c r="Y218" i="9"/>
  <c r="BN58" i="8"/>
  <c r="AX475" i="8"/>
  <c r="BC475" i="8"/>
  <c r="Z397" i="8"/>
  <c r="AI425" i="8"/>
  <c r="BN82" i="8"/>
  <c r="S312" i="8"/>
  <c r="AH225" i="8"/>
  <c r="Y397" i="8"/>
  <c r="BK275" i="8"/>
  <c r="BK277" i="8" s="1"/>
  <c r="X70" i="9"/>
  <c r="X11" i="9"/>
  <c r="X12" i="9" s="1"/>
  <c r="Y426" i="8"/>
  <c r="Z96" i="8"/>
  <c r="BK96" i="8" s="1"/>
  <c r="BK106" i="8" s="1"/>
  <c r="BK107" i="8" s="1"/>
  <c r="AJ273" i="8"/>
  <c r="Y396" i="8"/>
  <c r="BK565" i="8"/>
  <c r="BK567" i="8" s="1"/>
  <c r="Z573" i="8"/>
  <c r="Z575" i="8" s="1"/>
  <c r="Z567" i="8"/>
  <c r="AJ387" i="8"/>
  <c r="AJ389" i="8" s="1"/>
  <c r="Z385" i="8"/>
  <c r="Z266" i="8"/>
  <c r="BM249" i="8"/>
  <c r="AE24" i="9"/>
  <c r="BK476" i="8"/>
  <c r="BN158" i="8"/>
  <c r="BM427" i="8"/>
  <c r="AF440" i="8"/>
  <c r="AF396" i="8"/>
  <c r="AF397" i="8"/>
  <c r="W635" i="8"/>
  <c r="W641" i="8"/>
  <c r="W643" i="8" s="1"/>
  <c r="AD566" i="8"/>
  <c r="AC567" i="8"/>
  <c r="AC566" i="8"/>
  <c r="AX617" i="8"/>
  <c r="BC617" i="8"/>
  <c r="AX549" i="8"/>
  <c r="BC549" i="8"/>
  <c r="AH642" i="8"/>
  <c r="Q351" i="8"/>
  <c r="Q352" i="8" s="1"/>
  <c r="BG389" i="8"/>
  <c r="AI573" i="8"/>
  <c r="AI575" i="8" s="1"/>
  <c r="AT76" i="8"/>
  <c r="BC74" i="8"/>
  <c r="BF532" i="8"/>
  <c r="BJ668" i="8"/>
  <c r="X179" i="8"/>
  <c r="X147" i="8" s="1"/>
  <c r="X148" i="8" s="1"/>
  <c r="X163" i="8"/>
  <c r="BG550" i="8"/>
  <c r="AB163" i="8"/>
  <c r="AF425" i="8"/>
  <c r="AF426" i="8"/>
  <c r="X63" i="9"/>
  <c r="BL565" i="8"/>
  <c r="AF529" i="8"/>
  <c r="AF532" i="8" s="1"/>
  <c r="AF533" i="8" s="1"/>
  <c r="AF511" i="8"/>
  <c r="AF512" i="8"/>
  <c r="AG46" i="10"/>
  <c r="AF509" i="8"/>
  <c r="V12" i="20"/>
  <c r="AT43" i="20"/>
  <c r="AT49" i="20"/>
  <c r="AB55" i="8"/>
  <c r="AW147" i="8"/>
  <c r="AW148" i="8" s="1"/>
  <c r="BQ179" i="8"/>
  <c r="BR179" i="8" s="1"/>
  <c r="BS179" i="8" s="1"/>
  <c r="BT179" i="8" s="1"/>
  <c r="BU179" i="8" s="1"/>
  <c r="AB269" i="8"/>
  <c r="AB271" i="8"/>
  <c r="AD269" i="8"/>
  <c r="AD271" i="8"/>
  <c r="AO238" i="8"/>
  <c r="AI374" i="8"/>
  <c r="AI417" i="8"/>
  <c r="AI419" i="8" s="1"/>
  <c r="AI421" i="8" s="1"/>
  <c r="AI373" i="8"/>
  <c r="BH146" i="9"/>
  <c r="AN358" i="9"/>
  <c r="BK304" i="9"/>
  <c r="BK305" i="9" s="1"/>
  <c r="BK308" i="9" s="1"/>
  <c r="BK310" i="9" s="1"/>
  <c r="Y115" i="9"/>
  <c r="Y143" i="9" s="1"/>
  <c r="AA115" i="9"/>
  <c r="AA143" i="9" s="1"/>
  <c r="AK146" i="9"/>
  <c r="BI304" i="9"/>
  <c r="Z305" i="9"/>
  <c r="AA305" i="9"/>
  <c r="AA308" i="9" s="1"/>
  <c r="AA310" i="9" s="1"/>
  <c r="K74" i="12"/>
  <c r="BI153" i="9"/>
  <c r="K70" i="12" s="1"/>
  <c r="BI285" i="9"/>
  <c r="BJ282" i="9"/>
  <c r="Y159" i="9"/>
  <c r="Y152" i="9" s="1"/>
  <c r="Y151" i="9" s="1"/>
  <c r="Y69" i="9"/>
  <c r="BK285" i="9"/>
  <c r="BL282" i="9"/>
  <c r="AC389" i="8"/>
  <c r="AC388" i="8"/>
  <c r="AQ520" i="8"/>
  <c r="AR520" i="8" s="1"/>
  <c r="AS520" i="8" s="1"/>
  <c r="AT520" i="8" s="1"/>
  <c r="BP520" i="8" s="1"/>
  <c r="BO520" i="8"/>
  <c r="BO524" i="8" s="1"/>
  <c r="W149" i="8"/>
  <c r="W186" i="8" s="1"/>
  <c r="W187" i="8" s="1"/>
  <c r="AN157" i="8"/>
  <c r="AM157" i="8"/>
  <c r="AI432" i="8"/>
  <c r="AI431" i="8"/>
  <c r="BG348" i="8"/>
  <c r="AB417" i="8"/>
  <c r="AB419" i="8" s="1"/>
  <c r="AB421" i="8" s="1"/>
  <c r="AB373" i="8"/>
  <c r="BN590" i="8"/>
  <c r="Z425" i="8"/>
  <c r="BK424" i="8"/>
  <c r="S377" i="8"/>
  <c r="M377" i="8"/>
  <c r="BN46" i="8"/>
  <c r="AJ575" i="8"/>
  <c r="AJ574" i="8"/>
  <c r="AK295" i="8"/>
  <c r="AG301" i="8"/>
  <c r="AG295" i="8"/>
  <c r="Y269" i="8"/>
  <c r="Y268" i="8"/>
  <c r="AK635" i="8"/>
  <c r="AK641" i="8"/>
  <c r="AK643" i="8" s="1"/>
  <c r="AK634" i="8"/>
  <c r="J52" i="20"/>
  <c r="AW46" i="20"/>
  <c r="AW40" i="20"/>
  <c r="AW49" i="20"/>
  <c r="AW37" i="20"/>
  <c r="AW43" i="20"/>
  <c r="BS166" i="8"/>
  <c r="L52" i="20"/>
  <c r="AP55" i="20"/>
  <c r="AP52" i="20" s="1"/>
  <c r="H52" i="20"/>
  <c r="AO55" i="20"/>
  <c r="AO52" i="20" s="1"/>
  <c r="AS196" i="8"/>
  <c r="AR295" i="9"/>
  <c r="AR198" i="8"/>
  <c r="AS198" i="8"/>
  <c r="AR196" i="8"/>
  <c r="AN295" i="9"/>
  <c r="BS308" i="9"/>
  <c r="BS349" i="9"/>
  <c r="AN55" i="20"/>
  <c r="AN52" i="20" s="1"/>
  <c r="D52" i="20"/>
  <c r="BQ694" i="8"/>
  <c r="BQ690" i="8"/>
  <c r="BQ692" i="8"/>
  <c r="BQ684" i="8"/>
  <c r="G6" i="13"/>
  <c r="G5" i="13" s="1"/>
  <c r="BQ309" i="9"/>
  <c r="I8" i="13"/>
  <c r="H8" i="13"/>
  <c r="AF188" i="9"/>
  <c r="BI146" i="9"/>
  <c r="AD202" i="9"/>
  <c r="AD203" i="9"/>
  <c r="AJ115" i="9"/>
  <c r="AJ143" i="9" s="1"/>
  <c r="Y188" i="9"/>
  <c r="X188" i="9"/>
  <c r="BF153" i="9"/>
  <c r="H70" i="12" s="1"/>
  <c r="BI362" i="9"/>
  <c r="BI57" i="9"/>
  <c r="BI71" i="9" s="1"/>
  <c r="AL697" i="8"/>
  <c r="BL263" i="8"/>
  <c r="BK263" i="8"/>
  <c r="AH92" i="8"/>
  <c r="AH218" i="9"/>
  <c r="U119" i="8"/>
  <c r="U122" i="8"/>
  <c r="AM586" i="8"/>
  <c r="AN588" i="8"/>
  <c r="BH590" i="8"/>
  <c r="BH522" i="8"/>
  <c r="X697" i="8"/>
  <c r="BG529" i="8"/>
  <c r="BL395" i="8"/>
  <c r="AH98" i="8"/>
  <c r="BM96" i="8"/>
  <c r="AG63" i="9"/>
  <c r="Y3" i="9"/>
  <c r="Y174" i="9" s="1"/>
  <c r="Y9" i="8"/>
  <c r="X440" i="8"/>
  <c r="X396" i="8"/>
  <c r="X397" i="8"/>
  <c r="BK395" i="8"/>
  <c r="F500" i="8"/>
  <c r="F499" i="8"/>
  <c r="AJ334" i="8"/>
  <c r="AG328" i="8"/>
  <c r="AF331" i="8"/>
  <c r="AD595" i="8"/>
  <c r="Z597" i="8"/>
  <c r="Z600" i="8" s="1"/>
  <c r="H3" i="12"/>
  <c r="I4" i="12" s="1"/>
  <c r="H14" i="12"/>
  <c r="BJ383" i="8"/>
  <c r="BJ384" i="8"/>
  <c r="S230" i="8"/>
  <c r="S639" i="8"/>
  <c r="BM75" i="8"/>
  <c r="BM122" i="8"/>
  <c r="BM82" i="8"/>
  <c r="BM90" i="8"/>
  <c r="BM84" i="8"/>
  <c r="AE37" i="8"/>
  <c r="AE41" i="8"/>
  <c r="Y442" i="8"/>
  <c r="Y441" i="8"/>
  <c r="AC441" i="8"/>
  <c r="AC442" i="8"/>
  <c r="AO382" i="8"/>
  <c r="AK427" i="8"/>
  <c r="BF522" i="8"/>
  <c r="BG522" i="8"/>
  <c r="AL225" i="8"/>
  <c r="H676" i="8"/>
  <c r="G676" i="8"/>
  <c r="R377" i="8"/>
  <c r="S123" i="8"/>
  <c r="BJ590" i="8"/>
  <c r="BM368" i="9"/>
  <c r="BM363" i="9" s="1"/>
  <c r="AD697" i="8"/>
  <c r="BL487" i="8"/>
  <c r="BL486" i="8"/>
  <c r="BG144" i="8"/>
  <c r="BG153" i="8" s="1"/>
  <c r="BE144" i="8"/>
  <c r="BE153" i="8" s="1"/>
  <c r="AC153" i="8"/>
  <c r="AC154" i="8"/>
  <c r="Y697" i="8"/>
  <c r="Y49" i="8"/>
  <c r="Y54" i="8"/>
  <c r="Y37" i="8"/>
  <c r="Y41" i="8"/>
  <c r="Y45" i="8"/>
  <c r="AB167" i="8"/>
  <c r="AB179" i="8"/>
  <c r="AB147" i="8" s="1"/>
  <c r="AB148" i="8" s="1"/>
  <c r="AB162" i="8"/>
  <c r="E500" i="8"/>
  <c r="E499" i="8"/>
  <c r="AK383" i="8"/>
  <c r="BN382" i="8"/>
  <c r="BN383" i="8" s="1"/>
  <c r="BL476" i="8"/>
  <c r="BM476" i="8"/>
  <c r="AP587" i="8"/>
  <c r="BF16" i="9"/>
  <c r="AL498" i="8"/>
  <c r="AL492" i="8"/>
  <c r="AL491" i="8"/>
  <c r="AK492" i="8"/>
  <c r="AK498" i="8"/>
  <c r="AK491" i="8"/>
  <c r="AH498" i="8"/>
  <c r="AH491" i="8"/>
  <c r="AH492" i="8"/>
  <c r="AC492" i="8"/>
  <c r="AC491" i="8"/>
  <c r="AC498" i="8"/>
  <c r="AM233" i="8"/>
  <c r="AM226" i="8"/>
  <c r="AL233" i="8"/>
  <c r="AP225" i="8"/>
  <c r="BO326" i="8"/>
  <c r="AN326" i="8"/>
  <c r="AO326" i="8" s="1"/>
  <c r="AP326" i="8" s="1"/>
  <c r="AQ326" i="8" s="1"/>
  <c r="AD45" i="8"/>
  <c r="AD37" i="8"/>
  <c r="AD41" i="8"/>
  <c r="AD49" i="8"/>
  <c r="W607" i="8"/>
  <c r="BK606" i="8"/>
  <c r="BK607" i="8" s="1"/>
  <c r="X301" i="8"/>
  <c r="X295" i="8"/>
  <c r="S389" i="8"/>
  <c r="W388" i="8"/>
  <c r="S391" i="8"/>
  <c r="S388" i="8"/>
  <c r="P567" i="8"/>
  <c r="P566" i="8"/>
  <c r="P573" i="8"/>
  <c r="L567" i="8"/>
  <c r="L566" i="8"/>
  <c r="L573" i="8"/>
  <c r="H573" i="8"/>
  <c r="H567" i="8"/>
  <c r="AX74" i="8"/>
  <c r="BQ214" i="8"/>
  <c r="AU188" i="8"/>
  <c r="AU470" i="8"/>
  <c r="BF14" i="9"/>
  <c r="U12" i="9"/>
  <c r="U21" i="9"/>
  <c r="BE20" i="9"/>
  <c r="BE14" i="9"/>
  <c r="AJ188" i="9"/>
  <c r="BG11" i="9"/>
  <c r="O21" i="9"/>
  <c r="BE11" i="9"/>
  <c r="G21" i="9"/>
  <c r="J32" i="9"/>
  <c r="BE26" i="9"/>
  <c r="AD115" i="9"/>
  <c r="BJ115" i="9" s="1"/>
  <c r="AL21" i="9"/>
  <c r="AL12" i="9"/>
  <c r="V280" i="9"/>
  <c r="U143" i="9"/>
  <c r="BF64" i="9"/>
  <c r="W152" i="9"/>
  <c r="BE64" i="9"/>
  <c r="BJ146" i="9"/>
  <c r="L79" i="12" s="1"/>
  <c r="BD304" i="9"/>
  <c r="BD305" i="9" s="1"/>
  <c r="BD308" i="9" s="1"/>
  <c r="BD310" i="9" s="1"/>
  <c r="BJ368" i="9"/>
  <c r="BI368" i="9"/>
  <c r="BH282" i="9"/>
  <c r="BG285" i="9"/>
  <c r="AK28" i="9"/>
  <c r="BL28" i="9" s="1"/>
  <c r="AK279" i="9"/>
  <c r="AE152" i="9"/>
  <c r="AE151" i="9" s="1"/>
  <c r="AG188" i="9"/>
  <c r="AE279" i="9"/>
  <c r="BE146" i="9"/>
  <c r="BG64" i="9"/>
  <c r="BG153" i="9"/>
  <c r="I70" i="12" s="1"/>
  <c r="BI331" i="9"/>
  <c r="W329" i="9"/>
  <c r="BE16" i="9"/>
  <c r="BF6" i="9"/>
  <c r="BE24" i="9"/>
  <c r="BE6" i="9"/>
  <c r="G3" i="12"/>
  <c r="G14" i="12"/>
  <c r="X300" i="9"/>
  <c r="X279" i="9" s="1"/>
  <c r="H18" i="12"/>
  <c r="BF9" i="9"/>
  <c r="BN141" i="9"/>
  <c r="BN161" i="9" s="1"/>
  <c r="AU141" i="9"/>
  <c r="D32" i="9"/>
  <c r="D56" i="9"/>
  <c r="AH292" i="9"/>
  <c r="AH293" i="9" s="1"/>
  <c r="AH295" i="9" s="1"/>
  <c r="BK292" i="9"/>
  <c r="BK293" i="9" s="1"/>
  <c r="BK295" i="9" s="1"/>
  <c r="U152" i="9"/>
  <c r="AH115" i="9"/>
  <c r="BK115" i="9" s="1"/>
  <c r="AF115" i="9"/>
  <c r="AF143" i="9" s="1"/>
  <c r="X115" i="9"/>
  <c r="X143" i="9" s="1"/>
  <c r="W279" i="9"/>
  <c r="BG304" i="9"/>
  <c r="BH305" i="9" s="1"/>
  <c r="BE153" i="9"/>
  <c r="G70" i="12" s="1"/>
  <c r="BE304" i="9"/>
  <c r="BD65" i="9"/>
  <c r="BD145" i="9"/>
  <c r="Y280" i="9"/>
  <c r="BG282" i="9"/>
  <c r="BF285" i="9"/>
  <c r="BF282" i="9"/>
  <c r="BE285" i="9"/>
  <c r="BH64" i="9"/>
  <c r="BI64" i="9"/>
  <c r="AJ27" i="9"/>
  <c r="AJ279" i="9"/>
  <c r="BE289" i="9"/>
  <c r="BE293" i="9" s="1"/>
  <c r="BE295" i="9" s="1"/>
  <c r="BD289" i="9"/>
  <c r="BD293" i="9" s="1"/>
  <c r="BD295" i="9" s="1"/>
  <c r="AG216" i="9"/>
  <c r="AG214" i="9" s="1"/>
  <c r="R299" i="9"/>
  <c r="BG28" i="9"/>
  <c r="P168" i="9"/>
  <c r="O168" i="9"/>
  <c r="N168" i="9"/>
  <c r="BF304" i="9"/>
  <c r="V188" i="9"/>
  <c r="AG65" i="9"/>
  <c r="AF145" i="9"/>
  <c r="AF65" i="9"/>
  <c r="J31" i="12"/>
  <c r="AF305" i="9"/>
  <c r="AF308" i="9" s="1"/>
  <c r="AF310" i="9" s="1"/>
  <c r="AE305" i="9"/>
  <c r="AE308" i="9" s="1"/>
  <c r="AE310" i="9" s="1"/>
  <c r="BH129" i="9"/>
  <c r="BH142" i="9" s="1"/>
  <c r="V142" i="9"/>
  <c r="H35" i="9"/>
  <c r="H37" i="9"/>
  <c r="Q35" i="9"/>
  <c r="Q37" i="9"/>
  <c r="I37" i="9"/>
  <c r="I35" i="9"/>
  <c r="I18" i="12"/>
  <c r="BG9" i="9"/>
  <c r="G18" i="12"/>
  <c r="BE9" i="9"/>
  <c r="BG6" i="9"/>
  <c r="I14" i="12"/>
  <c r="Y35" i="9"/>
  <c r="Y37" i="9"/>
  <c r="BK146" i="9"/>
  <c r="M143" i="9"/>
  <c r="L143" i="9"/>
  <c r="U279" i="9"/>
  <c r="S32" i="9"/>
  <c r="K28" i="12"/>
  <c r="V300" i="9"/>
  <c r="BH300" i="9"/>
  <c r="Z12" i="9"/>
  <c r="Z21" i="9"/>
  <c r="BK129" i="9"/>
  <c r="BK142" i="9" s="1"/>
  <c r="AH142" i="9"/>
  <c r="BH159" i="9"/>
  <c r="S143" i="9"/>
  <c r="P143" i="9"/>
  <c r="Y293" i="9"/>
  <c r="Y295" i="9" s="1"/>
  <c r="W12" i="9"/>
  <c r="W21" i="9"/>
  <c r="L56" i="9"/>
  <c r="L32" i="9"/>
  <c r="M56" i="9"/>
  <c r="M32" i="9"/>
  <c r="E56" i="9"/>
  <c r="E32" i="9"/>
  <c r="N56" i="9"/>
  <c r="N32" i="9"/>
  <c r="P56" i="9"/>
  <c r="P32" i="9"/>
  <c r="R56" i="9"/>
  <c r="F56" i="9"/>
  <c r="F32" i="9"/>
  <c r="AP56" i="9"/>
  <c r="AP52" i="9" s="1"/>
  <c r="AP32" i="9"/>
  <c r="AD142" i="9"/>
  <c r="BJ129" i="9"/>
  <c r="BJ142" i="9" s="1"/>
  <c r="V115" i="9"/>
  <c r="BH97" i="9"/>
  <c r="Q143" i="9"/>
  <c r="AG293" i="9"/>
  <c r="AG295" i="9" s="1"/>
  <c r="O143" i="9"/>
  <c r="C143" i="9"/>
  <c r="AH146" i="9"/>
  <c r="Y12" i="9"/>
  <c r="AI188" i="9"/>
  <c r="Q168" i="9"/>
  <c r="Z174" i="9"/>
  <c r="Z145" i="9"/>
  <c r="AA65" i="9"/>
  <c r="Z65" i="9"/>
  <c r="Z187" i="9" s="1"/>
  <c r="N71" i="9"/>
  <c r="BF26" i="9"/>
  <c r="O69" i="9"/>
  <c r="N159" i="9"/>
  <c r="N152" i="9" s="1"/>
  <c r="N151" i="9" s="1"/>
  <c r="N69" i="9"/>
  <c r="S71" i="9"/>
  <c r="BH26" i="9"/>
  <c r="J28" i="12" s="1"/>
  <c r="H17" i="12"/>
  <c r="BF172" i="9"/>
  <c r="BF171" i="9"/>
  <c r="BG16" i="9"/>
  <c r="BG176" i="9"/>
  <c r="BG208" i="9"/>
  <c r="BG170" i="9"/>
  <c r="BG177" i="9"/>
  <c r="BF208" i="9"/>
  <c r="BF177" i="9"/>
  <c r="BE178" i="9"/>
  <c r="BE177" i="9"/>
  <c r="BE208" i="9"/>
  <c r="BE170" i="9"/>
  <c r="BE176" i="9"/>
  <c r="BD178" i="9"/>
  <c r="BD177" i="9"/>
  <c r="BD208" i="9"/>
  <c r="BD170" i="9"/>
  <c r="BG178" i="9"/>
  <c r="BG165" i="9"/>
  <c r="BF94" i="8"/>
  <c r="BE94" i="8"/>
  <c r="N142" i="9"/>
  <c r="N143" i="9" s="1"/>
  <c r="BF116" i="9"/>
  <c r="BF142" i="9" s="1"/>
  <c r="K21" i="9"/>
  <c r="K32" i="9" s="1"/>
  <c r="BF11" i="9"/>
  <c r="C21" i="9"/>
  <c r="C32" i="9" s="1"/>
  <c r="BD11" i="9"/>
  <c r="BF178" i="9"/>
  <c r="AB143" i="9"/>
  <c r="W143" i="9"/>
  <c r="E168" i="9"/>
  <c r="T143" i="9"/>
  <c r="BD159" i="9"/>
  <c r="BD152" i="9" s="1"/>
  <c r="BG14" i="9"/>
  <c r="H56" i="9"/>
  <c r="Q56" i="9"/>
  <c r="I56" i="9"/>
  <c r="Z202" i="9"/>
  <c r="Z203" i="9"/>
  <c r="AA202" i="9"/>
  <c r="BF176" i="9"/>
  <c r="BF170" i="9"/>
  <c r="BD174" i="9"/>
  <c r="BD176" i="9"/>
  <c r="T69" i="9"/>
  <c r="T159" i="9"/>
  <c r="T152" i="9" s="1"/>
  <c r="T151" i="9" s="1"/>
  <c r="U69" i="9"/>
  <c r="S69" i="9"/>
  <c r="R69" i="9"/>
  <c r="R159" i="9"/>
  <c r="R152" i="9" s="1"/>
  <c r="R151" i="9" s="1"/>
  <c r="AL368" i="9"/>
  <c r="AL363" i="9" s="1"/>
  <c r="AM368" i="9"/>
  <c r="AM363" i="9" s="1"/>
  <c r="BK362" i="9"/>
  <c r="BK57" i="9"/>
  <c r="BK71" i="9" s="1"/>
  <c r="AD368" i="9"/>
  <c r="AD363" i="9" s="1"/>
  <c r="AE368" i="9"/>
  <c r="AE363" i="9" s="1"/>
  <c r="BJ57" i="9"/>
  <c r="BJ362" i="9"/>
  <c r="Z368" i="9"/>
  <c r="Z363" i="9" s="1"/>
  <c r="Y368" i="9"/>
  <c r="Y363" i="9" s="1"/>
  <c r="BK368" i="9"/>
  <c r="BL368" i="9"/>
  <c r="BJ28" i="9"/>
  <c r="AD181" i="9"/>
  <c r="AE180" i="9"/>
  <c r="J52" i="9"/>
  <c r="E143" i="9"/>
  <c r="D143" i="9"/>
  <c r="BM64" i="9"/>
  <c r="W188" i="9"/>
  <c r="AO187" i="9"/>
  <c r="BL147" i="9"/>
  <c r="BL146" i="9" s="1"/>
  <c r="AM188" i="9"/>
  <c r="AM187" i="9" s="1"/>
  <c r="AL188" i="9"/>
  <c r="AC143" i="9"/>
  <c r="BJ280" i="9"/>
  <c r="AL183" i="9"/>
  <c r="BM304" i="9"/>
  <c r="BM305" i="9" s="1"/>
  <c r="BM308" i="9" s="1"/>
  <c r="BM310" i="9" s="1"/>
  <c r="AL356" i="9"/>
  <c r="AL358" i="9" s="1"/>
  <c r="AL305" i="9"/>
  <c r="AL308" i="9" s="1"/>
  <c r="AL310" i="9" s="1"/>
  <c r="AM305" i="9"/>
  <c r="AM308" i="9" s="1"/>
  <c r="AM310" i="9" s="1"/>
  <c r="U202" i="9"/>
  <c r="U203" i="9"/>
  <c r="L74" i="12"/>
  <c r="BJ153" i="9"/>
  <c r="L70" i="12" s="1"/>
  <c r="Z111" i="8"/>
  <c r="BK110" i="8"/>
  <c r="BK111" i="8" s="1"/>
  <c r="O71" i="9"/>
  <c r="R26" i="9"/>
  <c r="BG27" i="9"/>
  <c r="BL331" i="9"/>
  <c r="AJ329" i="9"/>
  <c r="BL329" i="9" s="1"/>
  <c r="AM279" i="9"/>
  <c r="AN279" i="9"/>
  <c r="AO279" i="9"/>
  <c r="AL142" i="9"/>
  <c r="BL129" i="9"/>
  <c r="BL142" i="9" s="1"/>
  <c r="AC202" i="9"/>
  <c r="AC203" i="9"/>
  <c r="BJ27" i="9"/>
  <c r="D213" i="12" s="1"/>
  <c r="AC26" i="9"/>
  <c r="AB203" i="9"/>
  <c r="AB202" i="9"/>
  <c r="Z337" i="9"/>
  <c r="BI336" i="9"/>
  <c r="BH337" i="9"/>
  <c r="S335" i="9"/>
  <c r="S59" i="9"/>
  <c r="BL64" i="9"/>
  <c r="BL159" i="9"/>
  <c r="AD300" i="9"/>
  <c r="AD279" i="9" s="1"/>
  <c r="BJ300" i="9"/>
  <c r="AM143" i="9"/>
  <c r="AL159" i="9"/>
  <c r="AL152" i="9" s="1"/>
  <c r="AL151" i="9" s="1"/>
  <c r="AL69" i="9"/>
  <c r="M28" i="12"/>
  <c r="Z142" i="9"/>
  <c r="BI129" i="9"/>
  <c r="BI142" i="9" s="1"/>
  <c r="BI79" i="9"/>
  <c r="BI108" i="9"/>
  <c r="BL153" i="9"/>
  <c r="N73" i="12"/>
  <c r="AV135" i="9"/>
  <c r="AV162" i="9" s="1"/>
  <c r="G168" i="9"/>
  <c r="BM289" i="9"/>
  <c r="G143" i="9"/>
  <c r="H143" i="9"/>
  <c r="I143" i="9"/>
  <c r="BH280" i="9"/>
  <c r="AK143" i="9"/>
  <c r="AI115" i="9"/>
  <c r="AI143" i="9" s="1"/>
  <c r="AG143" i="9"/>
  <c r="AK295" i="9"/>
  <c r="BL108" i="9"/>
  <c r="BM79" i="9"/>
  <c r="AF28" i="9"/>
  <c r="AF279" i="9"/>
  <c r="BI97" i="9"/>
  <c r="Z115" i="9"/>
  <c r="BI115" i="9" s="1"/>
  <c r="R292" i="9"/>
  <c r="R293" i="9" s="1"/>
  <c r="R295" i="9" s="1"/>
  <c r="BG292" i="9"/>
  <c r="I17" i="12"/>
  <c r="BG172" i="9"/>
  <c r="BG171" i="9"/>
  <c r="X55" i="9"/>
  <c r="X53" i="9" s="1"/>
  <c r="BI17" i="9"/>
  <c r="BI55" i="9" s="1"/>
  <c r="Y56" i="9"/>
  <c r="BG115" i="9"/>
  <c r="BF115" i="9"/>
  <c r="J143" i="9"/>
  <c r="BE115" i="9"/>
  <c r="BE143" i="9" s="1"/>
  <c r="BH362" i="9"/>
  <c r="BH363" i="9" s="1"/>
  <c r="BH57" i="9"/>
  <c r="BL280" i="9"/>
  <c r="AL280" i="9"/>
  <c r="BL307" i="9"/>
  <c r="BL300" i="9"/>
  <c r="AM498" i="8"/>
  <c r="AM492" i="8"/>
  <c r="AG491" i="8"/>
  <c r="AG492" i="8"/>
  <c r="AD491" i="8"/>
  <c r="AD492" i="8"/>
  <c r="Z492" i="8"/>
  <c r="Z498" i="8"/>
  <c r="Z500" i="8" s="1"/>
  <c r="Y498" i="8"/>
  <c r="Y500" i="8" s="1"/>
  <c r="Y492" i="8"/>
  <c r="BG343" i="8"/>
  <c r="AF225" i="8"/>
  <c r="BM590" i="8"/>
  <c r="AD54" i="8"/>
  <c r="AD3" i="9"/>
  <c r="AD9" i="8"/>
  <c r="BL311" i="8"/>
  <c r="BL286" i="8"/>
  <c r="BM285" i="8"/>
  <c r="BM286" i="8" s="1"/>
  <c r="AI323" i="8"/>
  <c r="AH323" i="8"/>
  <c r="AH299" i="8"/>
  <c r="T63" i="9"/>
  <c r="AN212" i="9"/>
  <c r="AN210" i="9"/>
  <c r="BK594" i="8"/>
  <c r="Y597" i="8"/>
  <c r="Y600" i="8" s="1"/>
  <c r="AC595" i="8"/>
  <c r="BL594" i="8"/>
  <c r="AG417" i="8"/>
  <c r="AG419" i="8" s="1"/>
  <c r="AG374" i="8"/>
  <c r="U630" i="8"/>
  <c r="U631" i="8"/>
  <c r="U633" i="8"/>
  <c r="F567" i="8"/>
  <c r="F573" i="8"/>
  <c r="F575" i="8" s="1"/>
  <c r="BJ343" i="8"/>
  <c r="BK522" i="8"/>
  <c r="BK297" i="8"/>
  <c r="T595" i="8"/>
  <c r="BJ522" i="8"/>
  <c r="BG388" i="8"/>
  <c r="BH343" i="8"/>
  <c r="BF343" i="8"/>
  <c r="AD9" i="9"/>
  <c r="AD21" i="9"/>
  <c r="AD32" i="9" s="1"/>
  <c r="AL409" i="8"/>
  <c r="BN409" i="8" s="1"/>
  <c r="BM409" i="8"/>
  <c r="BM410" i="8" s="1"/>
  <c r="AL285" i="8"/>
  <c r="AH367" i="8"/>
  <c r="AH290" i="8"/>
  <c r="BM290" i="8" s="1"/>
  <c r="AH294" i="8"/>
  <c r="Y7" i="9"/>
  <c r="BK59" i="8"/>
  <c r="AA595" i="8"/>
  <c r="W597" i="8"/>
  <c r="AA598" i="8" s="1"/>
  <c r="U563" i="8"/>
  <c r="U562" i="8"/>
  <c r="U565" i="8"/>
  <c r="Y562" i="8"/>
  <c r="X562" i="8"/>
  <c r="T565" i="8"/>
  <c r="T573" i="8" s="1"/>
  <c r="T562" i="8"/>
  <c r="T563" i="8"/>
  <c r="T391" i="8"/>
  <c r="T389" i="8"/>
  <c r="T388" i="8"/>
  <c r="T303" i="8"/>
  <c r="T302" i="8"/>
  <c r="T306" i="8"/>
  <c r="T308" i="8" s="1"/>
  <c r="S302" i="8"/>
  <c r="S303" i="8"/>
  <c r="S306" i="8"/>
  <c r="S308" i="8" s="1"/>
  <c r="W299" i="8"/>
  <c r="AA297" i="8"/>
  <c r="W294" i="8"/>
  <c r="BK294" i="8" s="1"/>
  <c r="AA296" i="8"/>
  <c r="BH631" i="8"/>
  <c r="BH630" i="8"/>
  <c r="R566" i="8"/>
  <c r="R567" i="8"/>
  <c r="R573" i="8"/>
  <c r="Q573" i="8"/>
  <c r="Q566" i="8"/>
  <c r="Q567" i="8"/>
  <c r="BH562" i="8"/>
  <c r="BH563" i="8"/>
  <c r="N567" i="8"/>
  <c r="N573" i="8"/>
  <c r="N578" i="8" s="1"/>
  <c r="N579" i="8" s="1"/>
  <c r="N566" i="8"/>
  <c r="M573" i="8"/>
  <c r="M567" i="8"/>
  <c r="M566" i="8"/>
  <c r="K567" i="8"/>
  <c r="BG565" i="8"/>
  <c r="K566" i="8"/>
  <c r="K573" i="8"/>
  <c r="K575" i="8" s="1"/>
  <c r="BG563" i="8"/>
  <c r="BG562" i="8"/>
  <c r="J567" i="8"/>
  <c r="J566" i="8"/>
  <c r="J573" i="8"/>
  <c r="I573" i="8"/>
  <c r="I567" i="8"/>
  <c r="I566" i="8"/>
  <c r="G573" i="8"/>
  <c r="BF565" i="8"/>
  <c r="BF567" i="8" s="1"/>
  <c r="G567" i="8"/>
  <c r="G566" i="8"/>
  <c r="BF563" i="8"/>
  <c r="BF562" i="8"/>
  <c r="E567" i="8"/>
  <c r="E573" i="8"/>
  <c r="E575" i="8" s="1"/>
  <c r="BH389" i="8"/>
  <c r="BH388" i="8"/>
  <c r="BF388" i="8"/>
  <c r="BF389" i="8"/>
  <c r="BH303" i="8"/>
  <c r="BH302" i="8"/>
  <c r="BG302" i="8"/>
  <c r="BG303" i="8"/>
  <c r="BF302" i="8"/>
  <c r="BF303" i="8"/>
  <c r="AH68" i="8"/>
  <c r="AD68" i="8"/>
  <c r="AG171" i="9"/>
  <c r="AG172" i="9"/>
  <c r="AB498" i="8"/>
  <c r="AB492" i="8"/>
  <c r="AD226" i="8"/>
  <c r="AD225" i="8"/>
  <c r="AD233" i="8"/>
  <c r="AB226" i="8"/>
  <c r="AB233" i="8"/>
  <c r="N6" i="12"/>
  <c r="O7" i="12" s="1"/>
  <c r="BO38" i="8"/>
  <c r="T33" i="8"/>
  <c r="T55" i="8" s="1"/>
  <c r="T45" i="8"/>
  <c r="X46" i="8"/>
  <c r="X595" i="8"/>
  <c r="T597" i="8"/>
  <c r="W595" i="8"/>
  <c r="S597" i="8"/>
  <c r="BK556" i="8"/>
  <c r="BJ556" i="8"/>
  <c r="BJ557" i="8"/>
  <c r="BJ299" i="8"/>
  <c r="BJ298" i="8"/>
  <c r="AB376" i="8"/>
  <c r="AB391" i="8"/>
  <c r="AE167" i="8"/>
  <c r="AE149" i="8" s="1"/>
  <c r="AE186" i="8" s="1"/>
  <c r="BH606" i="8"/>
  <c r="BH607" i="8" s="1"/>
  <c r="O607" i="8"/>
  <c r="AA498" i="8"/>
  <c r="BL490" i="8"/>
  <c r="AA492" i="8"/>
  <c r="AF226" i="8"/>
  <c r="AF233" i="8"/>
  <c r="BM220" i="8"/>
  <c r="BM221" i="8"/>
  <c r="AC225" i="8"/>
  <c r="AC226" i="8"/>
  <c r="AC233" i="8"/>
  <c r="BL220" i="8"/>
  <c r="BL221" i="8"/>
  <c r="AA226" i="8"/>
  <c r="AA233" i="8"/>
  <c r="BL224" i="8"/>
  <c r="BL226" i="8" s="1"/>
  <c r="Z233" i="8"/>
  <c r="Z226" i="8"/>
  <c r="Y233" i="8"/>
  <c r="Y226" i="8"/>
  <c r="AJ226" i="8"/>
  <c r="AJ225" i="8"/>
  <c r="BN327" i="8"/>
  <c r="AJ327" i="8"/>
  <c r="AK327" i="8" s="1"/>
  <c r="AL327" i="8" s="1"/>
  <c r="AM327" i="8" s="1"/>
  <c r="AA643" i="8"/>
  <c r="F676" i="8"/>
  <c r="E676" i="8"/>
  <c r="D676" i="8"/>
  <c r="C676" i="8"/>
  <c r="AN225" i="8"/>
  <c r="BG4" i="9"/>
  <c r="AF491" i="8"/>
  <c r="BE4" i="9"/>
  <c r="AF107" i="8"/>
  <c r="AA491" i="8"/>
  <c r="BN38" i="8"/>
  <c r="BP407" i="8"/>
  <c r="BM408" i="8"/>
  <c r="BT690" i="8"/>
  <c r="BT694" i="8"/>
  <c r="BT684" i="8"/>
  <c r="BT692" i="8"/>
  <c r="AL3" i="9"/>
  <c r="AL54" i="8"/>
  <c r="AL37" i="8"/>
  <c r="AM107" i="8"/>
  <c r="BN105" i="8"/>
  <c r="AC167" i="8"/>
  <c r="AC149" i="8" s="1"/>
  <c r="AC186" i="8" s="1"/>
  <c r="Y187" i="8"/>
  <c r="AF153" i="8"/>
  <c r="AF154" i="8"/>
  <c r="AJ152" i="8"/>
  <c r="AI152" i="8"/>
  <c r="AE153" i="8"/>
  <c r="AE154" i="8"/>
  <c r="AL156" i="8"/>
  <c r="AH152" i="8"/>
  <c r="AD154" i="8"/>
  <c r="AD153" i="8"/>
  <c r="BK372" i="8"/>
  <c r="BK373" i="8" s="1"/>
  <c r="Z373" i="8"/>
  <c r="Z417" i="8"/>
  <c r="AB225" i="8"/>
  <c r="X233" i="8"/>
  <c r="X226" i="8"/>
  <c r="X225" i="8"/>
  <c r="Z187" i="8"/>
  <c r="AD167" i="8"/>
  <c r="AD149" i="8" s="1"/>
  <c r="AD186" i="8" s="1"/>
  <c r="BL692" i="8"/>
  <c r="BL694" i="8"/>
  <c r="BL690" i="8"/>
  <c r="BL684" i="8"/>
  <c r="BH663" i="8"/>
  <c r="AB375" i="8"/>
  <c r="BL11" i="9"/>
  <c r="N21" i="12" s="1"/>
  <c r="V377" i="8"/>
  <c r="BK383" i="8"/>
  <c r="BL266" i="8"/>
  <c r="BL522" i="8"/>
  <c r="AC37" i="8"/>
  <c r="AC9" i="8"/>
  <c r="AC41" i="8"/>
  <c r="AC49" i="8"/>
  <c r="P66" i="8"/>
  <c r="P115" i="8"/>
  <c r="I115" i="8"/>
  <c r="I66" i="8"/>
  <c r="T89" i="8"/>
  <c r="T214" i="9"/>
  <c r="AA273" i="8"/>
  <c r="AA279" i="8"/>
  <c r="AA281" i="8" s="1"/>
  <c r="X376" i="8"/>
  <c r="X375" i="8"/>
  <c r="Y279" i="8"/>
  <c r="Y272" i="8"/>
  <c r="Y273" i="8"/>
  <c r="BK616" i="8"/>
  <c r="BJ617" i="8"/>
  <c r="BK618" i="8" s="1"/>
  <c r="BF375" i="8"/>
  <c r="BF376" i="8"/>
  <c r="AD527" i="8"/>
  <c r="AH527" i="8"/>
  <c r="AD529" i="8"/>
  <c r="AH111" i="8"/>
  <c r="BM110" i="8"/>
  <c r="BM111" i="8" s="1"/>
  <c r="BK580" i="8"/>
  <c r="C51" i="12"/>
  <c r="C53" i="12" s="1"/>
  <c r="BE122" i="8"/>
  <c r="Y295" i="8"/>
  <c r="Y301" i="8"/>
  <c r="X387" i="8"/>
  <c r="X386" i="8"/>
  <c r="X430" i="8"/>
  <c r="AB414" i="8"/>
  <c r="X426" i="8"/>
  <c r="X412" i="8"/>
  <c r="X429" i="8"/>
  <c r="AI291" i="8"/>
  <c r="AI288" i="8"/>
  <c r="AI289" i="8" s="1"/>
  <c r="BH208" i="9"/>
  <c r="BH177" i="9"/>
  <c r="BH170" i="9"/>
  <c r="BH176" i="9"/>
  <c r="BH178" i="9"/>
  <c r="J18" i="12"/>
  <c r="BH9" i="9"/>
  <c r="J14" i="12"/>
  <c r="BH6" i="9"/>
  <c r="AE5" i="8"/>
  <c r="AE354" i="8"/>
  <c r="BM354" i="8" s="1"/>
  <c r="BO224" i="8"/>
  <c r="BO226" i="8" s="1"/>
  <c r="AN233" i="8"/>
  <c r="AN234" i="8" s="1"/>
  <c r="AN226" i="8"/>
  <c r="BF550" i="8"/>
  <c r="S618" i="8"/>
  <c r="BH546" i="8"/>
  <c r="R392" i="8"/>
  <c r="U665" i="8"/>
  <c r="U676" i="8" s="1"/>
  <c r="AB21" i="9"/>
  <c r="AB32" i="9" s="1"/>
  <c r="AB12" i="9"/>
  <c r="BJ629" i="8"/>
  <c r="BJ561" i="8"/>
  <c r="BJ301" i="8"/>
  <c r="BJ663" i="8"/>
  <c r="Q676" i="8"/>
  <c r="M676" i="8"/>
  <c r="P676" i="8"/>
  <c r="N676" i="8"/>
  <c r="I676" i="8"/>
  <c r="R676" i="8"/>
  <c r="L676" i="8"/>
  <c r="J676" i="8"/>
  <c r="AG642" i="8"/>
  <c r="O676" i="8"/>
  <c r="K676" i="8"/>
  <c r="AG9" i="8"/>
  <c r="AC3" i="9"/>
  <c r="AC54" i="8"/>
  <c r="AC697" i="8"/>
  <c r="AC45" i="8"/>
  <c r="AG34" i="8"/>
  <c r="AC34" i="8"/>
  <c r="N67" i="8"/>
  <c r="N66" i="8"/>
  <c r="N115" i="8"/>
  <c r="M115" i="8"/>
  <c r="M66" i="8"/>
  <c r="M67" i="8"/>
  <c r="L67" i="8"/>
  <c r="P67" i="8"/>
  <c r="L66" i="8"/>
  <c r="L115" i="8"/>
  <c r="H66" i="8"/>
  <c r="H115" i="8"/>
  <c r="H67" i="8"/>
  <c r="F115" i="8"/>
  <c r="F66" i="8"/>
  <c r="E115" i="8"/>
  <c r="I67" i="8"/>
  <c r="E66" i="8"/>
  <c r="U98" i="8"/>
  <c r="U92" i="8"/>
  <c r="U94" i="8" s="1"/>
  <c r="U218" i="9"/>
  <c r="AM177" i="9"/>
  <c r="AM178" i="9"/>
  <c r="AM208" i="9"/>
  <c r="BJ153" i="8"/>
  <c r="BJ161" i="8"/>
  <c r="BK154" i="8"/>
  <c r="BF144" i="8"/>
  <c r="R641" i="8"/>
  <c r="R635" i="8"/>
  <c r="P618" i="8"/>
  <c r="T618" i="8"/>
  <c r="BJ616" i="8"/>
  <c r="BH617" i="8"/>
  <c r="BH616" i="8"/>
  <c r="R618" i="8"/>
  <c r="N618" i="8"/>
  <c r="BM694" i="8"/>
  <c r="BM692" i="8"/>
  <c r="BM684" i="8"/>
  <c r="BM690" i="8"/>
  <c r="W634" i="8"/>
  <c r="BJ396" i="8"/>
  <c r="BJ397" i="8"/>
  <c r="AB116" i="8"/>
  <c r="AB86" i="8"/>
  <c r="AB119" i="8"/>
  <c r="AB23" i="9"/>
  <c r="AB24" i="9" s="1"/>
  <c r="AA697" i="8"/>
  <c r="AA41" i="8"/>
  <c r="AD119" i="8"/>
  <c r="AD23" i="9"/>
  <c r="AD24" i="9" s="1"/>
  <c r="AD116" i="8"/>
  <c r="AF291" i="8"/>
  <c r="AF288" i="8"/>
  <c r="AG288" i="8"/>
  <c r="AG289" i="8" s="1"/>
  <c r="AG291" i="8"/>
  <c r="AK306" i="8"/>
  <c r="AK291" i="8"/>
  <c r="AK288" i="8"/>
  <c r="BM618" i="8"/>
  <c r="BL618" i="8"/>
  <c r="W34" i="8"/>
  <c r="S55" i="8"/>
  <c r="AM212" i="9"/>
  <c r="AM215" i="9" s="1"/>
  <c r="AM210" i="9"/>
  <c r="AM176" i="9"/>
  <c r="AM174" i="9"/>
  <c r="BE292" i="8"/>
  <c r="BE663" i="8"/>
  <c r="R393" i="8"/>
  <c r="R399" i="8"/>
  <c r="T377" i="8"/>
  <c r="P377" i="8"/>
  <c r="AG339" i="8"/>
  <c r="AH340" i="8"/>
  <c r="BG546" i="8"/>
  <c r="BG663" i="8"/>
  <c r="BF663" i="8"/>
  <c r="BH4" i="9"/>
  <c r="BK380" i="8"/>
  <c r="BO408" i="8"/>
  <c r="BJ666" i="8"/>
  <c r="BM580" i="8"/>
  <c r="AK123" i="8"/>
  <c r="BJ5" i="9"/>
  <c r="BL157" i="8"/>
  <c r="BL152" i="8"/>
  <c r="BM156" i="8"/>
  <c r="AK156" i="8"/>
  <c r="AG152" i="8"/>
  <c r="S565" i="8"/>
  <c r="S563" i="8"/>
  <c r="S562" i="8"/>
  <c r="W562" i="8"/>
  <c r="O566" i="8"/>
  <c r="O573" i="8"/>
  <c r="O567" i="8"/>
  <c r="BH565" i="8"/>
  <c r="D567" i="8"/>
  <c r="D573" i="8"/>
  <c r="BE565" i="8"/>
  <c r="H566" i="8"/>
  <c r="X630" i="8"/>
  <c r="T633" i="8"/>
  <c r="T630" i="8"/>
  <c r="T631" i="8"/>
  <c r="BH550" i="8"/>
  <c r="BJ550" i="8"/>
  <c r="Q635" i="8"/>
  <c r="Q634" i="8"/>
  <c r="Q641" i="8"/>
  <c r="P634" i="8"/>
  <c r="P641" i="8"/>
  <c r="P635" i="8"/>
  <c r="O641" i="8"/>
  <c r="O635" i="8"/>
  <c r="BH633" i="8"/>
  <c r="O634" i="8"/>
  <c r="R634" i="8"/>
  <c r="N635" i="8"/>
  <c r="N641" i="8"/>
  <c r="N634" i="8"/>
  <c r="M641" i="8"/>
  <c r="BG633" i="8"/>
  <c r="BG635" i="8" s="1"/>
  <c r="M634" i="8"/>
  <c r="M635" i="8"/>
  <c r="R307" i="8"/>
  <c r="R314" i="8"/>
  <c r="R308" i="8"/>
  <c r="Q314" i="8"/>
  <c r="Q307" i="8"/>
  <c r="Q308" i="8"/>
  <c r="P308" i="8"/>
  <c r="P314" i="8"/>
  <c r="P307" i="8"/>
  <c r="BH292" i="8"/>
  <c r="BH291" i="8"/>
  <c r="O308" i="8"/>
  <c r="O314" i="8"/>
  <c r="BH306" i="8"/>
  <c r="O307" i="8"/>
  <c r="N308" i="8"/>
  <c r="N314" i="8"/>
  <c r="N307" i="8"/>
  <c r="M307" i="8"/>
  <c r="M308" i="8"/>
  <c r="M314" i="8"/>
  <c r="L314" i="8"/>
  <c r="L308" i="8"/>
  <c r="L307" i="8"/>
  <c r="K308" i="8"/>
  <c r="K314" i="8"/>
  <c r="BG306" i="8"/>
  <c r="K307" i="8"/>
  <c r="BG291" i="8"/>
  <c r="BG292" i="8"/>
  <c r="J314" i="8"/>
  <c r="J308" i="8"/>
  <c r="J307" i="8"/>
  <c r="I308" i="8"/>
  <c r="I314" i="8"/>
  <c r="I307" i="8"/>
  <c r="H314" i="8"/>
  <c r="H308" i="8"/>
  <c r="H307" i="8"/>
  <c r="BF292" i="8"/>
  <c r="BF291" i="8"/>
  <c r="G307" i="8"/>
  <c r="BF306" i="8"/>
  <c r="G314" i="8"/>
  <c r="G308" i="8"/>
  <c r="F314" i="8"/>
  <c r="F308" i="8"/>
  <c r="F307" i="8"/>
  <c r="E307" i="8"/>
  <c r="E308" i="8"/>
  <c r="E314" i="8"/>
  <c r="D307" i="8"/>
  <c r="D314" i="8"/>
  <c r="D308" i="8"/>
  <c r="C308" i="8"/>
  <c r="C314" i="8"/>
  <c r="BE306" i="8"/>
  <c r="BE308" i="8" s="1"/>
  <c r="C307" i="8"/>
  <c r="Q392" i="8"/>
  <c r="Q393" i="8"/>
  <c r="Q399" i="8"/>
  <c r="U377" i="8"/>
  <c r="Q377" i="8"/>
  <c r="P392" i="8"/>
  <c r="P393" i="8"/>
  <c r="P399" i="8"/>
  <c r="O393" i="8"/>
  <c r="BH391" i="8"/>
  <c r="O392" i="8"/>
  <c r="O399" i="8"/>
  <c r="BH376" i="8"/>
  <c r="BH375" i="8"/>
  <c r="N399" i="8"/>
  <c r="N392" i="8"/>
  <c r="N393" i="8"/>
  <c r="M393" i="8"/>
  <c r="M392" i="8"/>
  <c r="M399" i="8"/>
  <c r="L393" i="8"/>
  <c r="L399" i="8"/>
  <c r="L392" i="8"/>
  <c r="BG376" i="8"/>
  <c r="BG375" i="8"/>
  <c r="K392" i="8"/>
  <c r="BG391" i="8"/>
  <c r="K393" i="8"/>
  <c r="K399" i="8"/>
  <c r="O377" i="8"/>
  <c r="K377" i="8"/>
  <c r="N377" i="8"/>
  <c r="J377" i="8"/>
  <c r="J392" i="8"/>
  <c r="J393" i="8"/>
  <c r="J399" i="8"/>
  <c r="I399" i="8"/>
  <c r="I393" i="8"/>
  <c r="I392" i="8"/>
  <c r="H399" i="8"/>
  <c r="H393" i="8"/>
  <c r="H392" i="8"/>
  <c r="G399" i="8"/>
  <c r="BF391" i="8"/>
  <c r="G393" i="8"/>
  <c r="G392" i="8"/>
  <c r="BE391" i="8"/>
  <c r="BE393" i="8" s="1"/>
  <c r="C399" i="8"/>
  <c r="BE399" i="8" s="1"/>
  <c r="BE401" i="8" s="1"/>
  <c r="X331" i="8"/>
  <c r="Y326" i="8"/>
  <c r="AF4" i="8"/>
  <c r="S212" i="9"/>
  <c r="S210" i="9"/>
  <c r="BE210" i="9"/>
  <c r="BJ376" i="8"/>
  <c r="BJ375" i="8"/>
  <c r="BJ381" i="8"/>
  <c r="BJ380" i="8"/>
  <c r="BK624" i="8"/>
  <c r="BJ624" i="8"/>
  <c r="BJ667" i="8"/>
  <c r="BJ625" i="8"/>
  <c r="BJ295" i="8"/>
  <c r="BJ296" i="8"/>
  <c r="AJ492" i="8"/>
  <c r="AN491" i="8"/>
  <c r="AJ491" i="8"/>
  <c r="AJ498" i="8"/>
  <c r="AH383" i="8"/>
  <c r="AD384" i="8"/>
  <c r="AD427" i="8"/>
  <c r="AD387" i="8"/>
  <c r="BL382" i="8"/>
  <c r="AD383" i="8"/>
  <c r="BL261" i="8"/>
  <c r="BL260" i="8"/>
  <c r="BN260" i="8"/>
  <c r="BM260" i="8"/>
  <c r="BL385" i="8"/>
  <c r="BL386" i="8" s="1"/>
  <c r="AD430" i="8"/>
  <c r="AD386" i="8"/>
  <c r="AH386" i="8"/>
  <c r="AH387" i="8"/>
  <c r="AH430" i="8"/>
  <c r="BL264" i="8"/>
  <c r="BL365" i="8"/>
  <c r="AA123" i="8"/>
  <c r="AE123" i="8"/>
  <c r="AF172" i="9"/>
  <c r="AF171" i="9"/>
  <c r="Y220" i="8"/>
  <c r="U221" i="8"/>
  <c r="U224" i="8"/>
  <c r="BJ219" i="8"/>
  <c r="BJ221" i="8" s="1"/>
  <c r="BN285" i="8"/>
  <c r="AN285" i="8"/>
  <c r="AJ290" i="8"/>
  <c r="AN500" i="8"/>
  <c r="AN503" i="8"/>
  <c r="U389" i="8"/>
  <c r="Y388" i="8"/>
  <c r="AD417" i="8"/>
  <c r="AD419" i="8" s="1"/>
  <c r="AH373" i="8"/>
  <c r="AD373" i="8"/>
  <c r="AD374" i="8"/>
  <c r="BR480" i="8"/>
  <c r="BS480" i="8" s="1"/>
  <c r="BT480" i="8" s="1"/>
  <c r="BU480" i="8" s="1"/>
  <c r="BP481" i="8"/>
  <c r="AM23" i="9"/>
  <c r="AM24" i="9" s="1"/>
  <c r="AM119" i="8"/>
  <c r="AM116" i="8"/>
  <c r="AO23" i="9"/>
  <c r="AO24" i="9" s="1"/>
  <c r="AO116" i="8"/>
  <c r="AO117" i="8" s="1"/>
  <c r="AO122" i="8"/>
  <c r="AO123" i="8" s="1"/>
  <c r="AN24" i="9"/>
  <c r="AM21" i="9"/>
  <c r="AM32" i="9" s="1"/>
  <c r="AM35" i="9" s="1"/>
  <c r="AM12" i="9"/>
  <c r="AF492" i="8"/>
  <c r="AF498" i="8"/>
  <c r="G51" i="12"/>
  <c r="BF122" i="8"/>
  <c r="H51" i="12"/>
  <c r="BG122" i="8"/>
  <c r="AI269" i="8"/>
  <c r="AI268" i="8"/>
  <c r="BN267" i="8"/>
  <c r="AH269" i="8"/>
  <c r="AH268" i="8"/>
  <c r="AE269" i="8"/>
  <c r="AE268" i="8"/>
  <c r="AE271" i="8"/>
  <c r="AI272" i="8" s="1"/>
  <c r="AB431" i="8"/>
  <c r="AB432" i="8"/>
  <c r="V111" i="8"/>
  <c r="BJ110" i="8"/>
  <c r="BJ111" i="8" s="1"/>
  <c r="V391" i="8"/>
  <c r="V388" i="8"/>
  <c r="U306" i="8"/>
  <c r="U303" i="8"/>
  <c r="V665" i="8"/>
  <c r="V676" i="8" s="1"/>
  <c r="R123" i="8"/>
  <c r="S658" i="8"/>
  <c r="S659" i="8" s="1"/>
  <c r="O658" i="8"/>
  <c r="O659" i="8" s="1"/>
  <c r="K658" i="8"/>
  <c r="K659" i="8" s="1"/>
  <c r="BL380" i="8"/>
  <c r="BK413" i="8"/>
  <c r="R168" i="9"/>
  <c r="AI273" i="8"/>
  <c r="AI279" i="8"/>
  <c r="BN271" i="8"/>
  <c r="Z46" i="8"/>
  <c r="V45" i="8"/>
  <c r="V33" i="8"/>
  <c r="V362" i="8"/>
  <c r="V658" i="8"/>
  <c r="V659" i="8" s="1"/>
  <c r="BJ638" i="8"/>
  <c r="BH218" i="9"/>
  <c r="BJ106" i="8"/>
  <c r="BJ98" i="8"/>
  <c r="W214" i="9"/>
  <c r="W63" i="9"/>
  <c r="U49" i="8"/>
  <c r="Y50" i="8"/>
  <c r="Y527" i="8"/>
  <c r="U527" i="8"/>
  <c r="U529" i="8"/>
  <c r="U658" i="8"/>
  <c r="U659" i="8" s="1"/>
  <c r="U362" i="8"/>
  <c r="Q618" i="8"/>
  <c r="U618" i="8"/>
  <c r="Q215" i="9"/>
  <c r="Q219" i="9"/>
  <c r="Q217" i="9"/>
  <c r="N215" i="9"/>
  <c r="N217" i="9"/>
  <c r="N219" i="9"/>
  <c r="E219" i="9"/>
  <c r="E217" i="9"/>
  <c r="E215" i="9"/>
  <c r="N9" i="12"/>
  <c r="BN33" i="8"/>
  <c r="U607" i="8"/>
  <c r="BJ606" i="8"/>
  <c r="BJ607" i="8" s="1"/>
  <c r="AA54" i="8"/>
  <c r="AA55" i="8" s="1"/>
  <c r="BL8" i="8"/>
  <c r="AA45" i="8"/>
  <c r="AA37" i="8"/>
  <c r="AA9" i="8"/>
  <c r="AA49" i="8"/>
  <c r="AA3" i="9"/>
  <c r="AC115" i="8"/>
  <c r="BL65" i="8"/>
  <c r="AJ635" i="8"/>
  <c r="AJ641" i="8"/>
  <c r="AA86" i="8"/>
  <c r="AA116" i="8"/>
  <c r="BK71" i="8"/>
  <c r="BK75" i="8"/>
  <c r="BK122" i="8"/>
  <c r="BK123" i="8" s="1"/>
  <c r="BK90" i="8"/>
  <c r="BK131" i="8"/>
  <c r="BK58" i="8"/>
  <c r="BK82" i="8"/>
  <c r="BK84" i="8"/>
  <c r="Y23" i="9"/>
  <c r="Y24" i="9" s="1"/>
  <c r="Y86" i="8"/>
  <c r="Y116" i="8"/>
  <c r="Y117" i="8" s="1"/>
  <c r="Y119" i="8"/>
  <c r="BK62" i="8"/>
  <c r="BK63" i="8"/>
  <c r="X350" i="8"/>
  <c r="T357" i="8"/>
  <c r="T359" i="8" s="1"/>
  <c r="R66" i="8"/>
  <c r="R115" i="8"/>
  <c r="R67" i="8"/>
  <c r="Q66" i="8"/>
  <c r="U68" i="8" s="1"/>
  <c r="Q115" i="8"/>
  <c r="Q67" i="8"/>
  <c r="U67" i="8"/>
  <c r="BH90" i="8"/>
  <c r="I65" i="12"/>
  <c r="O66" i="8"/>
  <c r="O115" i="8"/>
  <c r="O67" i="8"/>
  <c r="BH65" i="8"/>
  <c r="BH129" i="8"/>
  <c r="O17" i="9"/>
  <c r="K67" i="8"/>
  <c r="K66" i="8"/>
  <c r="BG65" i="8"/>
  <c r="K115" i="8"/>
  <c r="BG129" i="8"/>
  <c r="K17" i="9"/>
  <c r="BG90" i="8"/>
  <c r="H65" i="12"/>
  <c r="J67" i="8"/>
  <c r="J66" i="8"/>
  <c r="J115" i="8"/>
  <c r="BF65" i="8"/>
  <c r="G67" i="8"/>
  <c r="G66" i="8"/>
  <c r="G115" i="8"/>
  <c r="BF129" i="8"/>
  <c r="G17" i="9"/>
  <c r="BF90" i="8"/>
  <c r="G65" i="12"/>
  <c r="D66" i="8"/>
  <c r="D115" i="8"/>
  <c r="BE129" i="8"/>
  <c r="C17" i="9"/>
  <c r="BE90" i="8"/>
  <c r="C65" i="12"/>
  <c r="BE65" i="8"/>
  <c r="BE66" i="8" s="1"/>
  <c r="C66" i="8"/>
  <c r="C115" i="8"/>
  <c r="BI11" i="9"/>
  <c r="K21" i="12" s="1"/>
  <c r="AB34" i="8"/>
  <c r="M168" i="9"/>
  <c r="X533" i="8"/>
  <c r="BM641" i="8"/>
  <c r="BK337" i="8"/>
  <c r="BM11" i="9"/>
  <c r="AG306" i="8"/>
  <c r="X419" i="8"/>
  <c r="BM33" i="8"/>
  <c r="BJ123" i="8"/>
  <c r="AA23" i="9"/>
  <c r="AA24" i="9" s="1"/>
  <c r="AA119" i="8"/>
  <c r="U357" i="8"/>
  <c r="U351" i="8"/>
  <c r="U352" i="8" s="1"/>
  <c r="BH639" i="8"/>
  <c r="BH571" i="8"/>
  <c r="BH672" i="8"/>
  <c r="BH665" i="8" s="1"/>
  <c r="BH312" i="8"/>
  <c r="BG571" i="8"/>
  <c r="BG639" i="8"/>
  <c r="BG312" i="8"/>
  <c r="BG672" i="8"/>
  <c r="BG665" i="8" s="1"/>
  <c r="BF571" i="8"/>
  <c r="BF312" i="8"/>
  <c r="BF672" i="8"/>
  <c r="BF665" i="8" s="1"/>
  <c r="BE571" i="8"/>
  <c r="BE672" i="8"/>
  <c r="BE665" i="8" s="1"/>
  <c r="BE312" i="8"/>
  <c r="D217" i="9"/>
  <c r="D215" i="9"/>
  <c r="D219" i="9"/>
  <c r="K219" i="9"/>
  <c r="K215" i="9"/>
  <c r="K217" i="9"/>
  <c r="U597" i="8"/>
  <c r="U595" i="8"/>
  <c r="BJ594" i="8"/>
  <c r="Y595" i="8"/>
  <c r="V595" i="8"/>
  <c r="Z595" i="8"/>
  <c r="V597" i="8"/>
  <c r="BK614" i="8"/>
  <c r="BJ614" i="8"/>
  <c r="AJ417" i="8"/>
  <c r="AJ419" i="8" s="1"/>
  <c r="AJ374" i="8"/>
  <c r="AI498" i="8"/>
  <c r="AM491" i="8"/>
  <c r="BM490" i="8"/>
  <c r="BM492" i="8" s="1"/>
  <c r="AE491" i="8"/>
  <c r="AO225" i="8"/>
  <c r="AK233" i="8"/>
  <c r="AK225" i="8"/>
  <c r="AK226" i="8"/>
  <c r="W225" i="8"/>
  <c r="W233" i="8"/>
  <c r="W226" i="8"/>
  <c r="AL165" i="8"/>
  <c r="BM165" i="8"/>
  <c r="BM166" i="8" s="1"/>
  <c r="AK106" i="8"/>
  <c r="AK107" i="8" s="1"/>
  <c r="AL101" i="8"/>
  <c r="AK102" i="8"/>
  <c r="AF387" i="8"/>
  <c r="AF386" i="8"/>
  <c r="AF430" i="8"/>
  <c r="AU427" i="8"/>
  <c r="W273" i="8"/>
  <c r="AA272" i="8"/>
  <c r="W272" i="8"/>
  <c r="W279" i="8"/>
  <c r="AG566" i="8"/>
  <c r="BM565" i="8"/>
  <c r="BL33" i="8"/>
  <c r="O9" i="17"/>
  <c r="L9" i="17"/>
  <c r="AF295" i="8"/>
  <c r="AF301" i="8"/>
  <c r="W539" i="8"/>
  <c r="BK538" i="8"/>
  <c r="BK539" i="8" s="1"/>
  <c r="BK526" i="8"/>
  <c r="W529" i="8"/>
  <c r="BK529" i="8" s="1"/>
  <c r="AA527" i="8"/>
  <c r="W116" i="8"/>
  <c r="W576" i="8"/>
  <c r="W23" i="9"/>
  <c r="W24" i="9" s="1"/>
  <c r="W119" i="8"/>
  <c r="W86" i="8"/>
  <c r="S496" i="8"/>
  <c r="S672" i="8"/>
  <c r="S665" i="8" s="1"/>
  <c r="S676" i="8" s="1"/>
  <c r="S129" i="8"/>
  <c r="S90" i="8"/>
  <c r="S65" i="8"/>
  <c r="AT555" i="8"/>
  <c r="BC555" i="8" s="1"/>
  <c r="BO555" i="8"/>
  <c r="BO556" i="8" s="1"/>
  <c r="AX623" i="8"/>
  <c r="BQ623" i="8" s="1"/>
  <c r="BP623" i="8"/>
  <c r="AB635" i="8"/>
  <c r="AB641" i="8"/>
  <c r="AF634" i="8"/>
  <c r="BL633" i="8"/>
  <c r="AB634" i="8"/>
  <c r="S49" i="8"/>
  <c r="BJ48" i="8"/>
  <c r="W50" i="8"/>
  <c r="BK512" i="8"/>
  <c r="BL512" i="8"/>
  <c r="W512" i="8"/>
  <c r="AA512" i="8"/>
  <c r="W532" i="8"/>
  <c r="BM131" i="8"/>
  <c r="BN130" i="8"/>
  <c r="M14" i="12"/>
  <c r="AX174" i="8"/>
  <c r="BQ174" i="8" s="1"/>
  <c r="BN490" i="8"/>
  <c r="AI492" i="8"/>
  <c r="AI491" i="8"/>
  <c r="AE492" i="8"/>
  <c r="AE498" i="8"/>
  <c r="X498" i="8"/>
  <c r="AB491" i="8"/>
  <c r="X492" i="8"/>
  <c r="W492" i="8"/>
  <c r="BK490" i="8"/>
  <c r="W491" i="8"/>
  <c r="W498" i="8"/>
  <c r="AG233" i="8"/>
  <c r="AG225" i="8"/>
  <c r="AG226" i="8"/>
  <c r="AA225" i="8"/>
  <c r="BK224" i="8"/>
  <c r="X162" i="8"/>
  <c r="X167" i="8"/>
  <c r="X149" i="8" s="1"/>
  <c r="X186" i="8" s="1"/>
  <c r="BG209" i="8"/>
  <c r="AG106" i="8"/>
  <c r="AG102" i="8"/>
  <c r="AH101" i="8"/>
  <c r="AB268" i="8"/>
  <c r="X269" i="8"/>
  <c r="X268" i="8"/>
  <c r="X271" i="8"/>
  <c r="AF269" i="8"/>
  <c r="AF268" i="8"/>
  <c r="Y431" i="8"/>
  <c r="Y432" i="8"/>
  <c r="Y436" i="8" s="1"/>
  <c r="M6" i="12"/>
  <c r="BM38" i="8"/>
  <c r="AG573" i="8"/>
  <c r="AG574" i="8" s="1"/>
  <c r="AG567" i="8"/>
  <c r="AC218" i="9"/>
  <c r="AC92" i="8"/>
  <c r="AC94" i="8" s="1"/>
  <c r="AD96" i="8"/>
  <c r="AB214" i="9"/>
  <c r="AB63" i="9"/>
  <c r="BL42" i="8"/>
  <c r="L9" i="12"/>
  <c r="L10" i="12" s="1"/>
  <c r="BL38" i="8"/>
  <c r="L6" i="12"/>
  <c r="L7" i="12" s="1"/>
  <c r="AF68" i="8"/>
  <c r="AB68" i="8"/>
  <c r="BL59" i="8"/>
  <c r="AB7" i="9"/>
  <c r="O6" i="17"/>
  <c r="L6" i="17"/>
  <c r="AB4" i="9"/>
  <c r="AB176" i="9"/>
  <c r="AB178" i="9"/>
  <c r="AB208" i="9"/>
  <c r="AB177" i="9"/>
  <c r="Z67" i="8"/>
  <c r="V66" i="8"/>
  <c r="V67" i="8"/>
  <c r="V115" i="8"/>
  <c r="V17" i="9"/>
  <c r="V55" i="9" s="1"/>
  <c r="V53" i="9" s="1"/>
  <c r="V131" i="8"/>
  <c r="Z462" i="8"/>
  <c r="V462" i="8"/>
  <c r="AJ367" i="8"/>
  <c r="AK323" i="8"/>
  <c r="AJ294" i="8"/>
  <c r="AJ323" i="8"/>
  <c r="AJ299" i="8"/>
  <c r="AG342" i="8"/>
  <c r="AF5" i="8"/>
  <c r="AV343" i="8"/>
  <c r="AW343" i="8" s="1"/>
  <c r="AX343" i="8" s="1"/>
  <c r="BK627" i="8"/>
  <c r="BJ627" i="8"/>
  <c r="BJ628" i="8"/>
  <c r="Z630" i="8"/>
  <c r="V630" i="8"/>
  <c r="V631" i="8"/>
  <c r="V633" i="8"/>
  <c r="BK621" i="8"/>
  <c r="BJ622" i="8"/>
  <c r="BJ621" i="8"/>
  <c r="BK559" i="8"/>
  <c r="BJ559" i="8"/>
  <c r="BJ560" i="8"/>
  <c r="Z562" i="8"/>
  <c r="V565" i="8"/>
  <c r="V562" i="8"/>
  <c r="V563" i="8"/>
  <c r="BK553" i="8"/>
  <c r="BJ554" i="8"/>
  <c r="BJ553" i="8"/>
  <c r="W4" i="8"/>
  <c r="Y340" i="8"/>
  <c r="X339" i="8"/>
  <c r="X4" i="8" s="1"/>
  <c r="Z301" i="8"/>
  <c r="Z299" i="8"/>
  <c r="V302" i="8"/>
  <c r="V303" i="8"/>
  <c r="V306" i="8"/>
  <c r="W291" i="8"/>
  <c r="W288" i="8"/>
  <c r="W289" i="8" s="1"/>
  <c r="Y292" i="8"/>
  <c r="X290" i="8"/>
  <c r="AW292" i="8"/>
  <c r="BJ387" i="8"/>
  <c r="U388" i="8"/>
  <c r="U391" i="8"/>
  <c r="BJ570" i="8"/>
  <c r="BK546" i="8"/>
  <c r="BJ546" i="8"/>
  <c r="BJ292" i="8"/>
  <c r="BJ291" i="8"/>
  <c r="T314" i="8"/>
  <c r="BK299" i="8"/>
  <c r="BK298" i="8"/>
  <c r="H575" i="8"/>
  <c r="P578" i="8"/>
  <c r="P575" i="8"/>
  <c r="K578" i="8"/>
  <c r="BK33" i="8"/>
  <c r="BK8" i="8"/>
  <c r="X45" i="8"/>
  <c r="X54" i="8"/>
  <c r="X41" i="8"/>
  <c r="X37" i="8"/>
  <c r="X3" i="9"/>
  <c r="X9" i="8"/>
  <c r="AW407" i="8"/>
  <c r="AS413" i="8"/>
  <c r="AK273" i="8"/>
  <c r="AK269" i="8"/>
  <c r="AK264" i="8"/>
  <c r="AO364" i="8"/>
  <c r="T171" i="9"/>
  <c r="T172" i="9"/>
  <c r="S172" i="9"/>
  <c r="S171" i="9"/>
  <c r="AX539" i="8"/>
  <c r="W527" i="8"/>
  <c r="BL50" i="8"/>
  <c r="AB9" i="9"/>
  <c r="L168" i="9"/>
  <c r="D168" i="9"/>
  <c r="F168" i="9"/>
  <c r="BJ604" i="8"/>
  <c r="AJ21" i="9"/>
  <c r="AJ32" i="9" s="1"/>
  <c r="AK117" i="8"/>
  <c r="I168" i="9"/>
  <c r="BM266" i="8"/>
  <c r="BM522" i="8"/>
  <c r="AV15" i="9"/>
  <c r="AV76" i="8"/>
  <c r="AJ268" i="8"/>
  <c r="AF271" i="8"/>
  <c r="BM50" i="8"/>
  <c r="AB9" i="8"/>
  <c r="X49" i="8"/>
  <c r="U171" i="9"/>
  <c r="U172" i="9"/>
  <c r="V172" i="9"/>
  <c r="V171" i="9"/>
  <c r="BH7" i="9"/>
  <c r="C17" i="12"/>
  <c r="BD171" i="9"/>
  <c r="BD172" i="9"/>
  <c r="BN220" i="8"/>
  <c r="BO220" i="8"/>
  <c r="BN639" i="8"/>
  <c r="AU290" i="8"/>
  <c r="AU294" i="8"/>
  <c r="AE529" i="8"/>
  <c r="BM526" i="8"/>
  <c r="AI527" i="8"/>
  <c r="AE527" i="8"/>
  <c r="X643" i="8"/>
  <c r="AH417" i="8"/>
  <c r="AH374" i="8"/>
  <c r="AI257" i="8"/>
  <c r="AE257" i="8"/>
  <c r="AI21" i="9"/>
  <c r="AI32" i="9" s="1"/>
  <c r="AI9" i="9"/>
  <c r="BL8" i="9"/>
  <c r="AG9" i="9"/>
  <c r="AG21" i="9"/>
  <c r="AG32" i="9" s="1"/>
  <c r="BK8" i="9"/>
  <c r="AJ235" i="8"/>
  <c r="AJ238" i="8"/>
  <c r="Y421" i="8"/>
  <c r="AF417" i="8"/>
  <c r="AF419" i="8" s="1"/>
  <c r="AF374" i="8"/>
  <c r="AJ373" i="8"/>
  <c r="BM372" i="8"/>
  <c r="AF373" i="8"/>
  <c r="AE419" i="8"/>
  <c r="BM365" i="8"/>
  <c r="BM261" i="8"/>
  <c r="AE12" i="9"/>
  <c r="AE21" i="9"/>
  <c r="AE32" i="9" s="1"/>
  <c r="BM130" i="8"/>
  <c r="BL131" i="8"/>
  <c r="BL130" i="8"/>
  <c r="BM381" i="8"/>
  <c r="BM380" i="8"/>
  <c r="W391" i="8"/>
  <c r="BK374" i="8"/>
  <c r="AV165" i="8"/>
  <c r="AR413" i="8"/>
  <c r="AV409" i="8"/>
  <c r="AV413" i="8" s="1"/>
  <c r="AW299" i="8"/>
  <c r="AW294" i="8"/>
  <c r="AP470" i="8"/>
  <c r="AT461" i="8"/>
  <c r="BA19" i="9"/>
  <c r="AS76" i="8"/>
  <c r="BP74" i="8"/>
  <c r="AS15" i="9"/>
  <c r="BN15" i="9" s="1"/>
  <c r="AW76" i="8"/>
  <c r="BP37" i="10"/>
  <c r="BP43" i="10" s="1"/>
  <c r="BP35" i="10"/>
  <c r="BP41" i="10" s="1"/>
  <c r="BP34" i="10"/>
  <c r="BP40" i="10" s="1"/>
  <c r="BP33" i="10"/>
  <c r="S595" i="8"/>
  <c r="BH594" i="8"/>
  <c r="J530" i="8"/>
  <c r="I530" i="8"/>
  <c r="H530" i="8"/>
  <c r="R351" i="8"/>
  <c r="R352" i="8" s="1"/>
  <c r="V351" i="8"/>
  <c r="V352" i="8" s="1"/>
  <c r="P362" i="8"/>
  <c r="P658" i="8"/>
  <c r="P659" i="8" s="1"/>
  <c r="M362" i="8"/>
  <c r="M658" i="8"/>
  <c r="M659" i="8" s="1"/>
  <c r="J362" i="8"/>
  <c r="J658" i="8"/>
  <c r="J659" i="8" s="1"/>
  <c r="U33" i="8"/>
  <c r="U45" i="8"/>
  <c r="Y46" i="8"/>
  <c r="BJ44" i="8"/>
  <c r="BG606" i="8"/>
  <c r="BG607" i="8" s="1"/>
  <c r="M607" i="8"/>
  <c r="Z527" i="8"/>
  <c r="V527" i="8"/>
  <c r="T658" i="8"/>
  <c r="T659" i="8" s="1"/>
  <c r="T539" i="8"/>
  <c r="BK536" i="8"/>
  <c r="BJ536" i="8"/>
  <c r="BJ526" i="8"/>
  <c r="T527" i="8"/>
  <c r="S527" i="8"/>
  <c r="BH526" i="8"/>
  <c r="O527" i="8"/>
  <c r="BG536" i="8"/>
  <c r="BH536" i="8"/>
  <c r="K527" i="8"/>
  <c r="BG526" i="8"/>
  <c r="G527" i="8"/>
  <c r="BF526" i="8"/>
  <c r="BF527" i="8" s="1"/>
  <c r="BE538" i="8"/>
  <c r="BE539" i="8" s="1"/>
  <c r="C539" i="8"/>
  <c r="BJ361" i="8"/>
  <c r="S362" i="8"/>
  <c r="S355" i="8"/>
  <c r="BJ354" i="8"/>
  <c r="W355" i="8"/>
  <c r="S351" i="8"/>
  <c r="S352" i="8" s="1"/>
  <c r="S357" i="8"/>
  <c r="W350" i="8"/>
  <c r="R355" i="8"/>
  <c r="V355" i="8"/>
  <c r="U355" i="8"/>
  <c r="Q355" i="8"/>
  <c r="T351" i="8"/>
  <c r="T352" i="8" s="1"/>
  <c r="P351" i="8"/>
  <c r="P352" i="8" s="1"/>
  <c r="P357" i="8"/>
  <c r="P359" i="8" s="1"/>
  <c r="T355" i="8"/>
  <c r="P355" i="8"/>
  <c r="BJ351" i="8"/>
  <c r="BJ352" i="8" s="1"/>
  <c r="BH351" i="8"/>
  <c r="BH352" i="8" s="1"/>
  <c r="O357" i="8"/>
  <c r="O351" i="8"/>
  <c r="O352" i="8" s="1"/>
  <c r="O355" i="8"/>
  <c r="BH354" i="8"/>
  <c r="BH361" i="8"/>
  <c r="O362" i="8"/>
  <c r="N357" i="8"/>
  <c r="N359" i="8" s="1"/>
  <c r="N351" i="8"/>
  <c r="N352" i="8" s="1"/>
  <c r="M357" i="8"/>
  <c r="M359" i="8" s="1"/>
  <c r="M351" i="8"/>
  <c r="M352" i="8" s="1"/>
  <c r="L357" i="8"/>
  <c r="L359" i="8" s="1"/>
  <c r="L351" i="8"/>
  <c r="L352" i="8" s="1"/>
  <c r="K355" i="8"/>
  <c r="BG354" i="8"/>
  <c r="BG361" i="8"/>
  <c r="K362" i="8"/>
  <c r="K357" i="8"/>
  <c r="K351" i="8"/>
  <c r="K352" i="8" s="1"/>
  <c r="J351" i="8"/>
  <c r="J352" i="8" s="1"/>
  <c r="J357" i="8"/>
  <c r="J359" i="8" s="1"/>
  <c r="I351" i="8"/>
  <c r="I352" i="8" s="1"/>
  <c r="I357" i="8"/>
  <c r="I359" i="8" s="1"/>
  <c r="H357" i="8"/>
  <c r="H359" i="8" s="1"/>
  <c r="H351" i="8"/>
  <c r="H352" i="8" s="1"/>
  <c r="G355" i="8"/>
  <c r="BF354" i="8"/>
  <c r="G357" i="8"/>
  <c r="G351" i="8"/>
  <c r="G352" i="8" s="1"/>
  <c r="BF361" i="8"/>
  <c r="G362" i="8"/>
  <c r="BE361" i="8"/>
  <c r="C362" i="8"/>
  <c r="J355" i="8"/>
  <c r="H355" i="8"/>
  <c r="BF351" i="8"/>
  <c r="BF352" i="8" s="1"/>
  <c r="R527" i="8"/>
  <c r="Q527" i="8"/>
  <c r="P527" i="8"/>
  <c r="N527" i="8"/>
  <c r="J527" i="8"/>
  <c r="I527" i="8"/>
  <c r="H527" i="8"/>
  <c r="N355" i="8"/>
  <c r="M355" i="8"/>
  <c r="L355" i="8"/>
  <c r="BG351" i="8"/>
  <c r="BG352" i="8" s="1"/>
  <c r="I355" i="8"/>
  <c r="BJ538" i="8"/>
  <c r="BJ539" i="8" s="1"/>
  <c r="M527" i="8"/>
  <c r="L527" i="8"/>
  <c r="R595" i="8"/>
  <c r="N597" i="8"/>
  <c r="Q595" i="8"/>
  <c r="M597" i="8"/>
  <c r="Z530" i="8"/>
  <c r="V530" i="8"/>
  <c r="X527" i="8"/>
  <c r="T529" i="8"/>
  <c r="BH538" i="8"/>
  <c r="BH539" i="8" s="1"/>
  <c r="O539" i="8"/>
  <c r="BG538" i="8"/>
  <c r="BG539" i="8" s="1"/>
  <c r="K539" i="8"/>
  <c r="BF538" i="8"/>
  <c r="BF539" i="8" s="1"/>
  <c r="G539" i="8"/>
  <c r="R362" i="8"/>
  <c r="R658" i="8"/>
  <c r="R659" i="8" s="1"/>
  <c r="Q362" i="8"/>
  <c r="Q658" i="8"/>
  <c r="Q659" i="8" s="1"/>
  <c r="N362" i="8"/>
  <c r="N658" i="8"/>
  <c r="N659" i="8" s="1"/>
  <c r="L362" i="8"/>
  <c r="L658" i="8"/>
  <c r="L659" i="8" s="1"/>
  <c r="I362" i="8"/>
  <c r="I658" i="8"/>
  <c r="I659" i="8" s="1"/>
  <c r="H362" i="8"/>
  <c r="H658" i="8"/>
  <c r="H659" i="8" s="1"/>
  <c r="F362" i="8"/>
  <c r="F658" i="8"/>
  <c r="F659" i="8" s="1"/>
  <c r="E362" i="8"/>
  <c r="E658" i="8"/>
  <c r="E659" i="8" s="1"/>
  <c r="D362" i="8"/>
  <c r="D658" i="8"/>
  <c r="D659" i="8" s="1"/>
  <c r="C359" i="8"/>
  <c r="BE357" i="8"/>
  <c r="L530" i="8"/>
  <c r="M530" i="8"/>
  <c r="BP42" i="10"/>
  <c r="BQ36" i="10"/>
  <c r="S224" i="16"/>
  <c r="S226" i="16"/>
  <c r="S230" i="16" s="1"/>
  <c r="V226" i="16"/>
  <c r="V230" i="16" s="1"/>
  <c r="V224" i="16"/>
  <c r="H20" i="10"/>
  <c r="I19" i="10"/>
  <c r="AN110" i="16"/>
  <c r="AN109" i="16"/>
  <c r="AF53" i="10"/>
  <c r="AF52" i="10"/>
  <c r="AG49" i="10"/>
  <c r="AG50" i="10" s="1"/>
  <c r="W511" i="8"/>
  <c r="X511" i="8"/>
  <c r="H337" i="8"/>
  <c r="W352" i="8"/>
  <c r="W337" i="8"/>
  <c r="V337" i="8"/>
  <c r="AF337" i="8"/>
  <c r="AF351" i="8"/>
  <c r="AF350" i="8" s="1"/>
  <c r="Z351" i="8"/>
  <c r="Z350" i="8" s="1"/>
  <c r="Z337" i="8"/>
  <c r="AG351" i="8"/>
  <c r="AG350" i="8" s="1"/>
  <c r="AG337" i="8"/>
  <c r="BJ337" i="8"/>
  <c r="U341" i="9"/>
  <c r="BH316" i="9"/>
  <c r="AN190" i="16"/>
  <c r="R530" i="8"/>
  <c r="P530" i="8"/>
  <c r="Q530" i="8"/>
  <c r="N530" i="8"/>
  <c r="P133" i="16"/>
  <c r="AM132" i="16"/>
  <c r="P337" i="8"/>
  <c r="L337" i="8"/>
  <c r="I337" i="8"/>
  <c r="S337" i="8"/>
  <c r="T337" i="8"/>
  <c r="M337" i="8"/>
  <c r="N337" i="8"/>
  <c r="J337" i="8"/>
  <c r="R337" i="8"/>
  <c r="G337" i="8"/>
  <c r="O337" i="8"/>
  <c r="K337" i="8"/>
  <c r="BG337" i="8"/>
  <c r="BH337" i="8"/>
  <c r="BF337" i="8"/>
  <c r="Y351" i="8"/>
  <c r="Y350" i="8" s="1"/>
  <c r="Y337" i="8"/>
  <c r="BJ532" i="8"/>
  <c r="S533" i="8"/>
  <c r="K533" i="8"/>
  <c r="BG532" i="8"/>
  <c r="AO132" i="16"/>
  <c r="AO133" i="16" s="1"/>
  <c r="W130" i="16"/>
  <c r="AA132" i="16"/>
  <c r="X130" i="16"/>
  <c r="AB132" i="16"/>
  <c r="AB130" i="16" s="1"/>
  <c r="Z130" i="16"/>
  <c r="AD132" i="16"/>
  <c r="AD130" i="16" s="1"/>
  <c r="Y130" i="16"/>
  <c r="AC132" i="16"/>
  <c r="AC130" i="16" s="1"/>
  <c r="O533" i="8"/>
  <c r="BH532" i="8"/>
  <c r="AN224" i="16"/>
  <c r="AN226" i="16"/>
  <c r="AN230" i="16" s="1"/>
  <c r="U533" i="8"/>
  <c r="Y533" i="8"/>
  <c r="V533" i="8"/>
  <c r="Z533" i="8"/>
  <c r="AQ186" i="16"/>
  <c r="T533" i="8"/>
  <c r="S530" i="8"/>
  <c r="R533" i="8"/>
  <c r="Q533" i="8"/>
  <c r="P533" i="8"/>
  <c r="N533" i="8"/>
  <c r="M533" i="8"/>
  <c r="L533" i="8"/>
  <c r="K530" i="8"/>
  <c r="AN133" i="16"/>
  <c r="AM133" i="16"/>
  <c r="AA351" i="8"/>
  <c r="AA337" i="8"/>
  <c r="R600" i="8"/>
  <c r="BH597" i="8"/>
  <c r="Q600" i="8"/>
  <c r="G530" i="8"/>
  <c r="BF529" i="8"/>
  <c r="O530" i="8"/>
  <c r="BH529" i="8"/>
  <c r="AW99" i="9"/>
  <c r="AW156" i="9" s="1"/>
  <c r="AV79" i="9"/>
  <c r="AV287" i="9"/>
  <c r="AV288" i="9" s="1"/>
  <c r="AV289" i="9" s="1"/>
  <c r="AV292" i="9" s="1"/>
  <c r="AV280" i="9" s="1"/>
  <c r="AX110" i="9"/>
  <c r="AW108" i="9"/>
  <c r="AR304" i="9"/>
  <c r="AR305" i="9" s="1"/>
  <c r="AT289" i="9"/>
  <c r="AT292" i="9" s="1"/>
  <c r="AT280" i="9" s="1"/>
  <c r="AU289" i="9"/>
  <c r="AU292" i="9" s="1"/>
  <c r="AU280" i="9" s="1"/>
  <c r="AU37" i="20"/>
  <c r="AU43" i="20"/>
  <c r="AV217" i="16"/>
  <c r="BR690" i="8"/>
  <c r="BR694" i="8"/>
  <c r="BR692" i="8"/>
  <c r="BR684" i="8"/>
  <c r="BR686" i="8" s="1"/>
  <c r="AS303" i="9"/>
  <c r="AS302" i="9"/>
  <c r="AT302" i="9" s="1"/>
  <c r="AU302" i="9" s="1"/>
  <c r="AV302" i="9" s="1"/>
  <c r="AW302" i="9" s="1"/>
  <c r="AX302" i="9" s="1"/>
  <c r="AQ305" i="9"/>
  <c r="AP305" i="9"/>
  <c r="Z319" i="9"/>
  <c r="Y317" i="9"/>
  <c r="Y316" i="9" s="1"/>
  <c r="AI111" i="8"/>
  <c r="BN110" i="8"/>
  <c r="BN111" i="8" s="1"/>
  <c r="R280" i="9"/>
  <c r="R279" i="9" s="1"/>
  <c r="F143" i="9"/>
  <c r="BD142" i="9"/>
  <c r="BD143" i="9" s="1"/>
  <c r="N292" i="9"/>
  <c r="N293" i="9" s="1"/>
  <c r="N295" i="9" s="1"/>
  <c r="N280" i="9"/>
  <c r="N279" i="9" s="1"/>
  <c r="BF280" i="9"/>
  <c r="BF279" i="9" s="1"/>
  <c r="BF292" i="9"/>
  <c r="AI295" i="9"/>
  <c r="AL295" i="9"/>
  <c r="AJ12" i="9"/>
  <c r="Z292" i="9"/>
  <c r="Z293" i="9" s="1"/>
  <c r="Z295" i="9" s="1"/>
  <c r="X69" i="9"/>
  <c r="W69" i="9"/>
  <c r="L215" i="9"/>
  <c r="L219" i="9"/>
  <c r="I215" i="9"/>
  <c r="I219" i="9"/>
  <c r="G215" i="9"/>
  <c r="G219" i="9"/>
  <c r="BH16" i="9"/>
  <c r="BE69" i="9"/>
  <c r="AK12" i="9"/>
  <c r="AK21" i="9"/>
  <c r="AK32" i="9" s="1"/>
  <c r="J59" i="9"/>
  <c r="BD210" i="9"/>
  <c r="AH21" i="9"/>
  <c r="AH32" i="9" s="1"/>
  <c r="AH12" i="9"/>
  <c r="T21" i="9"/>
  <c r="T32" i="9" s="1"/>
  <c r="BH11" i="9"/>
  <c r="T12" i="9"/>
  <c r="AF21" i="9"/>
  <c r="AF32" i="9" s="1"/>
  <c r="AF12" i="9"/>
  <c r="AL115" i="9"/>
  <c r="BL97" i="9"/>
  <c r="BL216" i="9"/>
  <c r="AM331" i="9"/>
  <c r="AM328" i="9"/>
  <c r="AN330" i="9"/>
  <c r="BL362" i="9"/>
  <c r="BL57" i="9"/>
  <c r="BL71" i="9" s="1"/>
  <c r="AL216" i="9"/>
  <c r="AI145" i="9"/>
  <c r="BL79" i="9"/>
  <c r="BK108" i="9"/>
  <c r="BK79" i="9"/>
  <c r="BJ165" i="9"/>
  <c r="BJ79" i="9"/>
  <c r="BJ108" i="9"/>
  <c r="V216" i="9"/>
  <c r="V214" i="9" s="1"/>
  <c r="BI216" i="9"/>
  <c r="Z216" i="9"/>
  <c r="BJ216" i="9"/>
  <c r="BM315" i="9"/>
  <c r="AQ315" i="9"/>
  <c r="AR315" i="9" s="1"/>
  <c r="AS315" i="9" s="1"/>
  <c r="AT315" i="9" s="1"/>
  <c r="AA342" i="9"/>
  <c r="AB340" i="9"/>
  <c r="BQ332" i="9"/>
  <c r="Y307" i="9"/>
  <c r="Y300" i="9"/>
  <c r="Y323" i="9"/>
  <c r="X322" i="9"/>
  <c r="W65" i="9"/>
  <c r="W145" i="9"/>
  <c r="T347" i="9"/>
  <c r="T343" i="9"/>
  <c r="T344" i="9" s="1"/>
  <c r="BH307" i="9"/>
  <c r="BF159" i="9"/>
  <c r="BF69" i="9"/>
  <c r="BG289" i="9"/>
  <c r="BH289" i="9"/>
  <c r="BH293" i="9" s="1"/>
  <c r="BH295" i="9" s="1"/>
  <c r="BE282" i="9"/>
  <c r="BD285" i="9"/>
  <c r="BJ205" i="9"/>
  <c r="BJ269" i="9"/>
  <c r="BJ96" i="9"/>
  <c r="BK2" i="9"/>
  <c r="BK238" i="9" s="1"/>
  <c r="BJ222" i="9"/>
  <c r="BJ276" i="9"/>
  <c r="BF96" i="9"/>
  <c r="BF205" i="9"/>
  <c r="BF276" i="9"/>
  <c r="BF269" i="9"/>
  <c r="BF222" i="9"/>
  <c r="BE159" i="9"/>
  <c r="BI8" i="9"/>
  <c r="X9" i="9"/>
  <c r="AK212" i="9"/>
  <c r="AK215" i="9" s="1"/>
  <c r="AK210" i="9"/>
  <c r="AQ294" i="8"/>
  <c r="AQ295" i="8" s="1"/>
  <c r="AQ290" i="8"/>
  <c r="AC597" i="8"/>
  <c r="BM594" i="8"/>
  <c r="AG643" i="8"/>
  <c r="AJ9" i="9"/>
  <c r="H168" i="9"/>
  <c r="AI107" i="8"/>
  <c r="BM105" i="8"/>
  <c r="BO255" i="8"/>
  <c r="BN255" i="8"/>
  <c r="BN256" i="8"/>
  <c r="AL92" i="8"/>
  <c r="AL94" i="8" s="1"/>
  <c r="AJ214" i="9"/>
  <c r="AJ63" i="9"/>
  <c r="AJ23" i="9"/>
  <c r="AJ24" i="9" s="1"/>
  <c r="AJ116" i="8"/>
  <c r="AJ86" i="8"/>
  <c r="AJ119" i="8"/>
  <c r="AJ123" i="8"/>
  <c r="AN123" i="8"/>
  <c r="AJ4" i="9"/>
  <c r="BN96" i="8"/>
  <c r="AL98" i="8"/>
  <c r="AL218" i="9"/>
  <c r="BK254" i="8"/>
  <c r="BL255" i="8" s="1"/>
  <c r="Z256" i="8"/>
  <c r="Z255" i="8"/>
  <c r="BL253" i="8"/>
  <c r="BK253" i="8"/>
  <c r="AH255" i="8"/>
  <c r="AH271" i="8"/>
  <c r="AH279" i="8" s="1"/>
  <c r="AH256" i="8"/>
  <c r="AH257" i="8" s="1"/>
  <c r="BN253" i="8"/>
  <c r="BM253" i="8"/>
  <c r="AH426" i="8"/>
  <c r="AH412" i="8"/>
  <c r="AH429" i="8"/>
  <c r="BM255" i="8"/>
  <c r="BM256" i="8"/>
  <c r="BL256" i="8"/>
  <c r="BO63" i="8"/>
  <c r="BN115" i="8"/>
  <c r="BN62" i="8"/>
  <c r="BN59" i="8"/>
  <c r="AI7" i="9"/>
  <c r="AI86" i="8"/>
  <c r="AI119" i="8"/>
  <c r="AI116" i="8"/>
  <c r="AI23" i="9"/>
  <c r="AI24" i="9" s="1"/>
  <c r="BN75" i="8"/>
  <c r="BN122" i="8"/>
  <c r="BN66" i="8"/>
  <c r="BN131" i="8"/>
  <c r="BN90" i="8"/>
  <c r="BN71" i="8"/>
  <c r="BN84" i="8"/>
  <c r="AI68" i="8"/>
  <c r="AM68" i="8"/>
  <c r="AI123" i="8"/>
  <c r="AM123" i="8"/>
  <c r="AI212" i="9"/>
  <c r="AI215" i="9" s="1"/>
  <c r="AI210" i="9"/>
  <c r="Y214" i="9"/>
  <c r="Y63" i="9"/>
  <c r="Z98" i="8"/>
  <c r="Y376" i="8"/>
  <c r="Y377" i="8" s="1"/>
  <c r="Y375" i="8"/>
  <c r="Y391" i="8"/>
  <c r="AK24" i="9"/>
  <c r="AK9" i="9"/>
  <c r="AN172" i="9"/>
  <c r="AN171" i="9"/>
  <c r="AO68" i="8"/>
  <c r="AK68" i="8"/>
  <c r="AI333" i="8"/>
  <c r="AI351" i="8" s="1"/>
  <c r="AJ333" i="8"/>
  <c r="AJ351" i="8" s="1"/>
  <c r="AP196" i="8"/>
  <c r="K168" i="9"/>
  <c r="BL5" i="9"/>
  <c r="BL261" i="9" s="1"/>
  <c r="AM172" i="9"/>
  <c r="AM171" i="9"/>
  <c r="BO98" i="8"/>
  <c r="BM218" i="9"/>
  <c r="BJ348" i="8"/>
  <c r="BH348" i="8"/>
  <c r="AK395" i="8"/>
  <c r="AL569" i="8"/>
  <c r="BN569" i="8" s="1"/>
  <c r="AM571" i="8"/>
  <c r="AG4" i="9"/>
  <c r="AG174" i="9"/>
  <c r="AG176" i="9"/>
  <c r="AG177" i="9"/>
  <c r="AG178" i="9"/>
  <c r="AG208" i="9"/>
  <c r="AF212" i="9"/>
  <c r="AF215" i="9" s="1"/>
  <c r="AF210" i="9"/>
  <c r="Z225" i="8"/>
  <c r="V233" i="8"/>
  <c r="V226" i="8"/>
  <c r="S238" i="8"/>
  <c r="S235" i="8"/>
  <c r="S236" i="8" s="1"/>
  <c r="C215" i="9"/>
  <c r="C219" i="9"/>
  <c r="BD212" i="9"/>
  <c r="R215" i="9"/>
  <c r="R219" i="9"/>
  <c r="P219" i="9"/>
  <c r="P215" i="9"/>
  <c r="M219" i="9"/>
  <c r="M215" i="9"/>
  <c r="BF212" i="9"/>
  <c r="J215" i="9"/>
  <c r="J219" i="9"/>
  <c r="BE212" i="9"/>
  <c r="H215" i="9"/>
  <c r="H219" i="9"/>
  <c r="F215" i="9"/>
  <c r="F219" i="9"/>
  <c r="O215" i="9"/>
  <c r="O219" i="9"/>
  <c r="BG212" i="9"/>
  <c r="BE172" i="9"/>
  <c r="BE171" i="9"/>
  <c r="G17" i="12"/>
  <c r="AN12" i="9"/>
  <c r="AN21" i="9"/>
  <c r="AN32" i="9" s="1"/>
  <c r="AO12" i="9"/>
  <c r="AO21" i="9"/>
  <c r="AO32" i="9" s="1"/>
  <c r="W375" i="8"/>
  <c r="W376" i="8"/>
  <c r="W377" i="8" s="1"/>
  <c r="BN63" i="8"/>
  <c r="BM115" i="8"/>
  <c r="BM62" i="8"/>
  <c r="BN67" i="8"/>
  <c r="BM66" i="8"/>
  <c r="BN72" i="8"/>
  <c r="M23" i="12"/>
  <c r="BM71" i="8"/>
  <c r="AK595" i="8"/>
  <c r="AG595" i="8"/>
  <c r="BK17" i="9"/>
  <c r="AG55" i="9"/>
  <c r="AG53" i="9" s="1"/>
  <c r="J168" i="9"/>
  <c r="BK641" i="8"/>
  <c r="BK643" i="8" s="1"/>
  <c r="E170" i="12"/>
  <c r="D162" i="12"/>
  <c r="E167" i="12" s="1"/>
  <c r="BL709" i="8"/>
  <c r="W4" i="9"/>
  <c r="W170" i="9"/>
  <c r="W168" i="9" s="1"/>
  <c r="W177" i="9"/>
  <c r="W174" i="9"/>
  <c r="W178" i="9"/>
  <c r="W176" i="9"/>
  <c r="W208" i="9"/>
  <c r="AP102" i="8"/>
  <c r="AP106" i="8"/>
  <c r="AP107" i="8" s="1"/>
  <c r="AP218" i="9"/>
  <c r="AP219" i="9" s="1"/>
  <c r="AP92" i="8"/>
  <c r="AP98" i="8"/>
  <c r="AO214" i="9"/>
  <c r="AO63" i="9"/>
  <c r="AO107" i="8"/>
  <c r="AM225" i="8"/>
  <c r="BN224" i="8"/>
  <c r="AI226" i="8"/>
  <c r="AI225" i="8"/>
  <c r="AI233" i="8"/>
  <c r="AE225" i="8"/>
  <c r="AE233" i="8"/>
  <c r="BM224" i="8"/>
  <c r="AE226" i="8"/>
  <c r="BH141" i="8"/>
  <c r="BH142" i="8" s="1"/>
  <c r="BH235" i="8"/>
  <c r="BH209" i="8"/>
  <c r="BK369" i="8"/>
  <c r="BK381" i="8"/>
  <c r="BK384" i="8"/>
  <c r="Z426" i="8"/>
  <c r="Z429" i="8"/>
  <c r="Z412" i="8"/>
  <c r="Z376" i="8"/>
  <c r="Z377" i="8" s="1"/>
  <c r="Z375" i="8"/>
  <c r="BL369" i="8"/>
  <c r="BL381" i="8"/>
  <c r="BM369" i="8"/>
  <c r="AD414" i="8"/>
  <c r="BL413" i="8"/>
  <c r="AH414" i="8"/>
  <c r="AD426" i="8"/>
  <c r="AD412" i="8"/>
  <c r="AB442" i="8"/>
  <c r="AB441" i="8"/>
  <c r="BL267" i="8"/>
  <c r="AC271" i="8"/>
  <c r="AC268" i="8"/>
  <c r="AC269" i="8"/>
  <c r="AC391" i="8"/>
  <c r="AC376" i="8"/>
  <c r="AC375" i="8"/>
  <c r="AG414" i="8"/>
  <c r="AG426" i="8"/>
  <c r="BM413" i="8"/>
  <c r="AG412" i="8"/>
  <c r="AG429" i="8"/>
  <c r="AG430" i="8"/>
  <c r="AG387" i="8"/>
  <c r="AG386" i="8"/>
  <c r="BM267" i="8"/>
  <c r="AG271" i="8"/>
  <c r="AG269" i="8"/>
  <c r="AG268" i="8"/>
  <c r="AK268" i="8"/>
  <c r="AG396" i="8"/>
  <c r="AG397" i="8"/>
  <c r="AG440" i="8"/>
  <c r="AH395" i="8"/>
  <c r="BM395" i="8" s="1"/>
  <c r="AE386" i="8"/>
  <c r="AE387" i="8"/>
  <c r="AE430" i="8"/>
  <c r="BM385" i="8"/>
  <c r="BM386" i="8" s="1"/>
  <c r="AD396" i="8"/>
  <c r="AD440" i="8"/>
  <c r="BL440" i="8" s="1"/>
  <c r="AD397" i="8"/>
  <c r="BL277" i="8"/>
  <c r="BL276" i="8"/>
  <c r="AN607" i="8"/>
  <c r="AI412" i="8"/>
  <c r="AM409" i="8"/>
  <c r="AM368" i="8"/>
  <c r="BN264" i="8"/>
  <c r="BN365" i="8"/>
  <c r="BL105" i="8"/>
  <c r="AE107" i="8"/>
  <c r="AH123" i="8"/>
  <c r="AD123" i="8"/>
  <c r="AT364" i="8"/>
  <c r="BM72" i="8"/>
  <c r="L23" i="12"/>
  <c r="BL71" i="8"/>
  <c r="BL72" i="8"/>
  <c r="AG67" i="8"/>
  <c r="AC67" i="8"/>
  <c r="AC66" i="8"/>
  <c r="BJ13" i="9"/>
  <c r="AC11" i="9"/>
  <c r="BJ8" i="9"/>
  <c r="AC9" i="9"/>
  <c r="AG123" i="8"/>
  <c r="AC123" i="8"/>
  <c r="AF123" i="8"/>
  <c r="AB123" i="8"/>
  <c r="BM46" i="8"/>
  <c r="BL46" i="8"/>
  <c r="BL75" i="8"/>
  <c r="BL82" i="8"/>
  <c r="BL84" i="8"/>
  <c r="BM58" i="8"/>
  <c r="BL122" i="8"/>
  <c r="BL90" i="8"/>
  <c r="BL58" i="8"/>
  <c r="BL611" i="8"/>
  <c r="BM63" i="8"/>
  <c r="BL62" i="8"/>
  <c r="BL63" i="8"/>
  <c r="Z486" i="8"/>
  <c r="V487" i="8"/>
  <c r="Z491" i="8"/>
  <c r="V492" i="8"/>
  <c r="V498" i="8"/>
  <c r="Y486" i="8"/>
  <c r="U487" i="8"/>
  <c r="Y491" i="8"/>
  <c r="U492" i="8"/>
  <c r="U498" i="8"/>
  <c r="BK462" i="8"/>
  <c r="BJ462" i="8"/>
  <c r="BK42" i="8"/>
  <c r="BJ41" i="8"/>
  <c r="J9" i="12"/>
  <c r="K10" i="12" s="1"/>
  <c r="X600" i="8"/>
  <c r="AB598" i="8"/>
  <c r="BJ490" i="8"/>
  <c r="BJ492" i="8" s="1"/>
  <c r="X491" i="8"/>
  <c r="T492" i="8"/>
  <c r="T498" i="8"/>
  <c r="AN414" i="8"/>
  <c r="AN431" i="8"/>
  <c r="BJ37" i="8"/>
  <c r="BK38" i="8"/>
  <c r="J6" i="12"/>
  <c r="AS294" i="8"/>
  <c r="AS299" i="8"/>
  <c r="AS290" i="8"/>
  <c r="AO303" i="8"/>
  <c r="AO302" i="8"/>
  <c r="BK694" i="8"/>
  <c r="BK690" i="8"/>
  <c r="BK692" i="8"/>
  <c r="BK684" i="8"/>
  <c r="C499" i="8"/>
  <c r="C500" i="8"/>
  <c r="AA347" i="8"/>
  <c r="BK347" i="8"/>
  <c r="BK348" i="8" s="1"/>
  <c r="W348" i="8"/>
  <c r="BN486" i="8"/>
  <c r="BM486" i="8"/>
  <c r="BM487" i="8"/>
  <c r="Q359" i="8"/>
  <c r="AG302" i="8"/>
  <c r="AG303" i="8"/>
  <c r="AK302" i="8"/>
  <c r="BN329" i="8"/>
  <c r="AJ329" i="8"/>
  <c r="AK329" i="8" s="1"/>
  <c r="AL329" i="8" s="1"/>
  <c r="AM329" i="8" s="1"/>
  <c r="AK334" i="8"/>
  <c r="AK333" i="8" s="1"/>
  <c r="AK351" i="8" s="1"/>
  <c r="AH328" i="8"/>
  <c r="AG331" i="8"/>
  <c r="AJ330" i="8"/>
  <c r="AK330" i="8" s="1"/>
  <c r="AL330" i="8" s="1"/>
  <c r="AM330" i="8" s="1"/>
  <c r="BN330" i="8"/>
  <c r="AR347" i="8"/>
  <c r="AV347" i="8" s="1"/>
  <c r="AF527" i="8"/>
  <c r="AB529" i="8"/>
  <c r="BL526" i="8"/>
  <c r="AB527" i="8"/>
  <c r="AC527" i="8"/>
  <c r="AG527" i="8"/>
  <c r="AC529" i="8"/>
  <c r="AT297" i="8"/>
  <c r="AX297" i="8" s="1"/>
  <c r="W419" i="8"/>
  <c r="AC417" i="8"/>
  <c r="AC419" i="8" s="1"/>
  <c r="AG373" i="8"/>
  <c r="AC373" i="8"/>
  <c r="AC575" i="8"/>
  <c r="AC574" i="8"/>
  <c r="BL562" i="8"/>
  <c r="BM562" i="8"/>
  <c r="BL563" i="8"/>
  <c r="AH574" i="8"/>
  <c r="AD575" i="8"/>
  <c r="AD574" i="8"/>
  <c r="BI5" i="9"/>
  <c r="AF574" i="8"/>
  <c r="E24" i="17"/>
  <c r="AB575" i="8"/>
  <c r="AB574" i="8"/>
  <c r="AC642" i="8"/>
  <c r="Y643" i="8"/>
  <c r="AH235" i="8"/>
  <c r="AH238" i="8"/>
  <c r="AE697" i="8"/>
  <c r="BM8" i="8"/>
  <c r="BM41" i="8" s="1"/>
  <c r="AE54" i="8"/>
  <c r="AE55" i="8" s="1"/>
  <c r="AE3" i="9"/>
  <c r="AE45" i="8"/>
  <c r="AE49" i="8"/>
  <c r="AE9" i="8"/>
  <c r="AF697" i="8"/>
  <c r="AF54" i="8"/>
  <c r="AF55" i="8" s="1"/>
  <c r="AF45" i="8"/>
  <c r="AF41" i="8"/>
  <c r="AF49" i="8"/>
  <c r="AF3" i="9"/>
  <c r="AJ9" i="8"/>
  <c r="AF9" i="8"/>
  <c r="AJ34" i="8"/>
  <c r="AF34" i="8"/>
  <c r="AI34" i="8"/>
  <c r="AM34" i="8"/>
  <c r="AI54" i="8"/>
  <c r="AI55" i="8" s="1"/>
  <c r="AI3" i="9"/>
  <c r="AI45" i="8"/>
  <c r="AI41" i="8"/>
  <c r="BN8" i="8"/>
  <c r="AM9" i="8"/>
  <c r="AI9" i="8"/>
  <c r="AL34" i="8"/>
  <c r="AH34" i="8"/>
  <c r="AH54" i="8"/>
  <c r="AH55" i="8" s="1"/>
  <c r="AH3" i="9"/>
  <c r="AH697" i="8"/>
  <c r="AH45" i="8"/>
  <c r="AH41" i="8"/>
  <c r="AH49" i="8"/>
  <c r="AL9" i="8"/>
  <c r="AH9" i="8"/>
  <c r="AK54" i="8"/>
  <c r="AK55" i="8" s="1"/>
  <c r="AK3" i="9"/>
  <c r="AK45" i="8"/>
  <c r="AK41" i="8"/>
  <c r="AK9" i="8"/>
  <c r="AG500" i="8"/>
  <c r="AG503" i="8"/>
  <c r="AA417" i="8"/>
  <c r="AE373" i="8"/>
  <c r="BL372" i="8"/>
  <c r="AA373" i="8"/>
  <c r="AA374" i="8"/>
  <c r="BM614" i="8"/>
  <c r="BL614" i="8"/>
  <c r="BM630" i="8"/>
  <c r="BL630" i="8"/>
  <c r="BL631" i="8"/>
  <c r="AD642" i="8"/>
  <c r="Z643" i="8"/>
  <c r="BJ55" i="9"/>
  <c r="AD500" i="8"/>
  <c r="AD503" i="8"/>
  <c r="BN42" i="8"/>
  <c r="M9" i="12"/>
  <c r="BM42" i="8"/>
  <c r="AA600" i="8"/>
  <c r="AE598" i="8"/>
  <c r="BO637" i="8"/>
  <c r="AR637" i="8"/>
  <c r="Y343" i="8"/>
  <c r="Z343" i="8" s="1"/>
  <c r="AA343" i="8" s="1"/>
  <c r="X342" i="8"/>
  <c r="AL462" i="8"/>
  <c r="AQ462" i="8"/>
  <c r="AR37" i="20"/>
  <c r="AU40" i="20"/>
  <c r="AU49" i="20"/>
  <c r="AM697" i="8"/>
  <c r="AE328" i="9"/>
  <c r="AI328" i="9"/>
  <c r="AF328" i="9"/>
  <c r="AC328" i="9"/>
  <c r="AU217" i="16"/>
  <c r="AT37" i="20"/>
  <c r="AT40" i="20"/>
  <c r="AU46" i="20"/>
  <c r="AN697" i="8"/>
  <c r="AK697" i="8"/>
  <c r="AN198" i="8"/>
  <c r="AG328" i="9"/>
  <c r="AB334" i="9"/>
  <c r="AB336" i="9" s="1"/>
  <c r="AB337" i="9" s="1"/>
  <c r="AB335" i="9" s="1"/>
  <c r="AA334" i="9"/>
  <c r="AA336" i="9" s="1"/>
  <c r="AA337" i="9" s="1"/>
  <c r="AA335" i="9" s="1"/>
  <c r="AC334" i="9"/>
  <c r="AC336" i="9" s="1"/>
  <c r="AC337" i="9" s="1"/>
  <c r="AC335" i="9" s="1"/>
  <c r="AF334" i="9"/>
  <c r="AF336" i="9" s="1"/>
  <c r="AF337" i="9" s="1"/>
  <c r="AF335" i="9" s="1"/>
  <c r="AI334" i="9"/>
  <c r="AI336" i="9" s="1"/>
  <c r="AG334" i="9"/>
  <c r="AG336" i="9" s="1"/>
  <c r="AG337" i="9" s="1"/>
  <c r="AG335" i="9" s="1"/>
  <c r="AD334" i="9"/>
  <c r="AE334" i="9"/>
  <c r="AH334" i="9"/>
  <c r="BS690" i="8"/>
  <c r="BS692" i="8"/>
  <c r="BS684" i="8"/>
  <c r="BS694" i="8"/>
  <c r="AP198" i="8"/>
  <c r="AB328" i="9"/>
  <c r="BR166" i="8"/>
  <c r="BU684" i="8"/>
  <c r="BU694" i="8"/>
  <c r="BU690" i="8"/>
  <c r="BU692" i="8"/>
  <c r="U52" i="20"/>
  <c r="AT217" i="16"/>
  <c r="U12" i="20"/>
  <c r="AO198" i="8"/>
  <c r="AS217" i="16"/>
  <c r="BP684" i="8"/>
  <c r="BP692" i="8"/>
  <c r="BP694" i="8"/>
  <c r="BP690" i="8"/>
  <c r="AM198" i="8"/>
  <c r="V52" i="20"/>
  <c r="AR217" i="16"/>
  <c r="AN196" i="8"/>
  <c r="AI697" i="8"/>
  <c r="BO684" i="8"/>
  <c r="BO690" i="8"/>
  <c r="BO692" i="8"/>
  <c r="BO694" i="8"/>
  <c r="W12" i="20"/>
  <c r="AQ352" i="9"/>
  <c r="AM180" i="9"/>
  <c r="AM182" i="9" s="1"/>
  <c r="AM183" i="9" s="1"/>
  <c r="AN181" i="9"/>
  <c r="T52" i="20"/>
  <c r="BN461" i="8"/>
  <c r="BN462" i="8" s="1"/>
  <c r="AI462" i="8"/>
  <c r="AM462" i="8"/>
  <c r="BN694" i="8"/>
  <c r="BN690" i="8"/>
  <c r="BN684" i="8"/>
  <c r="BN692" i="8"/>
  <c r="AV46" i="20"/>
  <c r="AV40" i="20"/>
  <c r="AV49" i="20"/>
  <c r="AV37" i="20"/>
  <c r="AV43" i="20"/>
  <c r="AM349" i="9"/>
  <c r="AM350" i="9" s="1"/>
  <c r="AM357" i="9" s="1"/>
  <c r="AM358" i="9" s="1"/>
  <c r="AI196" i="8"/>
  <c r="BN195" i="8"/>
  <c r="BN196" i="8" s="1"/>
  <c r="AQ198" i="8"/>
  <c r="AY43" i="20"/>
  <c r="AY40" i="20"/>
  <c r="AY49" i="20"/>
  <c r="AY37" i="20"/>
  <c r="AY46" i="20"/>
  <c r="AM196" i="8"/>
  <c r="AK462" i="8"/>
  <c r="AO461" i="8"/>
  <c r="BO461" i="8" s="1"/>
  <c r="AO196" i="8"/>
  <c r="AW195" i="8"/>
  <c r="AW188" i="8" s="1"/>
  <c r="BN318" i="9"/>
  <c r="BN294" i="9"/>
  <c r="BM352" i="9"/>
  <c r="AP354" i="9"/>
  <c r="BM354" i="9" s="1"/>
  <c r="AI198" i="8"/>
  <c r="BN197" i="8"/>
  <c r="BN198" i="8" s="1"/>
  <c r="AP356" i="9"/>
  <c r="BM356" i="9" s="1"/>
  <c r="AO349" i="9"/>
  <c r="AO350" i="9" s="1"/>
  <c r="AO357" i="9" s="1"/>
  <c r="AO358" i="9" s="1"/>
  <c r="AR461" i="8"/>
  <c r="AV461" i="8" s="1"/>
  <c r="AV470" i="8" s="1"/>
  <c r="AN462" i="8"/>
  <c r="AQ196" i="8"/>
  <c r="T12" i="20"/>
  <c r="BP318" i="9"/>
  <c r="BP294" i="9"/>
  <c r="F6" i="13"/>
  <c r="F5" i="13" s="1"/>
  <c r="BP349" i="9"/>
  <c r="AP23" i="9"/>
  <c r="AP122" i="8"/>
  <c r="AP123" i="8" s="1"/>
  <c r="AN4" i="9"/>
  <c r="BN109" i="9"/>
  <c r="BN162" i="9" s="1"/>
  <c r="BN287" i="9"/>
  <c r="BN288" i="9" s="1"/>
  <c r="BN79" i="9"/>
  <c r="G188" i="12"/>
  <c r="I188" i="12" s="1"/>
  <c r="BO496" i="8"/>
  <c r="I177" i="12"/>
  <c r="BO67" i="8"/>
  <c r="AB14" i="12"/>
  <c r="BM207" i="9"/>
  <c r="AP93" i="8"/>
  <c r="AP209" i="9"/>
  <c r="AT560" i="8"/>
  <c r="AU560" i="8" s="1"/>
  <c r="BP81" i="8"/>
  <c r="BR262" i="8"/>
  <c r="BT256" i="8"/>
  <c r="BS483" i="8"/>
  <c r="AQ491" i="8"/>
  <c r="AQ492" i="8"/>
  <c r="AQ498" i="8"/>
  <c r="AQ71" i="8"/>
  <c r="AQ72" i="8"/>
  <c r="AQ8" i="8"/>
  <c r="G69" i="12"/>
  <c r="C71" i="12"/>
  <c r="C72" i="12"/>
  <c r="M17" i="12" l="1"/>
  <c r="BK172" i="9"/>
  <c r="AF151" i="9"/>
  <c r="AH203" i="9"/>
  <c r="Z176" i="9"/>
  <c r="Z208" i="9"/>
  <c r="AM118" i="16"/>
  <c r="AR34" i="20"/>
  <c r="AR7" i="20" s="1"/>
  <c r="AX34" i="20"/>
  <c r="AX7" i="20" s="1"/>
  <c r="AX8" i="20" s="1"/>
  <c r="BR138" i="9"/>
  <c r="BO139" i="9"/>
  <c r="AN118" i="16"/>
  <c r="BO364" i="8"/>
  <c r="W431" i="8"/>
  <c r="BK115" i="8"/>
  <c r="T307" i="8"/>
  <c r="Z268" i="8"/>
  <c r="AM518" i="8"/>
  <c r="AA432" i="8"/>
  <c r="BK276" i="8"/>
  <c r="BG533" i="8"/>
  <c r="Z271" i="8"/>
  <c r="AM291" i="8"/>
  <c r="AQ94" i="8"/>
  <c r="AU94" i="8" s="1"/>
  <c r="AD598" i="8"/>
  <c r="AO291" i="8"/>
  <c r="AO288" i="8"/>
  <c r="AO289" i="8" s="1"/>
  <c r="BN159" i="8"/>
  <c r="AU520" i="8"/>
  <c r="AV520" i="8" s="1"/>
  <c r="AW520" i="8" s="1"/>
  <c r="AX520" i="8" s="1"/>
  <c r="BQ520" i="8" s="1"/>
  <c r="S641" i="8"/>
  <c r="S635" i="8"/>
  <c r="S307" i="8"/>
  <c r="X306" i="8"/>
  <c r="D499" i="8"/>
  <c r="X210" i="9"/>
  <c r="T566" i="8"/>
  <c r="S314" i="8"/>
  <c r="X566" i="8"/>
  <c r="AE117" i="8"/>
  <c r="BK268" i="8"/>
  <c r="BK269" i="8"/>
  <c r="AF354" i="8"/>
  <c r="AF355" i="8" s="1"/>
  <c r="AD268" i="8"/>
  <c r="Z269" i="8"/>
  <c r="BN266" i="8"/>
  <c r="N575" i="8"/>
  <c r="BL595" i="8"/>
  <c r="BM425" i="8"/>
  <c r="AA642" i="8"/>
  <c r="K677" i="8"/>
  <c r="Z92" i="8"/>
  <c r="Z214" i="9" s="1"/>
  <c r="T567" i="8"/>
  <c r="BK179" i="8"/>
  <c r="BM92" i="8"/>
  <c r="AH94" i="8"/>
  <c r="Z218" i="9"/>
  <c r="BK49" i="9"/>
  <c r="BK261" i="9"/>
  <c r="X119" i="8"/>
  <c r="BN286" i="8"/>
  <c r="X23" i="9"/>
  <c r="X24" i="9" s="1"/>
  <c r="BO92" i="8"/>
  <c r="AP94" i="8"/>
  <c r="AD499" i="8"/>
  <c r="Z441" i="8"/>
  <c r="BI218" i="9"/>
  <c r="AN518" i="8"/>
  <c r="X116" i="8"/>
  <c r="AB117" i="8" s="1"/>
  <c r="BK573" i="8"/>
  <c r="BK575" i="8" s="1"/>
  <c r="BK581" i="8" s="1"/>
  <c r="BK98" i="8"/>
  <c r="BL575" i="8"/>
  <c r="BL581" i="8" s="1"/>
  <c r="X34" i="8"/>
  <c r="V37" i="9"/>
  <c r="V42" i="9" s="1"/>
  <c r="AK203" i="9"/>
  <c r="BK16" i="9"/>
  <c r="V343" i="9"/>
  <c r="V344" i="9" s="1"/>
  <c r="J151" i="9"/>
  <c r="Z151" i="9"/>
  <c r="AJ174" i="9"/>
  <c r="AJ145" i="9"/>
  <c r="AJ151" i="9" s="1"/>
  <c r="C151" i="9"/>
  <c r="AD151" i="9"/>
  <c r="BN350" i="9"/>
  <c r="BN349" i="9" s="1"/>
  <c r="AA187" i="9"/>
  <c r="AI151" i="9"/>
  <c r="BK14" i="9"/>
  <c r="V56" i="9"/>
  <c r="V58" i="9" s="1"/>
  <c r="BK11" i="9"/>
  <c r="BK21" i="9" s="1"/>
  <c r="BG174" i="9"/>
  <c r="K151" i="9"/>
  <c r="M151" i="9"/>
  <c r="Y308" i="9"/>
  <c r="Y310" i="9" s="1"/>
  <c r="BI159" i="9"/>
  <c r="BI152" i="9" s="1"/>
  <c r="AB151" i="9"/>
  <c r="D151" i="9"/>
  <c r="BH65" i="9"/>
  <c r="AH143" i="9"/>
  <c r="G151" i="9"/>
  <c r="BF174" i="9"/>
  <c r="AF187" i="9"/>
  <c r="R335" i="9"/>
  <c r="R341" i="9" s="1"/>
  <c r="BF293" i="9"/>
  <c r="BF295" i="9" s="1"/>
  <c r="BI363" i="9"/>
  <c r="AE219" i="9"/>
  <c r="AV348" i="9"/>
  <c r="AV350" i="9" s="1"/>
  <c r="AE217" i="9"/>
  <c r="BG143" i="9"/>
  <c r="AE203" i="9"/>
  <c r="AE187" i="9"/>
  <c r="U151" i="9"/>
  <c r="BL305" i="9"/>
  <c r="BL299" i="9" s="1"/>
  <c r="X21" i="9"/>
  <c r="X32" i="9" s="1"/>
  <c r="X37" i="9" s="1"/>
  <c r="J79" i="12"/>
  <c r="BJ145" i="9"/>
  <c r="BH152" i="9"/>
  <c r="BE305" i="9"/>
  <c r="BE308" i="9" s="1"/>
  <c r="BE310" i="9" s="1"/>
  <c r="BG65" i="9"/>
  <c r="BH174" i="9"/>
  <c r="AD143" i="9"/>
  <c r="BH145" i="9"/>
  <c r="V279" i="9"/>
  <c r="BJ65" i="9"/>
  <c r="AA56" i="9"/>
  <c r="AA32" i="9"/>
  <c r="T226" i="8"/>
  <c r="T233" i="8"/>
  <c r="X215" i="9"/>
  <c r="AP240" i="8"/>
  <c r="X219" i="9"/>
  <c r="BG566" i="8"/>
  <c r="AE574" i="8"/>
  <c r="AA575" i="8"/>
  <c r="AA574" i="8"/>
  <c r="R677" i="8"/>
  <c r="BL233" i="8"/>
  <c r="BL238" i="8" s="1"/>
  <c r="AJ431" i="8"/>
  <c r="AJ432" i="8"/>
  <c r="AJ434" i="8" s="1"/>
  <c r="S492" i="8"/>
  <c r="S498" i="8"/>
  <c r="S500" i="8" s="1"/>
  <c r="S501" i="8" s="1"/>
  <c r="Z430" i="8"/>
  <c r="BK430" i="8" s="1"/>
  <c r="BK431" i="8" s="1"/>
  <c r="Z386" i="8"/>
  <c r="Z387" i="8"/>
  <c r="AD388" i="8" s="1"/>
  <c r="L677" i="8"/>
  <c r="BG235" i="8"/>
  <c r="AK289" i="8"/>
  <c r="BG567" i="8"/>
  <c r="BL567" i="8"/>
  <c r="BL566" i="8"/>
  <c r="AH86" i="8"/>
  <c r="BM86" i="8" s="1"/>
  <c r="AH23" i="9"/>
  <c r="AH24" i="9" s="1"/>
  <c r="AH119" i="8"/>
  <c r="AH116" i="8"/>
  <c r="AL117" i="8" s="1"/>
  <c r="BO106" i="8"/>
  <c r="BK385" i="8"/>
  <c r="BK386" i="8" s="1"/>
  <c r="AI574" i="8"/>
  <c r="AF441" i="8"/>
  <c r="AF442" i="8"/>
  <c r="BQ524" i="8"/>
  <c r="AK642" i="8"/>
  <c r="BJ377" i="8"/>
  <c r="BO159" i="8"/>
  <c r="W301" i="8"/>
  <c r="AD234" i="8"/>
  <c r="H19" i="12"/>
  <c r="AJ441" i="8"/>
  <c r="AJ442" i="8"/>
  <c r="W295" i="8"/>
  <c r="AW34" i="20"/>
  <c r="AW7" i="20" s="1"/>
  <c r="AW8" i="20" s="1"/>
  <c r="AG47" i="10"/>
  <c r="AG509" i="8"/>
  <c r="AH46" i="10"/>
  <c r="AH47" i="10"/>
  <c r="AH510" i="8" s="1"/>
  <c r="BT680" i="8"/>
  <c r="BQ680" i="8"/>
  <c r="BN123" i="8"/>
  <c r="AB273" i="8"/>
  <c r="AB279" i="8"/>
  <c r="AB281" i="8" s="1"/>
  <c r="AD279" i="8"/>
  <c r="AD281" i="8" s="1"/>
  <c r="AD272" i="8"/>
  <c r="AD273" i="8"/>
  <c r="AO243" i="8"/>
  <c r="AO245" i="8" s="1"/>
  <c r="AO240" i="8"/>
  <c r="AI375" i="8"/>
  <c r="AI376" i="8"/>
  <c r="AI377" i="8" s="1"/>
  <c r="AI391" i="8"/>
  <c r="AI399" i="8" s="1"/>
  <c r="AI401" i="8" s="1"/>
  <c r="V168" i="9"/>
  <c r="AI434" i="8"/>
  <c r="AI436" i="8"/>
  <c r="BM98" i="8"/>
  <c r="BK218" i="9"/>
  <c r="AK145" i="9"/>
  <c r="AK151" i="9" s="1"/>
  <c r="AL65" i="9"/>
  <c r="AL187" i="9" s="1"/>
  <c r="AK65" i="9"/>
  <c r="AK187" i="9" s="1"/>
  <c r="BJ305" i="9"/>
  <c r="BJ308" i="9" s="1"/>
  <c r="BJ310" i="9" s="1"/>
  <c r="BI305" i="9"/>
  <c r="AF167" i="8"/>
  <c r="AF149" i="8" s="1"/>
  <c r="AF186" i="8" s="1"/>
  <c r="AB149" i="8"/>
  <c r="AB186" i="8" s="1"/>
  <c r="AB192" i="8" s="1"/>
  <c r="AB199" i="8" s="1"/>
  <c r="AK499" i="8"/>
  <c r="AK500" i="8"/>
  <c r="AK503" i="8"/>
  <c r="AK505" i="8" s="1"/>
  <c r="W598" i="8"/>
  <c r="W600" i="8"/>
  <c r="BK600" i="8" s="1"/>
  <c r="S598" i="8"/>
  <c r="S600" i="8"/>
  <c r="S601" i="8" s="1"/>
  <c r="AO157" i="8"/>
  <c r="BG530" i="8"/>
  <c r="BL425" i="8"/>
  <c r="BK425" i="8"/>
  <c r="BK597" i="8"/>
  <c r="N574" i="8"/>
  <c r="BK63" i="9"/>
  <c r="BM94" i="8"/>
  <c r="BQ308" i="9"/>
  <c r="BQ349" i="9"/>
  <c r="BQ686" i="8"/>
  <c r="BQ688" i="8"/>
  <c r="BQ687" i="8"/>
  <c r="BQ699" i="8"/>
  <c r="BQ33" i="10"/>
  <c r="BQ39" i="10" s="1"/>
  <c r="BP39" i="10"/>
  <c r="BF152" i="9"/>
  <c r="BF151" i="9" s="1"/>
  <c r="AF202" i="9"/>
  <c r="AF203" i="9"/>
  <c r="BI145" i="9"/>
  <c r="K79" i="12"/>
  <c r="BI65" i="9"/>
  <c r="Y202" i="9"/>
  <c r="Y203" i="9"/>
  <c r="Y187" i="9"/>
  <c r="X187" i="9"/>
  <c r="X202" i="9"/>
  <c r="X203" i="9"/>
  <c r="AV141" i="9"/>
  <c r="AU161" i="9"/>
  <c r="AX108" i="9"/>
  <c r="BO110" i="9"/>
  <c r="BL396" i="8"/>
  <c r="BL397" i="8"/>
  <c r="X441" i="8"/>
  <c r="BK440" i="8"/>
  <c r="BK442" i="8" s="1"/>
  <c r="X442" i="8"/>
  <c r="BK397" i="8"/>
  <c r="BK396" i="8"/>
  <c r="Y55" i="8"/>
  <c r="Y4" i="9"/>
  <c r="S392" i="8"/>
  <c r="S399" i="8"/>
  <c r="S393" i="8"/>
  <c r="AU473" i="8"/>
  <c r="AU474" i="8" s="1"/>
  <c r="AU482" i="8"/>
  <c r="AU471" i="8"/>
  <c r="AU477" i="8"/>
  <c r="U32" i="9"/>
  <c r="BH32" i="9" s="1"/>
  <c r="U56" i="9"/>
  <c r="AB503" i="8"/>
  <c r="AB505" i="8" s="1"/>
  <c r="AB506" i="8" s="1"/>
  <c r="E19" i="17"/>
  <c r="O19" i="17" s="1"/>
  <c r="AB500" i="8"/>
  <c r="AH63" i="9"/>
  <c r="U123" i="8"/>
  <c r="Y123" i="8"/>
  <c r="AN586" i="8"/>
  <c r="AO588" i="8"/>
  <c r="AL499" i="8"/>
  <c r="G19" i="12"/>
  <c r="BN410" i="8"/>
  <c r="BM498" i="8"/>
  <c r="Y208" i="9"/>
  <c r="Y178" i="9"/>
  <c r="Y177" i="9"/>
  <c r="Y176" i="9"/>
  <c r="AL500" i="8"/>
  <c r="AL503" i="8"/>
  <c r="AL505" i="8" s="1"/>
  <c r="L575" i="8"/>
  <c r="P576" i="8" s="1"/>
  <c r="L578" i="8"/>
  <c r="L579" i="8" s="1"/>
  <c r="L580" i="8" s="1"/>
  <c r="L574" i="8"/>
  <c r="BQ74" i="8"/>
  <c r="BQ76" i="8" s="1"/>
  <c r="AX76" i="8"/>
  <c r="AX15" i="9"/>
  <c r="BO15" i="9" s="1"/>
  <c r="BG21" i="9"/>
  <c r="I21" i="12"/>
  <c r="I22" i="12" s="1"/>
  <c r="BG12" i="9"/>
  <c r="O32" i="9"/>
  <c r="O56" i="9"/>
  <c r="O58" i="9" s="1"/>
  <c r="O59" i="9" s="1"/>
  <c r="BE21" i="9"/>
  <c r="BE12" i="9"/>
  <c r="G21" i="12"/>
  <c r="G22" i="12" s="1"/>
  <c r="G32" i="9"/>
  <c r="G56" i="9"/>
  <c r="G58" i="9" s="1"/>
  <c r="D37" i="9"/>
  <c r="D35" i="9"/>
  <c r="AH288" i="8"/>
  <c r="AH291" i="8"/>
  <c r="Y566" i="8"/>
  <c r="U567" i="8"/>
  <c r="U566" i="8"/>
  <c r="U573" i="8"/>
  <c r="T399" i="8"/>
  <c r="T392" i="8"/>
  <c r="T393" i="8"/>
  <c r="AA299" i="8"/>
  <c r="BL297" i="8"/>
  <c r="AE297" i="8"/>
  <c r="AD235" i="8"/>
  <c r="AH236" i="8" s="1"/>
  <c r="AD238" i="8"/>
  <c r="AH234" i="8"/>
  <c r="AS382" i="8"/>
  <c r="BO382" i="8"/>
  <c r="BO383" i="8" s="1"/>
  <c r="BN427" i="8"/>
  <c r="BN428" i="8" s="1"/>
  <c r="AK428" i="8"/>
  <c r="AO427" i="8"/>
  <c r="BO587" i="8"/>
  <c r="BO591" i="8" s="1"/>
  <c r="AQ587" i="8"/>
  <c r="BQ215" i="8"/>
  <c r="BL498" i="8"/>
  <c r="H677" i="8"/>
  <c r="G677" i="8"/>
  <c r="AG118" i="8"/>
  <c r="BM595" i="8"/>
  <c r="P574" i="8"/>
  <c r="BE235" i="8"/>
  <c r="BE209" i="8"/>
  <c r="AH500" i="8"/>
  <c r="AH503" i="8"/>
  <c r="AH499" i="8"/>
  <c r="AC503" i="8"/>
  <c r="AC499" i="8"/>
  <c r="AC500" i="8"/>
  <c r="AG499" i="8"/>
  <c r="AM235" i="8"/>
  <c r="AM238" i="8"/>
  <c r="AP234" i="8"/>
  <c r="AL238" i="8"/>
  <c r="AL234" i="8"/>
  <c r="BP326" i="8"/>
  <c r="AR326" i="8"/>
  <c r="AS326" i="8" s="1"/>
  <c r="X302" i="8"/>
  <c r="X303" i="8"/>
  <c r="D58" i="9"/>
  <c r="D59" i="9" s="1"/>
  <c r="D52" i="9"/>
  <c r="AD55" i="8"/>
  <c r="AD4" i="9"/>
  <c r="AG376" i="8"/>
  <c r="AG377" i="8" s="1"/>
  <c r="AG375" i="8"/>
  <c r="AH295" i="8"/>
  <c r="AH301" i="8"/>
  <c r="AA187" i="8"/>
  <c r="AA192" i="8"/>
  <c r="AA199" i="8" s="1"/>
  <c r="AI167" i="8"/>
  <c r="AI149" i="8" s="1"/>
  <c r="AI186" i="8" s="1"/>
  <c r="AE161" i="8"/>
  <c r="AE163" i="8" s="1"/>
  <c r="AH389" i="8"/>
  <c r="AH388" i="8"/>
  <c r="BQ624" i="8"/>
  <c r="BQ175" i="8"/>
  <c r="AW413" i="8"/>
  <c r="AW414" i="8" s="1"/>
  <c r="BQ407" i="8"/>
  <c r="AU368" i="8"/>
  <c r="AJ203" i="9"/>
  <c r="AJ202" i="9"/>
  <c r="U343" i="9"/>
  <c r="U344" i="9" s="1"/>
  <c r="U347" i="9"/>
  <c r="AJ187" i="9"/>
  <c r="J35" i="9"/>
  <c r="J37" i="9"/>
  <c r="J42" i="9" s="1"/>
  <c r="BE71" i="9"/>
  <c r="G28" i="12"/>
  <c r="AL32" i="9"/>
  <c r="BL32" i="9" s="1"/>
  <c r="BL240" i="9" s="1"/>
  <c r="AL56" i="9"/>
  <c r="W151" i="9"/>
  <c r="Y279" i="9"/>
  <c r="Z280" i="9"/>
  <c r="AH216" i="9"/>
  <c r="AH214" i="9" s="1"/>
  <c r="BK216" i="9"/>
  <c r="BK214" i="9" s="1"/>
  <c r="BK210" i="9" s="1"/>
  <c r="AG212" i="9"/>
  <c r="AG210" i="9"/>
  <c r="BF305" i="9"/>
  <c r="BF308" i="9" s="1"/>
  <c r="BF310" i="9" s="1"/>
  <c r="BG305" i="9"/>
  <c r="BG308" i="9" s="1"/>
  <c r="BG310" i="9" s="1"/>
  <c r="BJ363" i="9"/>
  <c r="BF65" i="9"/>
  <c r="BE174" i="9"/>
  <c r="BE65" i="9"/>
  <c r="BE145" i="9"/>
  <c r="BI329" i="9"/>
  <c r="W341" i="9"/>
  <c r="G4" i="12"/>
  <c r="H4" i="12"/>
  <c r="BK143" i="9"/>
  <c r="BJ143" i="9"/>
  <c r="BE152" i="9"/>
  <c r="V187" i="9"/>
  <c r="V203" i="9"/>
  <c r="V202" i="9"/>
  <c r="M79" i="12"/>
  <c r="BK65" i="9"/>
  <c r="BK145" i="9"/>
  <c r="AG187" i="9"/>
  <c r="AG203" i="9"/>
  <c r="AG202" i="9"/>
  <c r="BD151" i="9"/>
  <c r="BF168" i="9"/>
  <c r="M58" i="9"/>
  <c r="M52" i="9"/>
  <c r="BK363" i="9"/>
  <c r="BG159" i="9"/>
  <c r="BG152" i="9" s="1"/>
  <c r="BG151" i="9" s="1"/>
  <c r="BG69" i="9"/>
  <c r="BH69" i="9"/>
  <c r="H42" i="9"/>
  <c r="Q42" i="9"/>
  <c r="I42" i="9"/>
  <c r="Y42" i="9"/>
  <c r="J15" i="12"/>
  <c r="I19" i="12"/>
  <c r="S37" i="9"/>
  <c r="S35" i="9"/>
  <c r="L58" i="9"/>
  <c r="L59" i="9" s="1"/>
  <c r="L52" i="9"/>
  <c r="L35" i="9"/>
  <c r="L37" i="9"/>
  <c r="M35" i="9"/>
  <c r="M37" i="9"/>
  <c r="Q38" i="9" s="1"/>
  <c r="E58" i="9"/>
  <c r="E59" i="9" s="1"/>
  <c r="E52" i="9"/>
  <c r="E37" i="9"/>
  <c r="E35" i="9"/>
  <c r="N58" i="9"/>
  <c r="N59" i="9" s="1"/>
  <c r="N52" i="9"/>
  <c r="N35" i="9"/>
  <c r="N37" i="9"/>
  <c r="P35" i="9"/>
  <c r="P37" i="9"/>
  <c r="F35" i="9"/>
  <c r="F37" i="9"/>
  <c r="AP35" i="9"/>
  <c r="AP37" i="9"/>
  <c r="AH145" i="9"/>
  <c r="AH151" i="9" s="1"/>
  <c r="AI65" i="9"/>
  <c r="AI187" i="9" s="1"/>
  <c r="AH65" i="9"/>
  <c r="AH187" i="9" s="1"/>
  <c r="AI202" i="9"/>
  <c r="AI203" i="9"/>
  <c r="BF32" i="9"/>
  <c r="K35" i="9"/>
  <c r="K37" i="9"/>
  <c r="BD32" i="9"/>
  <c r="C37" i="9"/>
  <c r="C35" i="9"/>
  <c r="AD37" i="9"/>
  <c r="AD35" i="9"/>
  <c r="AB35" i="9"/>
  <c r="AB37" i="9"/>
  <c r="AJ37" i="9"/>
  <c r="AJ35" i="9"/>
  <c r="AI37" i="9"/>
  <c r="AI35" i="9"/>
  <c r="AG37" i="9"/>
  <c r="AG42" i="9" s="1"/>
  <c r="AG35" i="9"/>
  <c r="AE37" i="9"/>
  <c r="AE35" i="9"/>
  <c r="AK37" i="9"/>
  <c r="AK42" i="9" s="1"/>
  <c r="AK35" i="9"/>
  <c r="AH37" i="9"/>
  <c r="AH42" i="9" s="1"/>
  <c r="AH35" i="9"/>
  <c r="T35" i="9"/>
  <c r="T37" i="9"/>
  <c r="AF37" i="9"/>
  <c r="AF35" i="9"/>
  <c r="AN35" i="9"/>
  <c r="AN37" i="9"/>
  <c r="AO37" i="9"/>
  <c r="AO35" i="9"/>
  <c r="BG168" i="9"/>
  <c r="BH71" i="9"/>
  <c r="Z32" i="9"/>
  <c r="Z56" i="9"/>
  <c r="W32" i="9"/>
  <c r="W56" i="9"/>
  <c r="P52" i="9"/>
  <c r="P58" i="9"/>
  <c r="P59" i="9" s="1"/>
  <c r="R52" i="9"/>
  <c r="R58" i="9"/>
  <c r="F52" i="9"/>
  <c r="F58" i="9"/>
  <c r="F59" i="9" s="1"/>
  <c r="J72" i="9"/>
  <c r="J62" i="9"/>
  <c r="BG26" i="9"/>
  <c r="R32" i="9"/>
  <c r="AM37" i="9"/>
  <c r="BM32" i="9"/>
  <c r="BM240" i="9" s="1"/>
  <c r="BI292" i="9"/>
  <c r="BI293" i="9" s="1"/>
  <c r="BI295" i="9" s="1"/>
  <c r="BK32" i="9"/>
  <c r="BK240" i="9" s="1"/>
  <c r="V143" i="9"/>
  <c r="BH115" i="9"/>
  <c r="BH143" i="9" s="1"/>
  <c r="AG280" i="9"/>
  <c r="AG27" i="9" s="1"/>
  <c r="BF71" i="9"/>
  <c r="H28" i="12"/>
  <c r="BJ279" i="9"/>
  <c r="AS304" i="9"/>
  <c r="AS356" i="9" s="1"/>
  <c r="H52" i="9"/>
  <c r="H58" i="9"/>
  <c r="H59" i="9" s="1"/>
  <c r="K56" i="9"/>
  <c r="K58" i="9" s="1"/>
  <c r="H21" i="12"/>
  <c r="H22" i="12" s="1"/>
  <c r="BF12" i="9"/>
  <c r="BF21" i="9"/>
  <c r="C56" i="9"/>
  <c r="C58" i="9" s="1"/>
  <c r="BD21" i="9"/>
  <c r="C21" i="12"/>
  <c r="C22" i="12" s="1"/>
  <c r="F214" i="12"/>
  <c r="D214" i="12"/>
  <c r="D215" i="12" s="1"/>
  <c r="BF143" i="9"/>
  <c r="BL363" i="9"/>
  <c r="Q52" i="9"/>
  <c r="Q58" i="9"/>
  <c r="I52" i="9"/>
  <c r="I58" i="9"/>
  <c r="S72" i="9"/>
  <c r="S62" i="9"/>
  <c r="AC181" i="9"/>
  <c r="AD180" i="9"/>
  <c r="AE182" i="9" s="1"/>
  <c r="AE183" i="9" s="1"/>
  <c r="AF182" i="9"/>
  <c r="AF183" i="9" s="1"/>
  <c r="R71" i="9"/>
  <c r="W187" i="9"/>
  <c r="BH279" i="9"/>
  <c r="BG293" i="9"/>
  <c r="BG295" i="9" s="1"/>
  <c r="BL279" i="9"/>
  <c r="W203" i="9"/>
  <c r="W202" i="9"/>
  <c r="BL65" i="9"/>
  <c r="N79" i="12"/>
  <c r="BL145" i="9"/>
  <c r="AC279" i="9"/>
  <c r="BJ26" i="9"/>
  <c r="AC71" i="9"/>
  <c r="Z335" i="9"/>
  <c r="BI335" i="9" s="1"/>
  <c r="BI337" i="9"/>
  <c r="S341" i="9"/>
  <c r="BH335" i="9"/>
  <c r="Y58" i="9"/>
  <c r="Y59" i="9" s="1"/>
  <c r="Y52" i="9"/>
  <c r="Y185" i="9" s="1"/>
  <c r="AG300" i="9"/>
  <c r="BL152" i="9"/>
  <c r="N70" i="12"/>
  <c r="AV64" i="9"/>
  <c r="AW135" i="9"/>
  <c r="AW162" i="9" s="1"/>
  <c r="BM212" i="9"/>
  <c r="BM219" i="9" s="1"/>
  <c r="BG280" i="9"/>
  <c r="BG279" i="9" s="1"/>
  <c r="BI18" i="9"/>
  <c r="BI54" i="9" s="1"/>
  <c r="BI53" i="9" s="1"/>
  <c r="BI143" i="9"/>
  <c r="Z143" i="9"/>
  <c r="AL279" i="9"/>
  <c r="AL27" i="9"/>
  <c r="AD208" i="9"/>
  <c r="AD176" i="9"/>
  <c r="AD174" i="9"/>
  <c r="AD177" i="9"/>
  <c r="AD178" i="9"/>
  <c r="AN217" i="9"/>
  <c r="AN219" i="9"/>
  <c r="AN215" i="9"/>
  <c r="AK56" i="9"/>
  <c r="BN315" i="9"/>
  <c r="AU315" i="9"/>
  <c r="AV315" i="9" s="1"/>
  <c r="AW315" i="9" s="1"/>
  <c r="AX315" i="9" s="1"/>
  <c r="BO315" i="9" s="1"/>
  <c r="BP315" i="9" s="1"/>
  <c r="BQ315" i="9" s="1"/>
  <c r="BR315" i="9" s="1"/>
  <c r="BS315" i="9" s="1"/>
  <c r="AM500" i="8"/>
  <c r="AM503" i="8"/>
  <c r="AM505" i="8" s="1"/>
  <c r="AB234" i="8"/>
  <c r="BL167" i="8"/>
  <c r="BL161" i="8" s="1"/>
  <c r="BL162" i="8" s="1"/>
  <c r="AF499" i="8"/>
  <c r="BJ306" i="8"/>
  <c r="AD56" i="9"/>
  <c r="AM323" i="8"/>
  <c r="AL290" i="8"/>
  <c r="BN290" i="8" s="1"/>
  <c r="AP285" i="8"/>
  <c r="AL323" i="8"/>
  <c r="AL299" i="8"/>
  <c r="Y172" i="9"/>
  <c r="Y171" i="9"/>
  <c r="BI7" i="9"/>
  <c r="AA171" i="9"/>
  <c r="Z171" i="9"/>
  <c r="AA172" i="9"/>
  <c r="Z172" i="9"/>
  <c r="AB235" i="8"/>
  <c r="E14" i="17"/>
  <c r="AB238" i="8"/>
  <c r="X598" i="8"/>
  <c r="T600" i="8"/>
  <c r="T598" i="8"/>
  <c r="BN492" i="8"/>
  <c r="BN491" i="8"/>
  <c r="Y634" i="8"/>
  <c r="U634" i="8"/>
  <c r="U641" i="8"/>
  <c r="U635" i="8"/>
  <c r="AL413" i="8"/>
  <c r="AP409" i="8"/>
  <c r="BO409" i="8" s="1"/>
  <c r="BO410" i="8" s="1"/>
  <c r="AL368" i="8"/>
  <c r="AL294" i="8"/>
  <c r="BN294" i="8" s="1"/>
  <c r="M578" i="8"/>
  <c r="M575" i="8"/>
  <c r="AB393" i="8"/>
  <c r="AB399" i="8"/>
  <c r="AB401" i="8" s="1"/>
  <c r="BT699" i="8"/>
  <c r="J19" i="12"/>
  <c r="I677" i="8"/>
  <c r="J677" i="8"/>
  <c r="AA294" i="8"/>
  <c r="AE296" i="8"/>
  <c r="AE294" i="8" s="1"/>
  <c r="R578" i="8"/>
  <c r="R579" i="8" s="1"/>
  <c r="R574" i="8"/>
  <c r="R575" i="8"/>
  <c r="R576" i="8" s="1"/>
  <c r="Q574" i="8"/>
  <c r="Q578" i="8"/>
  <c r="Q579" i="8" s="1"/>
  <c r="Q575" i="8"/>
  <c r="BG573" i="8"/>
  <c r="K574" i="8"/>
  <c r="J574" i="8"/>
  <c r="J575" i="8"/>
  <c r="M574" i="8"/>
  <c r="I574" i="8"/>
  <c r="I575" i="8"/>
  <c r="I576" i="8" s="1"/>
  <c r="BF573" i="8"/>
  <c r="BF575" i="8" s="1"/>
  <c r="G575" i="8"/>
  <c r="G574" i="8"/>
  <c r="AC161" i="8"/>
  <c r="AC163" i="8" s="1"/>
  <c r="AG167" i="8"/>
  <c r="AG149" i="8" s="1"/>
  <c r="AG186" i="8" s="1"/>
  <c r="BJ89" i="8"/>
  <c r="T90" i="8"/>
  <c r="T312" i="8"/>
  <c r="T672" i="8"/>
  <c r="T665" i="8" s="1"/>
  <c r="T676" i="8" s="1"/>
  <c r="T677" i="8" s="1"/>
  <c r="T65" i="8"/>
  <c r="T496" i="8"/>
  <c r="T230" i="8"/>
  <c r="T129" i="8"/>
  <c r="N401" i="8"/>
  <c r="N400" i="8"/>
  <c r="J400" i="8"/>
  <c r="J401" i="8"/>
  <c r="H401" i="8"/>
  <c r="H400" i="8"/>
  <c r="AA500" i="8"/>
  <c r="AA503" i="8"/>
  <c r="AA505" i="8" s="1"/>
  <c r="AA506" i="8" s="1"/>
  <c r="AF238" i="8"/>
  <c r="AF235" i="8"/>
  <c r="AC235" i="8"/>
  <c r="AC234" i="8"/>
  <c r="AC238" i="8"/>
  <c r="AA235" i="8"/>
  <c r="AA238" i="8"/>
  <c r="Z235" i="8"/>
  <c r="Z238" i="8"/>
  <c r="Y235" i="8"/>
  <c r="Y238" i="8"/>
  <c r="BO327" i="8"/>
  <c r="AN327" i="8"/>
  <c r="AO327" i="8" s="1"/>
  <c r="AP327" i="8" s="1"/>
  <c r="AQ327" i="8" s="1"/>
  <c r="BF123" i="8"/>
  <c r="C675" i="8"/>
  <c r="BH676" i="8"/>
  <c r="AM289" i="8"/>
  <c r="BJ529" i="8"/>
  <c r="BO107" i="8"/>
  <c r="BL12" i="9"/>
  <c r="BL492" i="8"/>
  <c r="BM491" i="8"/>
  <c r="AF234" i="8"/>
  <c r="AJ234" i="8"/>
  <c r="BP408" i="8"/>
  <c r="BT687" i="8"/>
  <c r="BT686" i="8"/>
  <c r="BT688" i="8"/>
  <c r="AL208" i="9"/>
  <c r="AL178" i="9"/>
  <c r="AL176" i="9"/>
  <c r="AL177" i="9"/>
  <c r="AL174" i="9"/>
  <c r="AL55" i="8"/>
  <c r="AL4" i="9"/>
  <c r="AV156" i="8"/>
  <c r="AV147" i="8" s="1"/>
  <c r="AV148" i="8" s="1"/>
  <c r="AN152" i="8"/>
  <c r="AJ161" i="8"/>
  <c r="AJ154" i="8"/>
  <c r="AJ153" i="8"/>
  <c r="AM152" i="8"/>
  <c r="AI153" i="8"/>
  <c r="AI154" i="8"/>
  <c r="AL152" i="8"/>
  <c r="AP156" i="8"/>
  <c r="AT157" i="8" s="1"/>
  <c r="AH154" i="8"/>
  <c r="AH153" i="8"/>
  <c r="BK417" i="8"/>
  <c r="BK418" i="8" s="1"/>
  <c r="Z419" i="8"/>
  <c r="BK295" i="8"/>
  <c r="BK296" i="8"/>
  <c r="P116" i="8"/>
  <c r="P86" i="8"/>
  <c r="P119" i="8"/>
  <c r="I86" i="8"/>
  <c r="I116" i="8"/>
  <c r="T212" i="9"/>
  <c r="T210" i="9"/>
  <c r="X377" i="8"/>
  <c r="AB377" i="8"/>
  <c r="Y280" i="8"/>
  <c r="Y281" i="8"/>
  <c r="Y282" i="8" s="1"/>
  <c r="BF377" i="8"/>
  <c r="BG377" i="8"/>
  <c r="AD530" i="8"/>
  <c r="Y303" i="8"/>
  <c r="Y302" i="8"/>
  <c r="X391" i="8"/>
  <c r="X389" i="8"/>
  <c r="AB388" i="8"/>
  <c r="X388" i="8"/>
  <c r="X431" i="8"/>
  <c r="X432" i="8"/>
  <c r="AG694" i="8"/>
  <c r="AG695" i="8" s="1"/>
  <c r="AH694" i="8"/>
  <c r="AH695" i="8" s="1"/>
  <c r="AL694" i="8"/>
  <c r="AL695" i="8" s="1"/>
  <c r="AI694" i="8"/>
  <c r="AI695" i="8" s="1"/>
  <c r="AK694" i="8"/>
  <c r="AK695" i="8" s="1"/>
  <c r="AE694" i="8"/>
  <c r="AE695" i="8" s="1"/>
  <c r="AR694" i="8"/>
  <c r="AS694" i="8"/>
  <c r="AU694" i="8"/>
  <c r="AF694" i="8"/>
  <c r="AF695" i="8" s="1"/>
  <c r="AO694" i="8"/>
  <c r="AN694" i="8"/>
  <c r="AN695" i="8" s="1"/>
  <c r="AW694" i="8"/>
  <c r="AX694" i="8"/>
  <c r="AJ694" i="8"/>
  <c r="AJ695" i="8" s="1"/>
  <c r="AT694" i="8"/>
  <c r="AV694" i="8"/>
  <c r="AQ694" i="8"/>
  <c r="AQ695" i="8" s="1"/>
  <c r="AP694" i="8"/>
  <c r="AM694" i="8"/>
  <c r="AM695" i="8" s="1"/>
  <c r="E316" i="8"/>
  <c r="E315" i="8"/>
  <c r="D316" i="8"/>
  <c r="D315" i="8"/>
  <c r="Q401" i="8"/>
  <c r="Q400" i="8"/>
  <c r="M400" i="8"/>
  <c r="M401" i="8"/>
  <c r="L401" i="8"/>
  <c r="L400" i="8"/>
  <c r="BG393" i="8"/>
  <c r="BG392" i="8"/>
  <c r="K401" i="8"/>
  <c r="BG399" i="8"/>
  <c r="BG401" i="8" s="1"/>
  <c r="K400" i="8"/>
  <c r="I401" i="8"/>
  <c r="I400" i="8"/>
  <c r="BG123" i="8"/>
  <c r="BH123" i="8"/>
  <c r="X235" i="8"/>
  <c r="X234" i="8"/>
  <c r="X238" i="8"/>
  <c r="AH167" i="8"/>
  <c r="AH149" i="8" s="1"/>
  <c r="AH186" i="8" s="1"/>
  <c r="AD161" i="8"/>
  <c r="AD163" i="8" s="1"/>
  <c r="AB692" i="8"/>
  <c r="AB693" i="8" s="1"/>
  <c r="BL680" i="8"/>
  <c r="AC692" i="8"/>
  <c r="AC693" i="8" s="1"/>
  <c r="AA692" i="8"/>
  <c r="AA693" i="8" s="1"/>
  <c r="AD692" i="8"/>
  <c r="AD693" i="8" s="1"/>
  <c r="BL699" i="8"/>
  <c r="AC694" i="8"/>
  <c r="AD694" i="8"/>
  <c r="AA694" i="8"/>
  <c r="AB694" i="8"/>
  <c r="AA690" i="8"/>
  <c r="AA691" i="8" s="1"/>
  <c r="AC690" i="8"/>
  <c r="AC691" i="8" s="1"/>
  <c r="AD690" i="8"/>
  <c r="AD691" i="8" s="1"/>
  <c r="AB690" i="8"/>
  <c r="AB691" i="8" s="1"/>
  <c r="AA684" i="8"/>
  <c r="AA685" i="8" s="1"/>
  <c r="AD684" i="8"/>
  <c r="AD685" i="8" s="1"/>
  <c r="AC684" i="8"/>
  <c r="AC685" i="8" s="1"/>
  <c r="BL688" i="8"/>
  <c r="BL687" i="8"/>
  <c r="BL686" i="8"/>
  <c r="AB684" i="8"/>
  <c r="AB685" i="8" s="1"/>
  <c r="T571" i="8"/>
  <c r="T639" i="8"/>
  <c r="Q677" i="8"/>
  <c r="P677" i="8"/>
  <c r="N677" i="8"/>
  <c r="O677" i="8"/>
  <c r="BH641" i="8"/>
  <c r="BH643" i="8" s="1"/>
  <c r="P675" i="8"/>
  <c r="I675" i="8"/>
  <c r="AJ375" i="8"/>
  <c r="AA117" i="8"/>
  <c r="BK86" i="8"/>
  <c r="U233" i="8"/>
  <c r="U226" i="8"/>
  <c r="Y225" i="8"/>
  <c r="BJ224" i="8"/>
  <c r="BJ226" i="8" s="1"/>
  <c r="AN294" i="8"/>
  <c r="AO323" i="8"/>
  <c r="AR285" i="8"/>
  <c r="AN299" i="8"/>
  <c r="AN290" i="8"/>
  <c r="AN368" i="8"/>
  <c r="BO285" i="8"/>
  <c r="BO286" i="8" s="1"/>
  <c r="AN323" i="8"/>
  <c r="AJ291" i="8"/>
  <c r="AJ288" i="8"/>
  <c r="BL49" i="8"/>
  <c r="BL37" i="8"/>
  <c r="BO233" i="8"/>
  <c r="AN235" i="8"/>
  <c r="AN236" i="8" s="1"/>
  <c r="AN238" i="8"/>
  <c r="AN239" i="8" s="1"/>
  <c r="H675" i="8"/>
  <c r="V677" i="8"/>
  <c r="BN34" i="8"/>
  <c r="BK644" i="8"/>
  <c r="K675" i="8"/>
  <c r="BG676" i="8"/>
  <c r="BF676" i="8"/>
  <c r="BE676" i="8"/>
  <c r="BM34" i="8"/>
  <c r="S677" i="8"/>
  <c r="U677" i="8"/>
  <c r="BM355" i="8"/>
  <c r="M677" i="8"/>
  <c r="BE658" i="8"/>
  <c r="BE659" i="8" s="1"/>
  <c r="AB56" i="9"/>
  <c r="BK630" i="8"/>
  <c r="BJ631" i="8"/>
  <c r="BJ630" i="8"/>
  <c r="BK562" i="8"/>
  <c r="BJ562" i="8"/>
  <c r="BJ563" i="8"/>
  <c r="BJ302" i="8"/>
  <c r="BJ303" i="8"/>
  <c r="AC177" i="9"/>
  <c r="AC208" i="9"/>
  <c r="AC174" i="9"/>
  <c r="AC178" i="9"/>
  <c r="AC176" i="9"/>
  <c r="AC55" i="8"/>
  <c r="AC4" i="9"/>
  <c r="N119" i="8"/>
  <c r="N675" i="8"/>
  <c r="N116" i="8"/>
  <c r="N86" i="8"/>
  <c r="M675" i="8"/>
  <c r="M116" i="8"/>
  <c r="M86" i="8"/>
  <c r="L116" i="8"/>
  <c r="L86" i="8"/>
  <c r="H116" i="8"/>
  <c r="H86" i="8"/>
  <c r="F86" i="8"/>
  <c r="F116" i="8"/>
  <c r="E86" i="8"/>
  <c r="E116" i="8"/>
  <c r="E675" i="8"/>
  <c r="BJ92" i="8"/>
  <c r="U214" i="9"/>
  <c r="U63" i="9"/>
  <c r="BJ162" i="8"/>
  <c r="BJ170" i="8"/>
  <c r="BF235" i="8"/>
  <c r="BF209" i="8"/>
  <c r="BF153" i="8"/>
  <c r="R642" i="8"/>
  <c r="R643" i="8"/>
  <c r="R646" i="8"/>
  <c r="R647" i="8" s="1"/>
  <c r="BH618" i="8"/>
  <c r="BJ618" i="8"/>
  <c r="AU692" i="8"/>
  <c r="BM699" i="8"/>
  <c r="AG692" i="8"/>
  <c r="AL692" i="8"/>
  <c r="AR692" i="8"/>
  <c r="AT692" i="8"/>
  <c r="AQ692" i="8"/>
  <c r="AQ693" i="8" s="1"/>
  <c r="AN692" i="8"/>
  <c r="AI692" i="8"/>
  <c r="AM692" i="8"/>
  <c r="AJ692" i="8"/>
  <c r="AK692" i="8"/>
  <c r="AO692" i="8"/>
  <c r="AF692" i="8"/>
  <c r="AX692" i="8"/>
  <c r="AH692" i="8"/>
  <c r="AW692" i="8"/>
  <c r="AP692" i="8"/>
  <c r="AV692" i="8"/>
  <c r="AS692" i="8"/>
  <c r="AE692" i="8"/>
  <c r="BM680" i="8"/>
  <c r="BM687" i="8"/>
  <c r="BM688" i="8"/>
  <c r="BM686" i="8"/>
  <c r="E142" i="12" s="1"/>
  <c r="E138" i="12" s="1"/>
  <c r="E144" i="12" s="1"/>
  <c r="AF684" i="8"/>
  <c r="AF685" i="8" s="1"/>
  <c r="AE684" i="8"/>
  <c r="AE685" i="8" s="1"/>
  <c r="AH684" i="8"/>
  <c r="AH685" i="8" s="1"/>
  <c r="AV684" i="8"/>
  <c r="AI684" i="8"/>
  <c r="AI685" i="8" s="1"/>
  <c r="AL684" i="8"/>
  <c r="AL685" i="8" s="1"/>
  <c r="AN684" i="8"/>
  <c r="AN685" i="8" s="1"/>
  <c r="AM684" i="8"/>
  <c r="AM685" i="8" s="1"/>
  <c r="AP684" i="8"/>
  <c r="AO684" i="8"/>
  <c r="AG684" i="8"/>
  <c r="AG685" i="8" s="1"/>
  <c r="AJ684" i="8"/>
  <c r="AJ685" i="8" s="1"/>
  <c r="AK684" i="8"/>
  <c r="AK685" i="8" s="1"/>
  <c r="AR684" i="8"/>
  <c r="AS684" i="8"/>
  <c r="AT684" i="8"/>
  <c r="AQ684" i="8"/>
  <c r="AQ685" i="8" s="1"/>
  <c r="AU684" i="8"/>
  <c r="AX684" i="8"/>
  <c r="AW684" i="8"/>
  <c r="AO690" i="8"/>
  <c r="AP690" i="8"/>
  <c r="AI690" i="8"/>
  <c r="AI691" i="8" s="1"/>
  <c r="AG690" i="8"/>
  <c r="AG691" i="8" s="1"/>
  <c r="AE690" i="8"/>
  <c r="AE691" i="8" s="1"/>
  <c r="AL690" i="8"/>
  <c r="AL691" i="8" s="1"/>
  <c r="AF690" i="8"/>
  <c r="AF691" i="8" s="1"/>
  <c r="AJ690" i="8"/>
  <c r="AJ691" i="8" s="1"/>
  <c r="AU690" i="8"/>
  <c r="AK690" i="8"/>
  <c r="AK691" i="8" s="1"/>
  <c r="AX690" i="8"/>
  <c r="AV690" i="8"/>
  <c r="AW690" i="8"/>
  <c r="AN690" i="8"/>
  <c r="AN691" i="8" s="1"/>
  <c r="AM690" i="8"/>
  <c r="AM691" i="8" s="1"/>
  <c r="AT690" i="8"/>
  <c r="AS690" i="8"/>
  <c r="AR690" i="8"/>
  <c r="AQ690" i="8"/>
  <c r="AQ691" i="8" s="1"/>
  <c r="AH690" i="8"/>
  <c r="AH691" i="8" s="1"/>
  <c r="W642" i="8"/>
  <c r="S643" i="8"/>
  <c r="S649" i="8" s="1"/>
  <c r="S642" i="8"/>
  <c r="AF117" i="8"/>
  <c r="AD117" i="8"/>
  <c r="AF289" i="8"/>
  <c r="AK314" i="8"/>
  <c r="AK316" i="8" s="1"/>
  <c r="AK308" i="8"/>
  <c r="R401" i="8"/>
  <c r="R400" i="8"/>
  <c r="BJ16" i="9"/>
  <c r="L14" i="12"/>
  <c r="BL154" i="8"/>
  <c r="BL153" i="8"/>
  <c r="AG154" i="8"/>
  <c r="AG153" i="8"/>
  <c r="W566" i="8"/>
  <c r="S573" i="8"/>
  <c r="S566" i="8"/>
  <c r="S567" i="8"/>
  <c r="O578" i="8"/>
  <c r="BH573" i="8"/>
  <c r="O574" i="8"/>
  <c r="O575" i="8"/>
  <c r="O576" i="8" s="1"/>
  <c r="BH567" i="8"/>
  <c r="BH566" i="8"/>
  <c r="H574" i="8"/>
  <c r="D575" i="8"/>
  <c r="H576" i="8" s="1"/>
  <c r="BE573" i="8"/>
  <c r="D675" i="8"/>
  <c r="BE567" i="8"/>
  <c r="BF566" i="8"/>
  <c r="T635" i="8"/>
  <c r="X634" i="8"/>
  <c r="T634" i="8"/>
  <c r="T641" i="8"/>
  <c r="P646" i="8"/>
  <c r="P647" i="8" s="1"/>
  <c r="P642" i="8"/>
  <c r="P643" i="8"/>
  <c r="BH634" i="8"/>
  <c r="BH635" i="8"/>
  <c r="BH308" i="8"/>
  <c r="BH307" i="8"/>
  <c r="N315" i="8"/>
  <c r="N316" i="8"/>
  <c r="N319" i="8"/>
  <c r="N320" i="8" s="1"/>
  <c r="N321" i="8" s="1"/>
  <c r="M316" i="8"/>
  <c r="M315" i="8"/>
  <c r="M319" i="8"/>
  <c r="M320" i="8" s="1"/>
  <c r="M321" i="8" s="1"/>
  <c r="L319" i="8"/>
  <c r="L320" i="8" s="1"/>
  <c r="L321" i="8" s="1"/>
  <c r="L315" i="8"/>
  <c r="L316" i="8"/>
  <c r="K319" i="8"/>
  <c r="BG314" i="8"/>
  <c r="H316" i="8"/>
  <c r="H315" i="8"/>
  <c r="BF307" i="8"/>
  <c r="BF308" i="8"/>
  <c r="G316" i="8"/>
  <c r="BF314" i="8"/>
  <c r="G315" i="8"/>
  <c r="F675" i="8"/>
  <c r="F315" i="8"/>
  <c r="F316" i="8"/>
  <c r="Z34" i="8"/>
  <c r="V55" i="8"/>
  <c r="BK54" i="8"/>
  <c r="BK55" i="8" s="1"/>
  <c r="X55" i="8"/>
  <c r="AH419" i="8"/>
  <c r="BM417" i="8"/>
  <c r="Y34" i="8"/>
  <c r="U55" i="8"/>
  <c r="AM217" i="9"/>
  <c r="AM219" i="9"/>
  <c r="AQ3" i="9"/>
  <c r="AG4" i="8"/>
  <c r="AH339" i="8"/>
  <c r="AI340" i="8"/>
  <c r="AJ340" i="8" s="1"/>
  <c r="BR520" i="8"/>
  <c r="BS520" i="8" s="1"/>
  <c r="BT520" i="8" s="1"/>
  <c r="BU520" i="8" s="1"/>
  <c r="BP524" i="8"/>
  <c r="AP519" i="8"/>
  <c r="AO518" i="8"/>
  <c r="BM152" i="8"/>
  <c r="BM157" i="8"/>
  <c r="O643" i="8"/>
  <c r="O642" i="8"/>
  <c r="O646" i="8"/>
  <c r="R315" i="8"/>
  <c r="L675" i="8"/>
  <c r="BH377" i="8"/>
  <c r="AJ420" i="8"/>
  <c r="BK6" i="9"/>
  <c r="BJ18" i="9"/>
  <c r="BJ54" i="9" s="1"/>
  <c r="BJ53" i="9" s="1"/>
  <c r="BN156" i="8"/>
  <c r="AK152" i="8"/>
  <c r="Q646" i="8"/>
  <c r="Q647" i="8" s="1"/>
  <c r="Q643" i="8"/>
  <c r="Q642" i="8"/>
  <c r="N643" i="8"/>
  <c r="N642" i="8"/>
  <c r="N646" i="8"/>
  <c r="N647" i="8" s="1"/>
  <c r="M646" i="8"/>
  <c r="BG641" i="8"/>
  <c r="M642" i="8"/>
  <c r="M643" i="8"/>
  <c r="R316" i="8"/>
  <c r="R319" i="8"/>
  <c r="R320" i="8" s="1"/>
  <c r="Q315" i="8"/>
  <c r="Q316" i="8"/>
  <c r="Q319" i="8"/>
  <c r="Q320" i="8" s="1"/>
  <c r="P319" i="8"/>
  <c r="P320" i="8" s="1"/>
  <c r="P315" i="8"/>
  <c r="P316" i="8"/>
  <c r="O315" i="8"/>
  <c r="BH314" i="8"/>
  <c r="O316" i="8"/>
  <c r="O319" i="8"/>
  <c r="K315" i="8"/>
  <c r="K316" i="8"/>
  <c r="BG308" i="8"/>
  <c r="BG307" i="8"/>
  <c r="J316" i="8"/>
  <c r="J315" i="8"/>
  <c r="I316" i="8"/>
  <c r="I315" i="8"/>
  <c r="BE314" i="8"/>
  <c r="BE316" i="8" s="1"/>
  <c r="C316" i="8"/>
  <c r="C315" i="8"/>
  <c r="S401" i="8"/>
  <c r="S400" i="8"/>
  <c r="P401" i="8"/>
  <c r="P400" i="8"/>
  <c r="BH392" i="8"/>
  <c r="BH393" i="8"/>
  <c r="O400" i="8"/>
  <c r="BH399" i="8"/>
  <c r="O401" i="8"/>
  <c r="G401" i="8"/>
  <c r="G400" i="8"/>
  <c r="BF399" i="8"/>
  <c r="BF393" i="8"/>
  <c r="BF392" i="8"/>
  <c r="Y331" i="8"/>
  <c r="Z326" i="8"/>
  <c r="S217" i="9"/>
  <c r="S215" i="9"/>
  <c r="S219" i="9"/>
  <c r="AN499" i="8"/>
  <c r="AJ499" i="8"/>
  <c r="AJ503" i="8"/>
  <c r="AJ505" i="8" s="1"/>
  <c r="AJ500" i="8"/>
  <c r="AN501" i="8" s="1"/>
  <c r="AH428" i="8"/>
  <c r="AD428" i="8"/>
  <c r="BL427" i="8"/>
  <c r="AD429" i="8"/>
  <c r="BL387" i="8"/>
  <c r="AD389" i="8"/>
  <c r="BM383" i="8"/>
  <c r="BL383" i="8"/>
  <c r="BL384" i="8"/>
  <c r="AD431" i="8"/>
  <c r="BL430" i="8"/>
  <c r="BL431" i="8" s="1"/>
  <c r="AD432" i="8"/>
  <c r="AH431" i="8"/>
  <c r="AH432" i="8"/>
  <c r="AN505" i="8"/>
  <c r="AD375" i="8"/>
  <c r="AD391" i="8"/>
  <c r="AD376" i="8"/>
  <c r="G53" i="12"/>
  <c r="G52" i="12"/>
  <c r="V59" i="9"/>
  <c r="BK414" i="8"/>
  <c r="BK429" i="8"/>
  <c r="BK405" i="8"/>
  <c r="BK404" i="8" s="1"/>
  <c r="BK426" i="8"/>
  <c r="W212" i="9"/>
  <c r="W210" i="9"/>
  <c r="Y530" i="8"/>
  <c r="U530" i="8"/>
  <c r="AC23" i="9"/>
  <c r="AC24" i="9" s="1"/>
  <c r="AC119" i="8"/>
  <c r="AC86" i="8"/>
  <c r="BL86" i="8" s="1"/>
  <c r="AC116" i="8"/>
  <c r="AB420" i="8"/>
  <c r="X421" i="8"/>
  <c r="AB422" i="8" s="1"/>
  <c r="Y598" i="8"/>
  <c r="U600" i="8"/>
  <c r="Y601" i="8" s="1"/>
  <c r="BJ597" i="8"/>
  <c r="U598" i="8"/>
  <c r="BJ595" i="8"/>
  <c r="BK595" i="8"/>
  <c r="V600" i="8"/>
  <c r="Z598" i="8"/>
  <c r="V598" i="8"/>
  <c r="AJ421" i="8"/>
  <c r="AJ436" i="8"/>
  <c r="BN101" i="8"/>
  <c r="BN102" i="8" s="1"/>
  <c r="AL102" i="8"/>
  <c r="AL106" i="8"/>
  <c r="S17" i="9"/>
  <c r="S131" i="8"/>
  <c r="S115" i="8"/>
  <c r="W67" i="8"/>
  <c r="S67" i="8"/>
  <c r="S66" i="8"/>
  <c r="W68" i="8" s="1"/>
  <c r="AX555" i="8"/>
  <c r="BQ555" i="8" s="1"/>
  <c r="BP555" i="8"/>
  <c r="BR623" i="8"/>
  <c r="BS623" i="8" s="1"/>
  <c r="BT623" i="8" s="1"/>
  <c r="BU623" i="8" s="1"/>
  <c r="BP624" i="8"/>
  <c r="BM634" i="8"/>
  <c r="BL634" i="8"/>
  <c r="BL635" i="8"/>
  <c r="AM56" i="9"/>
  <c r="AF503" i="8"/>
  <c r="AF500" i="8"/>
  <c r="H53" i="12"/>
  <c r="H52" i="12"/>
  <c r="BO268" i="8"/>
  <c r="BN269" i="8"/>
  <c r="AE272" i="8"/>
  <c r="AE279" i="8"/>
  <c r="AI280" i="8" s="1"/>
  <c r="AE273" i="8"/>
  <c r="AB436" i="8"/>
  <c r="AB434" i="8"/>
  <c r="V399" i="8"/>
  <c r="V393" i="8"/>
  <c r="V392" i="8"/>
  <c r="U307" i="8"/>
  <c r="U308" i="8"/>
  <c r="U314" i="8"/>
  <c r="S168" i="9"/>
  <c r="BJ33" i="8"/>
  <c r="BN279" i="8"/>
  <c r="AI281" i="8"/>
  <c r="BN273" i="8"/>
  <c r="BO272" i="8"/>
  <c r="BL54" i="8"/>
  <c r="BL55" i="8" s="1"/>
  <c r="AA4" i="9"/>
  <c r="BL45" i="8"/>
  <c r="L3" i="12"/>
  <c r="BL697" i="8"/>
  <c r="BL41" i="8"/>
  <c r="BJ3" i="9"/>
  <c r="AB170" i="9"/>
  <c r="AA176" i="9"/>
  <c r="AA208" i="9"/>
  <c r="AC170" i="9"/>
  <c r="AA174" i="9"/>
  <c r="AA177" i="9"/>
  <c r="AA178" i="9"/>
  <c r="AD170" i="9"/>
  <c r="BM67" i="8"/>
  <c r="BL115" i="8"/>
  <c r="BL67" i="8"/>
  <c r="BL66" i="8"/>
  <c r="BM292" i="8"/>
  <c r="BM643" i="8"/>
  <c r="E183" i="12" s="1"/>
  <c r="E176" i="12" s="1"/>
  <c r="BM644" i="8"/>
  <c r="BN165" i="8"/>
  <c r="BN166" i="8" s="1"/>
  <c r="AP165" i="8"/>
  <c r="AT166" i="8" s="1"/>
  <c r="BK50" i="8"/>
  <c r="BJ49" i="8"/>
  <c r="AA533" i="8"/>
  <c r="W533" i="8"/>
  <c r="BK532" i="8"/>
  <c r="O4" i="21"/>
  <c r="M53" i="12"/>
  <c r="P579" i="8"/>
  <c r="AA170" i="9"/>
  <c r="Z170" i="9"/>
  <c r="Y170" i="9"/>
  <c r="X170" i="9"/>
  <c r="X168" i="9" s="1"/>
  <c r="BI3" i="9"/>
  <c r="AJ56" i="9"/>
  <c r="BH171" i="9"/>
  <c r="BH172" i="9"/>
  <c r="J17" i="12"/>
  <c r="AE530" i="8"/>
  <c r="AE532" i="8"/>
  <c r="AH376" i="8"/>
  <c r="AH391" i="8"/>
  <c r="AH375" i="8"/>
  <c r="AI56" i="9"/>
  <c r="BL9" i="9"/>
  <c r="BL21" i="9"/>
  <c r="N18" i="12"/>
  <c r="AG56" i="9"/>
  <c r="M18" i="12"/>
  <c r="M19" i="12" s="1"/>
  <c r="BK9" i="9"/>
  <c r="AF391" i="8"/>
  <c r="AF376" i="8"/>
  <c r="AF377" i="8" s="1"/>
  <c r="AF375" i="8"/>
  <c r="BM374" i="8"/>
  <c r="BM376" i="8" s="1"/>
  <c r="AI420" i="8"/>
  <c r="AE421" i="8"/>
  <c r="AI422" i="8" s="1"/>
  <c r="W393" i="8"/>
  <c r="W399" i="8"/>
  <c r="W392" i="8"/>
  <c r="BK376" i="8"/>
  <c r="BK377" i="8" s="1"/>
  <c r="BK375" i="8"/>
  <c r="E20" i="17"/>
  <c r="AR414" i="8"/>
  <c r="AR431" i="8"/>
  <c r="AP482" i="8"/>
  <c r="AP477" i="8"/>
  <c r="AP473" i="8"/>
  <c r="AP471" i="8"/>
  <c r="AP495" i="8"/>
  <c r="AX461" i="8"/>
  <c r="AX470" i="8" s="1"/>
  <c r="AT470" i="8"/>
  <c r="BC470" i="8" s="1"/>
  <c r="AN170" i="8"/>
  <c r="AN171" i="8" s="1"/>
  <c r="AR170" i="8"/>
  <c r="AJ642" i="8"/>
  <c r="AJ643" i="8"/>
  <c r="K47" i="12"/>
  <c r="BI23" i="9"/>
  <c r="BI24" i="9" s="1"/>
  <c r="BK576" i="8"/>
  <c r="BK116" i="8"/>
  <c r="BK119" i="8"/>
  <c r="R119" i="8"/>
  <c r="R675" i="8"/>
  <c r="R86" i="8"/>
  <c r="R116" i="8"/>
  <c r="Q119" i="8"/>
  <c r="Q675" i="8"/>
  <c r="Q86" i="8"/>
  <c r="Q116" i="8"/>
  <c r="O675" i="8"/>
  <c r="O119" i="8"/>
  <c r="BH115" i="8"/>
  <c r="O116" i="8"/>
  <c r="O86" i="8"/>
  <c r="BH67" i="8"/>
  <c r="BH66" i="8"/>
  <c r="BH131" i="8"/>
  <c r="BH130" i="8"/>
  <c r="BG17" i="9"/>
  <c r="O55" i="9"/>
  <c r="O53" i="9" s="1"/>
  <c r="BG67" i="8"/>
  <c r="BG66" i="8"/>
  <c r="BG115" i="8"/>
  <c r="K116" i="8"/>
  <c r="K86" i="8"/>
  <c r="BG130" i="8"/>
  <c r="BG131" i="8"/>
  <c r="BF17" i="9"/>
  <c r="K55" i="9"/>
  <c r="K53" i="9" s="1"/>
  <c r="J675" i="8"/>
  <c r="J86" i="8"/>
  <c r="J116" i="8"/>
  <c r="BF67" i="8"/>
  <c r="BF66" i="8"/>
  <c r="G675" i="8"/>
  <c r="G86" i="8"/>
  <c r="G116" i="8"/>
  <c r="BF115" i="8"/>
  <c r="BF130" i="8"/>
  <c r="BF131" i="8"/>
  <c r="BE17" i="9"/>
  <c r="G55" i="9"/>
  <c r="G53" i="9" s="1"/>
  <c r="D116" i="8"/>
  <c r="D86" i="8"/>
  <c r="BD17" i="9"/>
  <c r="BD55" i="9" s="1"/>
  <c r="BD53" i="9" s="1"/>
  <c r="C55" i="9"/>
  <c r="C53" i="9" s="1"/>
  <c r="BE115" i="8"/>
  <c r="C86" i="8"/>
  <c r="C116" i="8"/>
  <c r="W235" i="8"/>
  <c r="W238" i="8"/>
  <c r="W234" i="8"/>
  <c r="E29" i="17"/>
  <c r="AB642" i="8"/>
  <c r="AB643" i="8"/>
  <c r="BL641" i="8"/>
  <c r="AF642" i="8"/>
  <c r="BL34" i="8"/>
  <c r="U168" i="9"/>
  <c r="AU295" i="8"/>
  <c r="BN86" i="8"/>
  <c r="O21" i="12"/>
  <c r="BM21" i="9"/>
  <c r="AG308" i="8"/>
  <c r="AK307" i="8"/>
  <c r="AG314" i="8"/>
  <c r="AG307" i="8"/>
  <c r="AJ376" i="8"/>
  <c r="AJ391" i="8"/>
  <c r="BN498" i="8"/>
  <c r="AM499" i="8"/>
  <c r="AI500" i="8"/>
  <c r="AI503" i="8"/>
  <c r="AI499" i="8"/>
  <c r="AK238" i="8"/>
  <c r="AO234" i="8"/>
  <c r="AK235" i="8"/>
  <c r="AO236" i="8" s="1"/>
  <c r="BK233" i="8"/>
  <c r="AA234" i="8"/>
  <c r="AF161" i="8"/>
  <c r="AF163" i="8" s="1"/>
  <c r="AJ388" i="8"/>
  <c r="AF389" i="8"/>
  <c r="AF388" i="8"/>
  <c r="AF431" i="8"/>
  <c r="AF432" i="8"/>
  <c r="W280" i="8"/>
  <c r="W281" i="8"/>
  <c r="AA280" i="8"/>
  <c r="BM567" i="8"/>
  <c r="BM566" i="8"/>
  <c r="AF306" i="8"/>
  <c r="AF303" i="8"/>
  <c r="AF302" i="8"/>
  <c r="AA530" i="8"/>
  <c r="W530" i="8"/>
  <c r="Y444" i="8"/>
  <c r="Y446" i="8" s="1"/>
  <c r="Y438" i="8"/>
  <c r="BK49" i="8"/>
  <c r="BL9" i="8"/>
  <c r="AF273" i="8"/>
  <c r="AJ272" i="8"/>
  <c r="AF279" i="8"/>
  <c r="AF272" i="8"/>
  <c r="AE56" i="9"/>
  <c r="T56" i="9"/>
  <c r="BR174" i="8"/>
  <c r="AE499" i="8"/>
  <c r="AE500" i="8"/>
  <c r="AE503" i="8"/>
  <c r="BL491" i="8"/>
  <c r="BK492" i="8"/>
  <c r="BK498" i="8"/>
  <c r="AA499" i="8"/>
  <c r="W500" i="8"/>
  <c r="W499" i="8"/>
  <c r="AG234" i="8"/>
  <c r="AG238" i="8"/>
  <c r="AK234" i="8"/>
  <c r="AG235" i="8"/>
  <c r="BL225" i="8"/>
  <c r="BK226" i="8"/>
  <c r="BK167" i="8"/>
  <c r="AS166" i="8"/>
  <c r="AG107" i="8"/>
  <c r="BM101" i="8"/>
  <c r="BM102" i="8" s="1"/>
  <c r="AH106" i="8"/>
  <c r="AH102" i="8"/>
  <c r="AB272" i="8"/>
  <c r="X272" i="8"/>
  <c r="X273" i="8"/>
  <c r="X279" i="8"/>
  <c r="AC433" i="8"/>
  <c r="Y433" i="8"/>
  <c r="Y434" i="8"/>
  <c r="W434" i="8"/>
  <c r="W433" i="8"/>
  <c r="AA433" i="8"/>
  <c r="AA434" i="8"/>
  <c r="M7" i="12"/>
  <c r="N7" i="12"/>
  <c r="BM573" i="8"/>
  <c r="AG575" i="8"/>
  <c r="AG576" i="8" s="1"/>
  <c r="AC214" i="9"/>
  <c r="AC63" i="9"/>
  <c r="AD98" i="8"/>
  <c r="AD92" i="8"/>
  <c r="AD94" i="8" s="1"/>
  <c r="BL96" i="8"/>
  <c r="AD218" i="9"/>
  <c r="AD106" i="8"/>
  <c r="AB212" i="9"/>
  <c r="AB210" i="9"/>
  <c r="AC172" i="9"/>
  <c r="AC171" i="9"/>
  <c r="AD171" i="9"/>
  <c r="AD172" i="9"/>
  <c r="BJ7" i="9"/>
  <c r="AE171" i="9"/>
  <c r="AE172" i="9"/>
  <c r="AB171" i="9"/>
  <c r="AB172" i="9"/>
  <c r="Z68" i="8"/>
  <c r="V68" i="8"/>
  <c r="V86" i="8"/>
  <c r="V23" i="9"/>
  <c r="V24" i="9" s="1"/>
  <c r="V116" i="8"/>
  <c r="V121" i="8"/>
  <c r="AJ295" i="8"/>
  <c r="AJ301" i="8"/>
  <c r="AG344" i="8"/>
  <c r="AG6" i="8" s="1"/>
  <c r="AH342" i="8"/>
  <c r="AG354" i="8"/>
  <c r="AG355" i="8" s="1"/>
  <c r="AG5" i="8"/>
  <c r="V634" i="8"/>
  <c r="V641" i="8"/>
  <c r="Z634" i="8"/>
  <c r="V635" i="8"/>
  <c r="BJ633" i="8"/>
  <c r="BJ565" i="8"/>
  <c r="Z566" i="8"/>
  <c r="V573" i="8"/>
  <c r="V567" i="8"/>
  <c r="V566" i="8"/>
  <c r="Y339" i="8"/>
  <c r="Y4" i="8" s="1"/>
  <c r="Z340" i="8"/>
  <c r="Z303" i="8"/>
  <c r="Z302" i="8"/>
  <c r="V314" i="8"/>
  <c r="V307" i="8"/>
  <c r="V308" i="8"/>
  <c r="Y290" i="8"/>
  <c r="Z292" i="8"/>
  <c r="X288" i="8"/>
  <c r="X291" i="8"/>
  <c r="AX292" i="8"/>
  <c r="AW290" i="8"/>
  <c r="BJ388" i="8"/>
  <c r="BJ389" i="8"/>
  <c r="BJ391" i="8"/>
  <c r="U392" i="8"/>
  <c r="U399" i="8"/>
  <c r="U393" i="8"/>
  <c r="S316" i="8"/>
  <c r="S315" i="8"/>
  <c r="T316" i="8"/>
  <c r="T315" i="8"/>
  <c r="W303" i="8"/>
  <c r="W302" i="8"/>
  <c r="BK301" i="8"/>
  <c r="W306" i="8"/>
  <c r="K579" i="8"/>
  <c r="N580" i="8"/>
  <c r="X574" i="8"/>
  <c r="T574" i="8"/>
  <c r="T575" i="8"/>
  <c r="BK697" i="8"/>
  <c r="BK41" i="8"/>
  <c r="BK37" i="8"/>
  <c r="K3" i="12"/>
  <c r="BK9" i="8"/>
  <c r="BK45" i="8"/>
  <c r="X4" i="9"/>
  <c r="X174" i="9"/>
  <c r="X208" i="9"/>
  <c r="X178" i="9"/>
  <c r="X176" i="9"/>
  <c r="X177" i="9"/>
  <c r="AS414" i="8"/>
  <c r="AS431" i="8"/>
  <c r="AO368" i="8"/>
  <c r="AS364" i="8"/>
  <c r="BP364" i="8" s="1"/>
  <c r="AU288" i="8"/>
  <c r="AU291" i="8"/>
  <c r="AJ240" i="8"/>
  <c r="AJ243" i="8"/>
  <c r="AF420" i="8"/>
  <c r="AF421" i="8"/>
  <c r="AV431" i="8"/>
  <c r="AV414" i="8"/>
  <c r="AW301" i="8"/>
  <c r="AW295" i="8"/>
  <c r="AU19" i="9"/>
  <c r="T168" i="9"/>
  <c r="BD168" i="9"/>
  <c r="BH533" i="8"/>
  <c r="AA350" i="8"/>
  <c r="BM257" i="8"/>
  <c r="X500" i="8"/>
  <c r="AB499" i="8"/>
  <c r="N600" i="8"/>
  <c r="R601" i="8" s="1"/>
  <c r="R598" i="8"/>
  <c r="M600" i="8"/>
  <c r="Q601" i="8" s="1"/>
  <c r="Q598" i="8"/>
  <c r="AX364" i="8"/>
  <c r="AV482" i="8"/>
  <c r="AV473" i="8"/>
  <c r="AV477" i="8"/>
  <c r="AV560" i="8"/>
  <c r="BP76" i="8"/>
  <c r="P24" i="12"/>
  <c r="BQ37" i="10"/>
  <c r="BQ43" i="10" s="1"/>
  <c r="BQ35" i="10"/>
  <c r="BQ41" i="10" s="1"/>
  <c r="BQ34" i="10"/>
  <c r="BQ40" i="10" s="1"/>
  <c r="BH658" i="8"/>
  <c r="BH659" i="8" s="1"/>
  <c r="O359" i="8"/>
  <c r="BH357" i="8"/>
  <c r="BK46" i="8"/>
  <c r="BJ45" i="8"/>
  <c r="BJ527" i="8"/>
  <c r="BK527" i="8"/>
  <c r="BJ357" i="8"/>
  <c r="S359" i="8"/>
  <c r="BG658" i="8"/>
  <c r="BG659" i="8" s="1"/>
  <c r="BG357" i="8"/>
  <c r="K359" i="8"/>
  <c r="BF357" i="8"/>
  <c r="BF359" i="8" s="1"/>
  <c r="G359" i="8"/>
  <c r="BF658" i="8"/>
  <c r="BF659" i="8" s="1"/>
  <c r="BH527" i="8"/>
  <c r="BG527" i="8"/>
  <c r="BJ658" i="8"/>
  <c r="BJ659" i="8" s="1"/>
  <c r="T530" i="8"/>
  <c r="X530" i="8"/>
  <c r="BE362" i="8"/>
  <c r="BE359" i="8"/>
  <c r="BQ42" i="10"/>
  <c r="BR36" i="10"/>
  <c r="S231" i="16"/>
  <c r="W231" i="16"/>
  <c r="S233" i="16"/>
  <c r="AK350" i="8"/>
  <c r="I20" i="10"/>
  <c r="J19" i="10"/>
  <c r="AF597" i="8"/>
  <c r="AH49" i="10"/>
  <c r="AH50" i="10" s="1"/>
  <c r="AG52" i="10"/>
  <c r="AJ350" i="8"/>
  <c r="AG53" i="10"/>
  <c r="AG597" i="8" s="1"/>
  <c r="BR680" i="8"/>
  <c r="AO130" i="16"/>
  <c r="W131" i="16"/>
  <c r="W4" i="16"/>
  <c r="W135" i="16"/>
  <c r="AA130" i="16"/>
  <c r="AP132" i="16"/>
  <c r="X135" i="16"/>
  <c r="X195" i="16" s="1"/>
  <c r="X131" i="16"/>
  <c r="X4" i="16"/>
  <c r="AB4" i="16"/>
  <c r="AB135" i="16"/>
  <c r="AB195" i="16" s="1"/>
  <c r="AB131" i="16"/>
  <c r="Z4" i="16"/>
  <c r="Z131" i="16"/>
  <c r="Z135" i="16"/>
  <c r="Z195" i="16" s="1"/>
  <c r="AD4" i="16"/>
  <c r="AD135" i="16"/>
  <c r="AD195" i="16" s="1"/>
  <c r="AD131" i="16"/>
  <c r="Y4" i="16"/>
  <c r="Y135" i="16"/>
  <c r="Y195" i="16" s="1"/>
  <c r="Y131" i="16"/>
  <c r="AC135" i="16"/>
  <c r="AC195" i="16" s="1"/>
  <c r="AC4" i="16"/>
  <c r="AC131" i="16"/>
  <c r="AN233" i="16"/>
  <c r="AN231" i="16"/>
  <c r="AR186" i="16"/>
  <c r="BH530" i="8"/>
  <c r="BJ533" i="8"/>
  <c r="BH600" i="8"/>
  <c r="AW79" i="9"/>
  <c r="AW287" i="9"/>
  <c r="AW288" i="9" s="1"/>
  <c r="AW289" i="9" s="1"/>
  <c r="AW292" i="9" s="1"/>
  <c r="AW280" i="9" s="1"/>
  <c r="AX99" i="9"/>
  <c r="AU64" i="9"/>
  <c r="BR699" i="8"/>
  <c r="BR687" i="8"/>
  <c r="BR688" i="8"/>
  <c r="BI319" i="9"/>
  <c r="BI317" i="9" s="1"/>
  <c r="Z317" i="9"/>
  <c r="Z316" i="9" s="1"/>
  <c r="BI316" i="9" s="1"/>
  <c r="AA319" i="9"/>
  <c r="AH56" i="9"/>
  <c r="AF56" i="9"/>
  <c r="BH12" i="9"/>
  <c r="J21" i="12"/>
  <c r="J22" i="12" s="1"/>
  <c r="BH21" i="9"/>
  <c r="BM216" i="9"/>
  <c r="AL143" i="9"/>
  <c r="BL115" i="9"/>
  <c r="BL143" i="9" s="1"/>
  <c r="AM329" i="9"/>
  <c r="AN328" i="9"/>
  <c r="AN331" i="9"/>
  <c r="AO330" i="9"/>
  <c r="BL69" i="9"/>
  <c r="BK159" i="9"/>
  <c r="BK152" i="9" s="1"/>
  <c r="BK69" i="9"/>
  <c r="BJ159" i="9"/>
  <c r="BJ152" i="9" s="1"/>
  <c r="BJ69" i="9"/>
  <c r="V210" i="9"/>
  <c r="V212" i="9"/>
  <c r="AB342" i="9"/>
  <c r="AC340" i="9"/>
  <c r="AC321" i="9" s="1"/>
  <c r="BR332" i="9"/>
  <c r="Z300" i="9"/>
  <c r="Z307" i="9"/>
  <c r="Z308" i="9" s="1"/>
  <c r="Z310" i="9" s="1"/>
  <c r="Z323" i="9"/>
  <c r="Y322" i="9"/>
  <c r="Y341" i="9" s="1"/>
  <c r="X341" i="9"/>
  <c r="BK276" i="9"/>
  <c r="BL2" i="9"/>
  <c r="BL238" i="9" s="1"/>
  <c r="BK205" i="9"/>
  <c r="BK269" i="9"/>
  <c r="BK96" i="9"/>
  <c r="BK222" i="9"/>
  <c r="BH308" i="9"/>
  <c r="BH310" i="9" s="1"/>
  <c r="BI21" i="9"/>
  <c r="K18" i="12"/>
  <c r="BI9" i="9"/>
  <c r="AK219" i="9"/>
  <c r="AK217" i="9"/>
  <c r="AQ291" i="8"/>
  <c r="AQ288" i="8"/>
  <c r="AQ289" i="8" s="1"/>
  <c r="BE168" i="9"/>
  <c r="AC600" i="8"/>
  <c r="AC598" i="8"/>
  <c r="BL597" i="8"/>
  <c r="BN257" i="8"/>
  <c r="BO257" i="8"/>
  <c r="BN92" i="8"/>
  <c r="AL214" i="9"/>
  <c r="AL63" i="9"/>
  <c r="AJ210" i="9"/>
  <c r="AJ212" i="9"/>
  <c r="AJ215" i="9" s="1"/>
  <c r="AJ117" i="8"/>
  <c r="AN117" i="8"/>
  <c r="BL218" i="9"/>
  <c r="BN98" i="8"/>
  <c r="BK255" i="8"/>
  <c r="BK256" i="8"/>
  <c r="AD257" i="8"/>
  <c r="Z257" i="8"/>
  <c r="BK271" i="8"/>
  <c r="BK273" i="8" s="1"/>
  <c r="Z273" i="8"/>
  <c r="Z279" i="8"/>
  <c r="Z272" i="8"/>
  <c r="AH272" i="8"/>
  <c r="AH273" i="8"/>
  <c r="N47" i="12"/>
  <c r="BN116" i="8"/>
  <c r="BL23" i="9"/>
  <c r="BL24" i="9" s="1"/>
  <c r="BN119" i="8"/>
  <c r="AJ172" i="9"/>
  <c r="AK172" i="9"/>
  <c r="AJ171" i="9"/>
  <c r="AI171" i="9"/>
  <c r="AK171" i="9"/>
  <c r="AI172" i="9"/>
  <c r="BL7" i="9"/>
  <c r="AL172" i="9"/>
  <c r="AL171" i="9"/>
  <c r="AM117" i="8"/>
  <c r="AI117" i="8"/>
  <c r="AI219" i="9"/>
  <c r="AI217" i="9"/>
  <c r="Y212" i="9"/>
  <c r="Y215" i="9" s="1"/>
  <c r="Y210" i="9"/>
  <c r="Y392" i="8"/>
  <c r="Y393" i="8"/>
  <c r="Y399" i="8"/>
  <c r="BL18" i="9"/>
  <c r="BL54" i="9" s="1"/>
  <c r="BL53" i="9" s="1"/>
  <c r="BL16" i="9"/>
  <c r="BL14" i="9"/>
  <c r="N14" i="12"/>
  <c r="BL6" i="9"/>
  <c r="BL49" i="9"/>
  <c r="AC12" i="9"/>
  <c r="AC21" i="9"/>
  <c r="AC32" i="9" s="1"/>
  <c r="BN571" i="8"/>
  <c r="AK397" i="8"/>
  <c r="AL397" i="8" s="1"/>
  <c r="AK440" i="8"/>
  <c r="AM569" i="8"/>
  <c r="AN571" i="8"/>
  <c r="AF219" i="9"/>
  <c r="AF217" i="9"/>
  <c r="Z234" i="8"/>
  <c r="V235" i="8"/>
  <c r="V238" i="8"/>
  <c r="S240" i="8"/>
  <c r="S243" i="8"/>
  <c r="BD215" i="9"/>
  <c r="BD219" i="9"/>
  <c r="BD217" i="9"/>
  <c r="BF219" i="9"/>
  <c r="BF217" i="9"/>
  <c r="BF215" i="9"/>
  <c r="BE219" i="9"/>
  <c r="BE217" i="9"/>
  <c r="BE215" i="9"/>
  <c r="BG215" i="9"/>
  <c r="BG217" i="9"/>
  <c r="BG219" i="9"/>
  <c r="AN56" i="9"/>
  <c r="AO56" i="9"/>
  <c r="BN117" i="8"/>
  <c r="M47" i="12"/>
  <c r="BK23" i="9"/>
  <c r="BK24" i="9" s="1"/>
  <c r="BM116" i="8"/>
  <c r="BM119" i="8"/>
  <c r="BK55" i="9"/>
  <c r="BK18" i="9"/>
  <c r="BK54" i="9" s="1"/>
  <c r="AP214" i="9"/>
  <c r="BM214" i="9" s="1"/>
  <c r="AP63" i="9"/>
  <c r="AO210" i="9"/>
  <c r="AO216" i="9"/>
  <c r="AO217" i="9" s="1"/>
  <c r="AO215" i="9"/>
  <c r="BM63" i="9"/>
  <c r="BO94" i="8"/>
  <c r="BN225" i="8"/>
  <c r="BO225" i="8"/>
  <c r="AM234" i="8"/>
  <c r="AI235" i="8"/>
  <c r="AI234" i="8"/>
  <c r="BN233" i="8"/>
  <c r="AI238" i="8"/>
  <c r="BM233" i="8"/>
  <c r="AE235" i="8"/>
  <c r="AE234" i="8"/>
  <c r="AE238" i="8"/>
  <c r="BM225" i="8"/>
  <c r="BM226" i="8"/>
  <c r="AD421" i="8"/>
  <c r="BL426" i="8"/>
  <c r="BL405" i="8"/>
  <c r="BL404" i="8" s="1"/>
  <c r="BL414" i="8"/>
  <c r="BL442" i="8"/>
  <c r="BL441" i="8"/>
  <c r="BL268" i="8"/>
  <c r="BL269" i="8"/>
  <c r="AC272" i="8"/>
  <c r="BL271" i="8"/>
  <c r="AC279" i="8"/>
  <c r="AC273" i="8"/>
  <c r="AC392" i="8"/>
  <c r="AC393" i="8"/>
  <c r="AC399" i="8"/>
  <c r="AC377" i="8"/>
  <c r="BM405" i="8"/>
  <c r="BM404" i="8" s="1"/>
  <c r="BM429" i="8"/>
  <c r="BM426" i="8"/>
  <c r="BM414" i="8"/>
  <c r="AG420" i="8"/>
  <c r="AG421" i="8"/>
  <c r="AG431" i="8"/>
  <c r="AG432" i="8"/>
  <c r="AG436" i="8" s="1"/>
  <c r="AG389" i="8"/>
  <c r="AG388" i="8"/>
  <c r="AG391" i="8"/>
  <c r="BN268" i="8"/>
  <c r="BM269" i="8"/>
  <c r="BM268" i="8"/>
  <c r="AG272" i="8"/>
  <c r="BM271" i="8"/>
  <c r="AK272" i="8"/>
  <c r="AG279" i="8"/>
  <c r="AG273" i="8"/>
  <c r="AG442" i="8"/>
  <c r="AG441" i="8"/>
  <c r="BM397" i="8"/>
  <c r="BM396" i="8"/>
  <c r="AH440" i="8"/>
  <c r="BM440" i="8" s="1"/>
  <c r="AH397" i="8"/>
  <c r="AH396" i="8"/>
  <c r="AH281" i="8"/>
  <c r="AE388" i="8"/>
  <c r="AE391" i="8"/>
  <c r="BM387" i="8"/>
  <c r="AI388" i="8"/>
  <c r="AE389" i="8"/>
  <c r="AE431" i="8"/>
  <c r="AE432" i="8"/>
  <c r="BM430" i="8"/>
  <c r="BM431" i="8" s="1"/>
  <c r="AD441" i="8"/>
  <c r="AD442" i="8"/>
  <c r="AQ409" i="8"/>
  <c r="AU409" i="8" s="1"/>
  <c r="AM413" i="8"/>
  <c r="AQ368" i="8"/>
  <c r="BO264" i="8"/>
  <c r="BO266" i="8"/>
  <c r="BO273" i="8"/>
  <c r="BO281" i="8"/>
  <c r="BO261" i="8"/>
  <c r="BO269" i="8"/>
  <c r="BO365" i="8"/>
  <c r="AM429" i="8"/>
  <c r="AM384" i="8"/>
  <c r="AM369" i="8"/>
  <c r="AG68" i="8"/>
  <c r="AC68" i="8"/>
  <c r="BJ11" i="9"/>
  <c r="BJ21" i="9" s="1"/>
  <c r="BJ14" i="9"/>
  <c r="BJ9" i="9"/>
  <c r="L18" i="12"/>
  <c r="BM123" i="8"/>
  <c r="BL123" i="8"/>
  <c r="Z499" i="8"/>
  <c r="V500" i="8"/>
  <c r="Y499" i="8"/>
  <c r="U500" i="8"/>
  <c r="AB601" i="8"/>
  <c r="BJ498" i="8"/>
  <c r="BJ500" i="8" s="1"/>
  <c r="X499" i="8"/>
  <c r="T500" i="8"/>
  <c r="J8" i="12"/>
  <c r="K7" i="12"/>
  <c r="AS301" i="8"/>
  <c r="AS306" i="8" s="1"/>
  <c r="AS295" i="8"/>
  <c r="AS288" i="8"/>
  <c r="AS291" i="8"/>
  <c r="AO308" i="8"/>
  <c r="AO314" i="8"/>
  <c r="AO307" i="8"/>
  <c r="BK699" i="8"/>
  <c r="X694" i="8"/>
  <c r="Y694" i="8" s="1"/>
  <c r="BK680" i="8"/>
  <c r="X692" i="8"/>
  <c r="Z684" i="8"/>
  <c r="Z685" i="8" s="1"/>
  <c r="BK686" i="8"/>
  <c r="X684" i="8"/>
  <c r="X685" i="8" s="1"/>
  <c r="BK688" i="8"/>
  <c r="W684" i="8"/>
  <c r="Y684" i="8"/>
  <c r="Y685" i="8" s="1"/>
  <c r="BK687" i="8"/>
  <c r="AE347" i="8"/>
  <c r="BL347" i="8"/>
  <c r="BL348" i="8" s="1"/>
  <c r="X308" i="8"/>
  <c r="X307" i="8"/>
  <c r="X314" i="8"/>
  <c r="BO329" i="8"/>
  <c r="AN329" i="8"/>
  <c r="AO329" i="8" s="1"/>
  <c r="AP329" i="8" s="1"/>
  <c r="AQ329" i="8" s="1"/>
  <c r="AL334" i="8"/>
  <c r="AL333" i="8" s="1"/>
  <c r="AL351" i="8" s="1"/>
  <c r="AL350" i="8" s="1"/>
  <c r="AI328" i="8"/>
  <c r="BM328" i="8"/>
  <c r="AH331" i="8"/>
  <c r="AN330" i="8"/>
  <c r="AO330" i="8" s="1"/>
  <c r="AP330" i="8" s="1"/>
  <c r="AQ330" i="8" s="1"/>
  <c r="BO330" i="8"/>
  <c r="BL529" i="8"/>
  <c r="AF530" i="8"/>
  <c r="AB530" i="8"/>
  <c r="BM527" i="8"/>
  <c r="BL527" i="8"/>
  <c r="AC530" i="8"/>
  <c r="W436" i="8"/>
  <c r="W421" i="8"/>
  <c r="AC421" i="8"/>
  <c r="AC422" i="8" s="1"/>
  <c r="AC436" i="8"/>
  <c r="AC420" i="8"/>
  <c r="AC576" i="8"/>
  <c r="AH576" i="8"/>
  <c r="AD576" i="8"/>
  <c r="AD601" i="8"/>
  <c r="BJ6" i="9"/>
  <c r="K14" i="12"/>
  <c r="BI6" i="9"/>
  <c r="BI12" i="9"/>
  <c r="BI16" i="9"/>
  <c r="BI14" i="9"/>
  <c r="O24" i="17"/>
  <c r="L24" i="17"/>
  <c r="E25" i="17"/>
  <c r="AB576" i="8"/>
  <c r="AF576" i="8"/>
  <c r="AD240" i="8"/>
  <c r="AD243" i="8"/>
  <c r="AH239" i="8"/>
  <c r="AH240" i="8"/>
  <c r="AH243" i="8"/>
  <c r="BM37" i="8"/>
  <c r="BM697" i="8"/>
  <c r="M3" i="12"/>
  <c r="M11" i="12" s="1"/>
  <c r="BM49" i="8"/>
  <c r="BM45" i="8"/>
  <c r="BM9" i="8"/>
  <c r="BM54" i="8"/>
  <c r="BM55" i="8" s="1"/>
  <c r="AE4" i="9"/>
  <c r="AG170" i="9"/>
  <c r="AG168" i="9" s="1"/>
  <c r="BK3" i="9"/>
  <c r="AH170" i="9"/>
  <c r="AH168" i="9" s="1"/>
  <c r="AE176" i="9"/>
  <c r="AE178" i="9"/>
  <c r="AE174" i="9"/>
  <c r="AE177" i="9"/>
  <c r="AE208" i="9"/>
  <c r="AF4" i="9"/>
  <c r="AI170" i="9"/>
  <c r="AF176" i="9"/>
  <c r="AF174" i="9"/>
  <c r="AF178" i="9"/>
  <c r="AF208" i="9"/>
  <c r="AF177" i="9"/>
  <c r="BN54" i="8"/>
  <c r="BN55" i="8" s="1"/>
  <c r="AI4" i="9"/>
  <c r="AL170" i="9"/>
  <c r="BL3" i="9"/>
  <c r="AI174" i="9"/>
  <c r="AI177" i="9"/>
  <c r="AI176" i="9"/>
  <c r="AI178" i="9"/>
  <c r="AI208" i="9"/>
  <c r="BN697" i="8"/>
  <c r="BN41" i="8"/>
  <c r="BN37" i="8"/>
  <c r="N3" i="12"/>
  <c r="BN45" i="8"/>
  <c r="BN9" i="8"/>
  <c r="AH4" i="9"/>
  <c r="AK170" i="9"/>
  <c r="AJ170" i="9"/>
  <c r="AH174" i="9"/>
  <c r="AH177" i="9"/>
  <c r="AH178" i="9"/>
  <c r="AH208" i="9"/>
  <c r="AH176" i="9"/>
  <c r="AK4" i="9"/>
  <c r="AN170" i="9"/>
  <c r="AN168" i="9" s="1"/>
  <c r="AM170" i="9"/>
  <c r="AM168" i="9" s="1"/>
  <c r="AK174" i="9"/>
  <c r="AK178" i="9"/>
  <c r="AK177" i="9"/>
  <c r="AK176" i="9"/>
  <c r="AK208" i="9"/>
  <c r="BM500" i="8"/>
  <c r="BM503" i="8"/>
  <c r="AK501" i="8"/>
  <c r="AG505" i="8"/>
  <c r="BL417" i="8"/>
  <c r="AA419" i="8"/>
  <c r="BM373" i="8"/>
  <c r="BL373" i="8"/>
  <c r="AA375" i="8"/>
  <c r="AA391" i="8"/>
  <c r="BL374" i="8"/>
  <c r="AE375" i="8"/>
  <c r="AA376" i="8"/>
  <c r="AD501" i="8"/>
  <c r="AD505" i="8"/>
  <c r="N10" i="12"/>
  <c r="M10" i="12"/>
  <c r="AE601" i="8"/>
  <c r="BO639" i="8"/>
  <c r="I185" i="12"/>
  <c r="I186" i="12" s="1"/>
  <c r="AS637" i="8"/>
  <c r="Y342" i="8"/>
  <c r="X344" i="8"/>
  <c r="X5" i="8"/>
  <c r="X354" i="8"/>
  <c r="AO607" i="8"/>
  <c r="AP607" i="8" s="1"/>
  <c r="AF170" i="9"/>
  <c r="AF168" i="9" s="1"/>
  <c r="AE170" i="9"/>
  <c r="AQ37" i="8"/>
  <c r="AU34" i="20"/>
  <c r="AU7" i="20" s="1"/>
  <c r="AT34" i="20"/>
  <c r="AT7" i="20" s="1"/>
  <c r="AA321" i="9"/>
  <c r="BP699" i="8"/>
  <c r="BU699" i="8"/>
  <c r="BS699" i="8"/>
  <c r="AH336" i="9"/>
  <c r="AH337" i="9" s="1"/>
  <c r="AH335" i="9" s="1"/>
  <c r="BS686" i="8"/>
  <c r="BS687" i="8"/>
  <c r="BS688" i="8"/>
  <c r="BK334" i="9"/>
  <c r="AE336" i="9"/>
  <c r="BS680" i="8"/>
  <c r="AD336" i="9"/>
  <c r="BJ334" i="9"/>
  <c r="AI337" i="9"/>
  <c r="AI335" i="9" s="1"/>
  <c r="AJ336" i="9"/>
  <c r="AB321" i="9"/>
  <c r="AP357" i="9"/>
  <c r="AP308" i="9" s="1"/>
  <c r="AP310" i="9" s="1"/>
  <c r="BU687" i="8"/>
  <c r="BU688" i="8"/>
  <c r="BU686" i="8"/>
  <c r="BP680" i="8"/>
  <c r="BN699" i="8"/>
  <c r="BP686" i="8"/>
  <c r="BP687" i="8"/>
  <c r="BP688" i="8"/>
  <c r="BR214" i="8"/>
  <c r="BR74" i="8" s="1"/>
  <c r="BU680" i="8"/>
  <c r="AY34" i="20"/>
  <c r="AY7" i="20" s="1"/>
  <c r="AY8" i="20" s="1"/>
  <c r="AQ354" i="9"/>
  <c r="AQ356" i="9"/>
  <c r="AQ357" i="9" s="1"/>
  <c r="BO686" i="8"/>
  <c r="BO688" i="8"/>
  <c r="BO687" i="8"/>
  <c r="AV34" i="20"/>
  <c r="AV7" i="20" s="1"/>
  <c r="AV8" i="20" s="1"/>
  <c r="BM350" i="9"/>
  <c r="BM349" i="9" s="1"/>
  <c r="AO470" i="8"/>
  <c r="AS461" i="8"/>
  <c r="AW461" i="8" s="1"/>
  <c r="BO462" i="8"/>
  <c r="BN680" i="8"/>
  <c r="BN686" i="8"/>
  <c r="F142" i="12" s="1"/>
  <c r="BN688" i="8"/>
  <c r="BN687" i="8"/>
  <c r="BO699" i="8"/>
  <c r="AR470" i="8"/>
  <c r="AV471" i="8" s="1"/>
  <c r="AN180" i="9"/>
  <c r="AN182" i="9" s="1"/>
  <c r="AN183" i="9" s="1"/>
  <c r="AO181" i="9"/>
  <c r="BO680" i="8"/>
  <c r="AP185" i="9"/>
  <c r="BN108" i="9"/>
  <c r="BN64" i="9"/>
  <c r="BN289" i="9"/>
  <c r="BM23" i="9"/>
  <c r="O47" i="12"/>
  <c r="BO117" i="8"/>
  <c r="BO121" i="8"/>
  <c r="BM112" i="9"/>
  <c r="BM149" i="9" s="1"/>
  <c r="AP111" i="9"/>
  <c r="BM111" i="9" s="1"/>
  <c r="BM209" i="9"/>
  <c r="O66" i="12"/>
  <c r="BM66" i="9"/>
  <c r="O78" i="12"/>
  <c r="BS262" i="8"/>
  <c r="H177" i="12"/>
  <c r="J177" i="12" s="1"/>
  <c r="BU256" i="8"/>
  <c r="BT483" i="8"/>
  <c r="AQ503" i="8"/>
  <c r="AQ500" i="8"/>
  <c r="AQ499" i="8"/>
  <c r="AQ9" i="8"/>
  <c r="AQ697" i="8"/>
  <c r="AQ54" i="8"/>
  <c r="G91" i="12"/>
  <c r="H69" i="12"/>
  <c r="G71" i="12"/>
  <c r="G93" i="12" s="1"/>
  <c r="C93" i="12"/>
  <c r="BP139" i="9" l="1"/>
  <c r="BS138" i="9"/>
  <c r="BK441" i="8"/>
  <c r="BK387" i="8"/>
  <c r="Z63" i="9"/>
  <c r="AS289" i="8"/>
  <c r="BL235" i="8"/>
  <c r="V52" i="9"/>
  <c r="V274" i="9" s="1"/>
  <c r="AI393" i="8"/>
  <c r="AJ167" i="8"/>
  <c r="AN168" i="8" s="1"/>
  <c r="L19" i="17"/>
  <c r="AH117" i="8"/>
  <c r="BK92" i="8"/>
  <c r="Z94" i="8"/>
  <c r="BL574" i="8"/>
  <c r="M21" i="12"/>
  <c r="M22" i="12" s="1"/>
  <c r="BK12" i="9"/>
  <c r="BJ151" i="9"/>
  <c r="AW348" i="9"/>
  <c r="BL308" i="9"/>
  <c r="BL310" i="9" s="1"/>
  <c r="BG335" i="9"/>
  <c r="U37" i="9"/>
  <c r="U38" i="9" s="1"/>
  <c r="U35" i="9"/>
  <c r="X56" i="9"/>
  <c r="X58" i="9" s="1"/>
  <c r="X35" i="9"/>
  <c r="BH151" i="9"/>
  <c r="AP42" i="9"/>
  <c r="BI151" i="9"/>
  <c r="AB501" i="8"/>
  <c r="BK53" i="9"/>
  <c r="AA576" i="8"/>
  <c r="AE576" i="8"/>
  <c r="AH282" i="8"/>
  <c r="T238" i="8"/>
  <c r="X239" i="8" s="1"/>
  <c r="T235" i="8"/>
  <c r="T236" i="8" s="1"/>
  <c r="AH280" i="8"/>
  <c r="AA35" i="9"/>
  <c r="AA37" i="9"/>
  <c r="AA42" i="9" s="1"/>
  <c r="AK504" i="8"/>
  <c r="AA58" i="9"/>
  <c r="AA52" i="9"/>
  <c r="AA185" i="9" s="1"/>
  <c r="W601" i="8"/>
  <c r="AN504" i="8"/>
  <c r="AR171" i="8"/>
  <c r="AR172" i="8"/>
  <c r="L576" i="8"/>
  <c r="Z391" i="8"/>
  <c r="BK391" i="8" s="1"/>
  <c r="Z389" i="8"/>
  <c r="Z388" i="8"/>
  <c r="AW431" i="8"/>
  <c r="Q576" i="8"/>
  <c r="AA601" i="8"/>
  <c r="Z431" i="8"/>
  <c r="Z432" i="8"/>
  <c r="Z436" i="8" s="1"/>
  <c r="BF362" i="8"/>
  <c r="AJ163" i="8"/>
  <c r="AG510" i="8"/>
  <c r="BK47" i="10"/>
  <c r="BM510" i="8" s="1"/>
  <c r="BM512" i="8" s="1"/>
  <c r="BK46" i="10"/>
  <c r="BM509" i="8" s="1"/>
  <c r="AI47" i="10"/>
  <c r="AI510" i="8" s="1"/>
  <c r="AI46" i="10"/>
  <c r="AH509" i="8"/>
  <c r="AH529" i="8"/>
  <c r="AH512" i="8"/>
  <c r="AI438" i="8"/>
  <c r="AI444" i="8"/>
  <c r="AI446" i="8" s="1"/>
  <c r="Y574" i="8"/>
  <c r="U575" i="8"/>
  <c r="U576" i="8"/>
  <c r="U574" i="8"/>
  <c r="BL298" i="8"/>
  <c r="BL299" i="8"/>
  <c r="AE299" i="8"/>
  <c r="AI297" i="8"/>
  <c r="AI301" i="8" s="1"/>
  <c r="BM297" i="8"/>
  <c r="AM150" i="8"/>
  <c r="AI150" i="8"/>
  <c r="AD236" i="8"/>
  <c r="AD239" i="8"/>
  <c r="AB239" i="8"/>
  <c r="AM240" i="8"/>
  <c r="AM243" i="8"/>
  <c r="AM245" i="8" s="1"/>
  <c r="AH289" i="8"/>
  <c r="BM288" i="8"/>
  <c r="T400" i="8"/>
  <c r="T401" i="8"/>
  <c r="T402" i="8" s="1"/>
  <c r="BR33" i="10"/>
  <c r="BR39" i="10"/>
  <c r="AU485" i="8"/>
  <c r="AU478" i="8"/>
  <c r="BL151" i="9"/>
  <c r="AV161" i="9"/>
  <c r="AW141" i="9"/>
  <c r="BP110" i="9"/>
  <c r="BQ110" i="9" s="1"/>
  <c r="BO108" i="9"/>
  <c r="BE151" i="9"/>
  <c r="O52" i="9"/>
  <c r="G52" i="9"/>
  <c r="BI4" i="9"/>
  <c r="U58" i="9"/>
  <c r="U52" i="9"/>
  <c r="BG56" i="9"/>
  <c r="BG58" i="9" s="1"/>
  <c r="I27" i="12"/>
  <c r="BE56" i="9"/>
  <c r="BE58" i="9" s="1"/>
  <c r="G27" i="12"/>
  <c r="BO99" i="9"/>
  <c r="AX156" i="9"/>
  <c r="BQ408" i="8"/>
  <c r="BR407" i="8"/>
  <c r="BS407" i="8" s="1"/>
  <c r="BT407" i="8" s="1"/>
  <c r="AO586" i="8"/>
  <c r="AP588" i="8"/>
  <c r="AU369" i="8"/>
  <c r="O37" i="9"/>
  <c r="O35" i="9"/>
  <c r="BE32" i="9"/>
  <c r="G29" i="12" s="1"/>
  <c r="G35" i="9"/>
  <c r="G37" i="9"/>
  <c r="G59" i="9"/>
  <c r="D42" i="9"/>
  <c r="H38" i="9"/>
  <c r="AU384" i="8"/>
  <c r="AU429" i="8"/>
  <c r="M59" i="9"/>
  <c r="BJ65" i="8"/>
  <c r="BJ66" i="8" s="1"/>
  <c r="T66" i="8"/>
  <c r="T67" i="8"/>
  <c r="T115" i="8"/>
  <c r="X67" i="8"/>
  <c r="BJ129" i="8"/>
  <c r="BJ131" i="8" s="1"/>
  <c r="T17" i="9"/>
  <c r="T131" i="8"/>
  <c r="AW382" i="8"/>
  <c r="BQ382" i="8" s="1"/>
  <c r="BP382" i="8"/>
  <c r="BP383" i="8" s="1"/>
  <c r="BO427" i="8"/>
  <c r="BO428" i="8" s="1"/>
  <c r="AS427" i="8"/>
  <c r="R402" i="8"/>
  <c r="H317" i="8"/>
  <c r="I317" i="8"/>
  <c r="O402" i="8"/>
  <c r="AE501" i="8"/>
  <c r="AE236" i="8"/>
  <c r="M576" i="8"/>
  <c r="BM167" i="8"/>
  <c r="AQ501" i="8"/>
  <c r="BL186" i="8"/>
  <c r="AR587" i="8"/>
  <c r="BL500" i="8"/>
  <c r="BL497" i="8"/>
  <c r="BL507" i="8" s="1"/>
  <c r="BL503" i="8"/>
  <c r="BM499" i="8"/>
  <c r="AH501" i="8"/>
  <c r="AL501" i="8"/>
  <c r="AH504" i="8"/>
  <c r="AH505" i="8"/>
  <c r="AL504" i="8"/>
  <c r="AC505" i="8"/>
  <c r="AG504" i="8"/>
  <c r="AC501" i="8"/>
  <c r="AG501" i="8"/>
  <c r="AP239" i="8"/>
  <c r="AL239" i="8"/>
  <c r="AL243" i="8"/>
  <c r="AH306" i="8"/>
  <c r="AH302" i="8"/>
  <c r="AH303" i="8"/>
  <c r="AM168" i="8"/>
  <c r="AI161" i="8"/>
  <c r="AI163" i="8" s="1"/>
  <c r="AE187" i="8"/>
  <c r="AE192" i="8"/>
  <c r="AE199" i="8" s="1"/>
  <c r="AE179" i="8"/>
  <c r="AE147" i="8" s="1"/>
  <c r="AE148" i="8" s="1"/>
  <c r="AE162" i="8"/>
  <c r="BJ307" i="8"/>
  <c r="BJ308" i="8"/>
  <c r="O14" i="17"/>
  <c r="E15" i="17"/>
  <c r="L14" i="17"/>
  <c r="AB243" i="8"/>
  <c r="AB245" i="8" s="1"/>
  <c r="AB240" i="8"/>
  <c r="T601" i="8"/>
  <c r="X601" i="8"/>
  <c r="M579" i="8"/>
  <c r="BG578" i="8"/>
  <c r="BG579" i="8" s="1"/>
  <c r="BL294" i="8"/>
  <c r="AA301" i="8"/>
  <c r="AA295" i="8"/>
  <c r="V580" i="8"/>
  <c r="R580" i="8"/>
  <c r="J576" i="8"/>
  <c r="N576" i="8"/>
  <c r="G576" i="8"/>
  <c r="K576" i="8"/>
  <c r="AC179" i="8"/>
  <c r="AC147" i="8" s="1"/>
  <c r="AC148" i="8" s="1"/>
  <c r="AC162" i="8"/>
  <c r="AG161" i="8"/>
  <c r="AG163" i="8" s="1"/>
  <c r="AK167" i="8"/>
  <c r="AK149" i="8" s="1"/>
  <c r="AK186" i="8" s="1"/>
  <c r="AC187" i="8"/>
  <c r="AC192" i="8"/>
  <c r="AC199" i="8" s="1"/>
  <c r="BJ496" i="8"/>
  <c r="BJ571" i="8"/>
  <c r="BJ230" i="8"/>
  <c r="BJ639" i="8"/>
  <c r="BJ312" i="8"/>
  <c r="J65" i="12"/>
  <c r="BJ672" i="8"/>
  <c r="BJ665" i="8" s="1"/>
  <c r="BJ676" i="8" s="1"/>
  <c r="BJ90" i="8"/>
  <c r="AF239" i="8"/>
  <c r="AJ239" i="8"/>
  <c r="AJ236" i="8"/>
  <c r="AF236" i="8"/>
  <c r="BK389" i="8"/>
  <c r="BK388" i="8"/>
  <c r="X436" i="8"/>
  <c r="X434" i="8"/>
  <c r="X433" i="8"/>
  <c r="AB433" i="8"/>
  <c r="BN292" i="8"/>
  <c r="BN291" i="8"/>
  <c r="AQ178" i="9"/>
  <c r="AQ177" i="9"/>
  <c r="AQ176" i="9"/>
  <c r="AQ174" i="9"/>
  <c r="BQ556" i="8"/>
  <c r="AU413" i="8"/>
  <c r="AU431" i="8" s="1"/>
  <c r="AW470" i="8"/>
  <c r="BQ461" i="8"/>
  <c r="BI280" i="9"/>
  <c r="J228" i="9"/>
  <c r="J227" i="9" s="1"/>
  <c r="J234" i="9"/>
  <c r="J271" i="9"/>
  <c r="AL58" i="9"/>
  <c r="AL52" i="9"/>
  <c r="D72" i="9"/>
  <c r="D62" i="9"/>
  <c r="AG215" i="9"/>
  <c r="AG219" i="9"/>
  <c r="AG217" i="9"/>
  <c r="AL37" i="9"/>
  <c r="AL42" i="9" s="1"/>
  <c r="AL35" i="9"/>
  <c r="AO42" i="9"/>
  <c r="AO38" i="9"/>
  <c r="Z279" i="9"/>
  <c r="BG71" i="9"/>
  <c r="I28" i="12"/>
  <c r="AH212" i="9"/>
  <c r="AH210" i="9"/>
  <c r="BK151" i="9"/>
  <c r="W343" i="9"/>
  <c r="W344" i="9" s="1"/>
  <c r="W347" i="9"/>
  <c r="O72" i="9"/>
  <c r="O62" i="9"/>
  <c r="O68" i="9" s="1"/>
  <c r="AJ42" i="9"/>
  <c r="AJ38" i="9"/>
  <c r="AF42" i="9"/>
  <c r="AF38" i="9"/>
  <c r="AN42" i="9"/>
  <c r="AN38" i="9"/>
  <c r="Y228" i="9"/>
  <c r="Y234" i="9"/>
  <c r="Y271" i="9"/>
  <c r="S42" i="9"/>
  <c r="L38" i="9"/>
  <c r="L42" i="9"/>
  <c r="M38" i="9"/>
  <c r="M42" i="9"/>
  <c r="N38" i="9"/>
  <c r="N42" i="9"/>
  <c r="P38" i="9"/>
  <c r="P42" i="9"/>
  <c r="J38" i="9"/>
  <c r="F42" i="9"/>
  <c r="BF37" i="9"/>
  <c r="K42" i="9"/>
  <c r="C42" i="9"/>
  <c r="BD37" i="9"/>
  <c r="AD42" i="9"/>
  <c r="AB38" i="9"/>
  <c r="AB42" i="9"/>
  <c r="AI38" i="9"/>
  <c r="AI42" i="9"/>
  <c r="AE42" i="9"/>
  <c r="BH35" i="9"/>
  <c r="BH37" i="9"/>
  <c r="T38" i="9"/>
  <c r="T42" i="9"/>
  <c r="X38" i="9"/>
  <c r="X42" i="9"/>
  <c r="E42" i="9"/>
  <c r="I38" i="9"/>
  <c r="Z37" i="9"/>
  <c r="AD38" i="9" s="1"/>
  <c r="Z35" i="9"/>
  <c r="W35" i="9"/>
  <c r="W37" i="9"/>
  <c r="BI32" i="9"/>
  <c r="J272" i="9"/>
  <c r="J68" i="9"/>
  <c r="J74" i="9" s="1"/>
  <c r="J80" i="9" s="1"/>
  <c r="BG32" i="9"/>
  <c r="R37" i="9"/>
  <c r="R35" i="9"/>
  <c r="AM38" i="9"/>
  <c r="AM42" i="9"/>
  <c r="BL37" i="9"/>
  <c r="BL42" i="9" s="1"/>
  <c r="BL35" i="9"/>
  <c r="BK37" i="9"/>
  <c r="BK42" i="9" s="1"/>
  <c r="BK35" i="9"/>
  <c r="S272" i="9"/>
  <c r="S68" i="9"/>
  <c r="S74" i="9" s="1"/>
  <c r="S80" i="9" s="1"/>
  <c r="BJ32" i="9"/>
  <c r="AC35" i="9"/>
  <c r="AC37" i="9"/>
  <c r="Z58" i="9"/>
  <c r="Z59" i="9" s="1"/>
  <c r="Z52" i="9"/>
  <c r="Z185" i="9" s="1"/>
  <c r="W52" i="9"/>
  <c r="W185" i="9" s="1"/>
  <c r="W58" i="9"/>
  <c r="W59" i="9" s="1"/>
  <c r="R59" i="9"/>
  <c r="BK280" i="9"/>
  <c r="AH280" i="9"/>
  <c r="AH27" i="9" s="1"/>
  <c r="BK27" i="9" s="1"/>
  <c r="E213" i="12" s="1"/>
  <c r="AS305" i="9"/>
  <c r="AS308" i="9" s="1"/>
  <c r="P72" i="9"/>
  <c r="P62" i="9"/>
  <c r="K59" i="9"/>
  <c r="BF56" i="9"/>
  <c r="BF58" i="9" s="1"/>
  <c r="H27" i="12"/>
  <c r="C59" i="9"/>
  <c r="BD56" i="9"/>
  <c r="C27" i="12"/>
  <c r="K52" i="9"/>
  <c r="C52" i="9"/>
  <c r="Q59" i="9"/>
  <c r="I234" i="9"/>
  <c r="I271" i="9"/>
  <c r="I228" i="9"/>
  <c r="I227" i="9" s="1"/>
  <c r="I59" i="9"/>
  <c r="L28" i="12"/>
  <c r="BJ71" i="9"/>
  <c r="BL27" i="9"/>
  <c r="AC180" i="9"/>
  <c r="AD182" i="9" s="1"/>
  <c r="AD183" i="9" s="1"/>
  <c r="AB181" i="9"/>
  <c r="BM217" i="9"/>
  <c r="BH341" i="9"/>
  <c r="BH347" i="9" s="1"/>
  <c r="S343" i="9"/>
  <c r="S347" i="9"/>
  <c r="AW350" i="9"/>
  <c r="AX348" i="9"/>
  <c r="AG279" i="9"/>
  <c r="AG28" i="9"/>
  <c r="AH300" i="9"/>
  <c r="AW64" i="9"/>
  <c r="AX135" i="9"/>
  <c r="Z168" i="9"/>
  <c r="AA168" i="9"/>
  <c r="Y168" i="9"/>
  <c r="AK52" i="9"/>
  <c r="AK58" i="9"/>
  <c r="AK59" i="9" s="1"/>
  <c r="AD52" i="9"/>
  <c r="AD185" i="9" s="1"/>
  <c r="AD58" i="9"/>
  <c r="AL291" i="8"/>
  <c r="AL288" i="8"/>
  <c r="AP299" i="8"/>
  <c r="AP368" i="8"/>
  <c r="AQ323" i="8"/>
  <c r="AT285" i="8"/>
  <c r="AP294" i="8"/>
  <c r="BO294" i="8" s="1"/>
  <c r="AP290" i="8"/>
  <c r="BO290" i="8" s="1"/>
  <c r="AP323" i="8"/>
  <c r="BI172" i="9"/>
  <c r="BI171" i="9"/>
  <c r="K17" i="12"/>
  <c r="AJ504" i="8"/>
  <c r="BH86" i="8"/>
  <c r="AL295" i="8"/>
  <c r="AL301" i="8"/>
  <c r="AL306" i="8" s="1"/>
  <c r="BM294" i="8"/>
  <c r="AI295" i="8"/>
  <c r="AE295" i="8"/>
  <c r="AE301" i="8"/>
  <c r="U580" i="8"/>
  <c r="BG574" i="8"/>
  <c r="BG575" i="8"/>
  <c r="BK530" i="8"/>
  <c r="BJ530" i="8"/>
  <c r="AN154" i="8"/>
  <c r="AN153" i="8"/>
  <c r="AJ179" i="8"/>
  <c r="AJ147" i="8" s="1"/>
  <c r="AJ162" i="8"/>
  <c r="AQ152" i="8"/>
  <c r="AU156" i="8"/>
  <c r="AU147" i="8" s="1"/>
  <c r="AM154" i="8"/>
  <c r="AM153" i="8"/>
  <c r="Z421" i="8"/>
  <c r="AD422" i="8" s="1"/>
  <c r="AD420" i="8"/>
  <c r="BK419" i="8"/>
  <c r="X399" i="8"/>
  <c r="X393" i="8"/>
  <c r="AB392" i="8"/>
  <c r="X392" i="8"/>
  <c r="BG316" i="8"/>
  <c r="BG315" i="8"/>
  <c r="AC56" i="9"/>
  <c r="Y642" i="8"/>
  <c r="U643" i="8"/>
  <c r="U649" i="8" s="1"/>
  <c r="U642" i="8"/>
  <c r="AL414" i="8"/>
  <c r="AL431" i="8"/>
  <c r="AT409" i="8"/>
  <c r="BP409" i="8" s="1"/>
  <c r="AP413" i="8"/>
  <c r="BO413" i="8" s="1"/>
  <c r="AL369" i="8"/>
  <c r="AL429" i="8"/>
  <c r="AL384" i="8"/>
  <c r="Q402" i="8"/>
  <c r="AL154" i="8"/>
  <c r="AP152" i="8"/>
  <c r="BC156" i="8"/>
  <c r="T215" i="9"/>
  <c r="T219" i="9"/>
  <c r="T217" i="9"/>
  <c r="AF240" i="8"/>
  <c r="AF243" i="8"/>
  <c r="AC240" i="8"/>
  <c r="AC243" i="8"/>
  <c r="AC239" i="8"/>
  <c r="AA243" i="8"/>
  <c r="AA245" i="8" s="1"/>
  <c r="AA240" i="8"/>
  <c r="Z240" i="8"/>
  <c r="AD241" i="8" s="1"/>
  <c r="Z243" i="8"/>
  <c r="Y243" i="8"/>
  <c r="Y245" i="8" s="1"/>
  <c r="Y240" i="8"/>
  <c r="BP327" i="8"/>
  <c r="AR327" i="8"/>
  <c r="AS327" i="8" s="1"/>
  <c r="AT327" i="8" s="1"/>
  <c r="AU327" i="8" s="1"/>
  <c r="AC236" i="8"/>
  <c r="M117" i="8"/>
  <c r="I117" i="8"/>
  <c r="N317" i="8"/>
  <c r="M317" i="8"/>
  <c r="X236" i="8"/>
  <c r="AB236" i="8"/>
  <c r="W574" i="8"/>
  <c r="S575" i="8"/>
  <c r="S581" i="8" s="1"/>
  <c r="S574" i="8"/>
  <c r="X243" i="8"/>
  <c r="X240" i="8"/>
  <c r="AD192" i="8"/>
  <c r="AD187" i="8"/>
  <c r="AL167" i="8"/>
  <c r="AL149" i="8" s="1"/>
  <c r="AL186" i="8" s="1"/>
  <c r="AH161" i="8"/>
  <c r="AH163" i="8" s="1"/>
  <c r="AD162" i="8"/>
  <c r="AD179" i="8"/>
  <c r="AD147" i="8" s="1"/>
  <c r="AD148" i="8" s="1"/>
  <c r="AC695" i="8"/>
  <c r="AC701" i="8"/>
  <c r="AD695" i="8"/>
  <c r="AD701" i="8"/>
  <c r="AA695" i="8"/>
  <c r="AA701" i="8"/>
  <c r="AA703" i="8" s="1"/>
  <c r="AB701" i="8"/>
  <c r="AB703" i="8" s="1"/>
  <c r="AB695" i="8"/>
  <c r="R317" i="8"/>
  <c r="Q317" i="8"/>
  <c r="P317" i="8"/>
  <c r="O317" i="8"/>
  <c r="K317" i="8"/>
  <c r="J317" i="8"/>
  <c r="G317" i="8"/>
  <c r="R117" i="8"/>
  <c r="BG86" i="8"/>
  <c r="BF86" i="8"/>
  <c r="L317" i="8"/>
  <c r="L19" i="12"/>
  <c r="Y234" i="8"/>
  <c r="BJ233" i="8"/>
  <c r="U238" i="8"/>
  <c r="U235" i="8"/>
  <c r="AN295" i="8"/>
  <c r="AN301" i="8"/>
  <c r="AN306" i="8" s="1"/>
  <c r="AR323" i="8"/>
  <c r="AR294" i="8"/>
  <c r="AV285" i="8"/>
  <c r="AS323" i="8"/>
  <c r="AR290" i="8"/>
  <c r="AR299" i="8"/>
  <c r="AR368" i="8"/>
  <c r="AN291" i="8"/>
  <c r="AN288" i="8"/>
  <c r="AN384" i="8"/>
  <c r="AN369" i="8"/>
  <c r="AN429" i="8"/>
  <c r="AJ289" i="8"/>
  <c r="U212" i="9"/>
  <c r="U210" i="9"/>
  <c r="AG693" i="8"/>
  <c r="AG701" i="8"/>
  <c r="AL693" i="8"/>
  <c r="AL701" i="8"/>
  <c r="AN693" i="8"/>
  <c r="AN701" i="8"/>
  <c r="AM693" i="8"/>
  <c r="AM701" i="8"/>
  <c r="AJ693" i="8"/>
  <c r="AJ701" i="8"/>
  <c r="AH701" i="8"/>
  <c r="AH693" i="8"/>
  <c r="N4" i="21"/>
  <c r="M15" i="12"/>
  <c r="L53" i="12"/>
  <c r="O579" i="8"/>
  <c r="BH578" i="8"/>
  <c r="BH579" i="8" s="1"/>
  <c r="BH574" i="8"/>
  <c r="BH575" i="8"/>
  <c r="BE575" i="8"/>
  <c r="BF574" i="8"/>
  <c r="T643" i="8"/>
  <c r="T649" i="8" s="1"/>
  <c r="X642" i="8"/>
  <c r="T642" i="8"/>
  <c r="AH421" i="8"/>
  <c r="AH422" i="8" s="1"/>
  <c r="AH420" i="8"/>
  <c r="BM419" i="8"/>
  <c r="BM421" i="8" s="1"/>
  <c r="AF436" i="8"/>
  <c r="AJ433" i="8"/>
  <c r="AF434" i="8"/>
  <c r="AF433" i="8"/>
  <c r="AF281" i="8"/>
  <c r="AF280" i="8"/>
  <c r="AJ280" i="8"/>
  <c r="AE52" i="9"/>
  <c r="AE185" i="9" s="1"/>
  <c r="AE58" i="9"/>
  <c r="AE59" i="9" s="1"/>
  <c r="BO238" i="8"/>
  <c r="BO235" i="8"/>
  <c r="AN243" i="8"/>
  <c r="AN240" i="8"/>
  <c r="AN241" i="8" s="1"/>
  <c r="BJ94" i="8"/>
  <c r="BH214" i="9"/>
  <c r="BH210" i="9" s="1"/>
  <c r="BH63" i="9"/>
  <c r="AI701" i="8"/>
  <c r="AI693" i="8"/>
  <c r="AK701" i="8"/>
  <c r="AK693" i="8"/>
  <c r="AF701" i="8"/>
  <c r="AF693" i="8"/>
  <c r="AE701" i="8"/>
  <c r="AE693" i="8"/>
  <c r="AU701" i="8"/>
  <c r="AR701" i="8"/>
  <c r="AT701" i="8"/>
  <c r="AQ701" i="8"/>
  <c r="AO701" i="8"/>
  <c r="AX701" i="8"/>
  <c r="AW701" i="8"/>
  <c r="AP701" i="8"/>
  <c r="AV701" i="8"/>
  <c r="AS701" i="8"/>
  <c r="BJ4" i="9"/>
  <c r="H117" i="8"/>
  <c r="BE86" i="8"/>
  <c r="AB58" i="9"/>
  <c r="AB52" i="9"/>
  <c r="L117" i="8"/>
  <c r="P117" i="8"/>
  <c r="BJ171" i="8"/>
  <c r="V648" i="8"/>
  <c r="R649" i="8"/>
  <c r="R648" i="8"/>
  <c r="BG319" i="8"/>
  <c r="BG320" i="8" s="1"/>
  <c r="K320" i="8"/>
  <c r="K321" i="8" s="1"/>
  <c r="BF315" i="8"/>
  <c r="BF316" i="8"/>
  <c r="O647" i="8"/>
  <c r="BH646" i="8"/>
  <c r="BH647" i="8" s="1"/>
  <c r="BO156" i="8"/>
  <c r="AO152" i="8"/>
  <c r="AK153" i="8"/>
  <c r="AK154" i="8"/>
  <c r="U648" i="8"/>
  <c r="Q649" i="8"/>
  <c r="N648" i="8"/>
  <c r="N649" i="8"/>
  <c r="BG646" i="8"/>
  <c r="BG647" i="8" s="1"/>
  <c r="M647" i="8"/>
  <c r="BH642" i="8"/>
  <c r="BG643" i="8"/>
  <c r="R321" i="8"/>
  <c r="V321" i="8"/>
  <c r="U321" i="8"/>
  <c r="Q321" i="8"/>
  <c r="P321" i="8"/>
  <c r="T321" i="8"/>
  <c r="BH315" i="8"/>
  <c r="BH316" i="8"/>
  <c r="BH319" i="8"/>
  <c r="BH320" i="8" s="1"/>
  <c r="O320" i="8"/>
  <c r="BH401" i="8"/>
  <c r="BH400" i="8"/>
  <c r="BF401" i="8"/>
  <c r="BG400" i="8"/>
  <c r="BF400" i="8"/>
  <c r="BK326" i="8"/>
  <c r="AA326" i="8"/>
  <c r="Z331" i="8"/>
  <c r="BL428" i="8"/>
  <c r="BM428" i="8"/>
  <c r="BL429" i="8"/>
  <c r="BL388" i="8"/>
  <c r="BL389" i="8"/>
  <c r="AD434" i="8"/>
  <c r="AD436" i="8"/>
  <c r="BL432" i="8"/>
  <c r="AH434" i="8"/>
  <c r="AH433" i="8"/>
  <c r="AH436" i="8"/>
  <c r="AD393" i="8"/>
  <c r="AD392" i="8"/>
  <c r="AD399" i="8"/>
  <c r="AH377" i="8"/>
  <c r="AD377" i="8"/>
  <c r="V72" i="9"/>
  <c r="V62" i="9"/>
  <c r="W215" i="9"/>
  <c r="W217" i="9"/>
  <c r="W219" i="9"/>
  <c r="AG117" i="8"/>
  <c r="AC117" i="8"/>
  <c r="BK598" i="8"/>
  <c r="BJ598" i="8"/>
  <c r="V601" i="8"/>
  <c r="Z601" i="8"/>
  <c r="BN106" i="8"/>
  <c r="BN107" i="8" s="1"/>
  <c r="AL107" i="8"/>
  <c r="S119" i="8"/>
  <c r="S86" i="8"/>
  <c r="S116" i="8"/>
  <c r="BK34" i="8"/>
  <c r="BJ55" i="8"/>
  <c r="W282" i="8"/>
  <c r="AA282" i="8"/>
  <c r="AQ4" i="9"/>
  <c r="AQ55" i="8"/>
  <c r="AH4" i="8"/>
  <c r="BM4" i="8" s="1"/>
  <c r="AJ339" i="8"/>
  <c r="AK340" i="8"/>
  <c r="AQ519" i="8"/>
  <c r="AP518" i="8"/>
  <c r="BO518" i="8" s="1"/>
  <c r="BO519" i="8"/>
  <c r="BO523" i="8" s="1"/>
  <c r="BO522" i="8" s="1"/>
  <c r="BM154" i="8"/>
  <c r="BM153" i="8"/>
  <c r="BN152" i="8"/>
  <c r="BN157" i="8"/>
  <c r="S402" i="8"/>
  <c r="BH168" i="9"/>
  <c r="J80" i="12" s="1"/>
  <c r="BL644" i="8"/>
  <c r="AJ377" i="8"/>
  <c r="AJ392" i="8"/>
  <c r="AC168" i="9"/>
  <c r="P402" i="8"/>
  <c r="BJ600" i="8"/>
  <c r="U601" i="8"/>
  <c r="AJ444" i="8"/>
  <c r="AJ446" i="8" s="1"/>
  <c r="AJ438" i="8"/>
  <c r="BK130" i="8"/>
  <c r="S55" i="9"/>
  <c r="S53" i="9" s="1"/>
  <c r="S52" i="9" s="1"/>
  <c r="S274" i="9" s="1"/>
  <c r="S23" i="9"/>
  <c r="S675" i="8"/>
  <c r="BR555" i="8"/>
  <c r="BS555" i="8" s="1"/>
  <c r="BP556" i="8"/>
  <c r="BM298" i="8"/>
  <c r="BM299" i="8"/>
  <c r="Y576" i="8"/>
  <c r="U581" i="8"/>
  <c r="H72" i="9"/>
  <c r="H62" i="9"/>
  <c r="AF501" i="8"/>
  <c r="AJ501" i="8"/>
  <c r="Y72" i="9"/>
  <c r="Y62" i="9"/>
  <c r="AP485" i="8"/>
  <c r="AP478" i="8"/>
  <c r="AP474" i="8"/>
  <c r="AX477" i="8"/>
  <c r="AX471" i="8"/>
  <c r="AX473" i="8"/>
  <c r="AX482" i="8"/>
  <c r="AM52" i="9"/>
  <c r="AM58" i="9"/>
  <c r="AM59" i="9" s="1"/>
  <c r="AF504" i="8"/>
  <c r="AF505" i="8"/>
  <c r="AE280" i="8"/>
  <c r="AE281" i="8"/>
  <c r="AB444" i="8"/>
  <c r="AB446" i="8" s="1"/>
  <c r="AB438" i="8"/>
  <c r="V271" i="9"/>
  <c r="V228" i="9"/>
  <c r="V234" i="9"/>
  <c r="V401" i="8"/>
  <c r="V402" i="8" s="1"/>
  <c r="V400" i="8"/>
  <c r="U316" i="8"/>
  <c r="U315" i="8"/>
  <c r="P580" i="8"/>
  <c r="T580" i="8"/>
  <c r="BM375" i="8"/>
  <c r="BO280" i="8"/>
  <c r="BN281" i="8"/>
  <c r="L8" i="12"/>
  <c r="L4" i="12"/>
  <c r="L11" i="12"/>
  <c r="BJ174" i="9"/>
  <c r="BJ176" i="9"/>
  <c r="BJ177" i="9"/>
  <c r="BJ170" i="9"/>
  <c r="BJ178" i="9"/>
  <c r="BJ208" i="9"/>
  <c r="BM117" i="8"/>
  <c r="BL116" i="8"/>
  <c r="L47" i="12"/>
  <c r="BL117" i="8"/>
  <c r="BL119" i="8"/>
  <c r="BL576" i="8"/>
  <c r="BJ23" i="9"/>
  <c r="BJ24" i="9" s="1"/>
  <c r="BO165" i="8"/>
  <c r="BO166" i="8" s="1"/>
  <c r="BC165" i="8"/>
  <c r="BL533" i="8"/>
  <c r="BK533" i="8"/>
  <c r="O11" i="21"/>
  <c r="D5" i="21" s="1"/>
  <c r="O8" i="21"/>
  <c r="D4" i="21" s="1"/>
  <c r="BI208" i="9"/>
  <c r="BI177" i="9"/>
  <c r="BI174" i="9"/>
  <c r="BI178" i="9"/>
  <c r="BI176" i="9"/>
  <c r="BI170" i="9"/>
  <c r="AJ52" i="9"/>
  <c r="AJ58" i="9"/>
  <c r="AJ59" i="9" s="1"/>
  <c r="AE533" i="8"/>
  <c r="AH393" i="8"/>
  <c r="AH399" i="8"/>
  <c r="AH392" i="8"/>
  <c r="AI58" i="9"/>
  <c r="AI59" i="9" s="1"/>
  <c r="AI52" i="9"/>
  <c r="BL56" i="9"/>
  <c r="N27" i="12"/>
  <c r="AG58" i="9"/>
  <c r="AG59" i="9" s="1"/>
  <c r="AG52" i="9"/>
  <c r="M27" i="12"/>
  <c r="BK56" i="9"/>
  <c r="AF392" i="8"/>
  <c r="AF399" i="8"/>
  <c r="AF393" i="8"/>
  <c r="W401" i="8"/>
  <c r="W402" i="8" s="1"/>
  <c r="W400" i="8"/>
  <c r="O20" i="17"/>
  <c r="L20" i="17"/>
  <c r="AT473" i="8"/>
  <c r="AT482" i="8"/>
  <c r="AT477" i="8"/>
  <c r="AT471" i="8"/>
  <c r="BL133" i="8"/>
  <c r="BM133" i="8"/>
  <c r="BN499" i="8"/>
  <c r="BN500" i="8"/>
  <c r="BN503" i="8"/>
  <c r="AI501" i="8"/>
  <c r="AM501" i="8"/>
  <c r="AI504" i="8"/>
  <c r="AM504" i="8"/>
  <c r="AI505" i="8"/>
  <c r="AM506" i="8" s="1"/>
  <c r="AF162" i="8"/>
  <c r="AF179" i="8"/>
  <c r="AF147" i="8" s="1"/>
  <c r="AF148" i="8" s="1"/>
  <c r="AF192" i="8"/>
  <c r="AF199" i="8" s="1"/>
  <c r="AF200" i="8" s="1"/>
  <c r="AF187" i="8"/>
  <c r="T58" i="9"/>
  <c r="T59" i="9" s="1"/>
  <c r="K76" i="12"/>
  <c r="K90" i="12"/>
  <c r="Q117" i="8"/>
  <c r="U117" i="8"/>
  <c r="BH576" i="8"/>
  <c r="BH675" i="8"/>
  <c r="BH117" i="8"/>
  <c r="BH119" i="8"/>
  <c r="I47" i="12"/>
  <c r="BH116" i="8"/>
  <c r="BG23" i="9"/>
  <c r="BG24" i="9" s="1"/>
  <c r="BG18" i="9"/>
  <c r="BG54" i="9" s="1"/>
  <c r="BG55" i="9"/>
  <c r="BG576" i="8"/>
  <c r="BG675" i="8"/>
  <c r="BG116" i="8"/>
  <c r="BG119" i="8"/>
  <c r="BF23" i="9"/>
  <c r="BF24" i="9" s="1"/>
  <c r="H47" i="12"/>
  <c r="BG117" i="8"/>
  <c r="BF18" i="9"/>
  <c r="BF54" i="9" s="1"/>
  <c r="BF55" i="9"/>
  <c r="N117" i="8"/>
  <c r="J117" i="8"/>
  <c r="BF576" i="8"/>
  <c r="BF675" i="8"/>
  <c r="BF117" i="8"/>
  <c r="G47" i="12"/>
  <c r="G92" i="12" s="1"/>
  <c r="BF116" i="8"/>
  <c r="BF119" i="8"/>
  <c r="BE18" i="9"/>
  <c r="BE54" i="9" s="1"/>
  <c r="BE55" i="9"/>
  <c r="BE675" i="8"/>
  <c r="BE576" i="8"/>
  <c r="BE119" i="8"/>
  <c r="C47" i="12"/>
  <c r="BE116" i="8"/>
  <c r="W236" i="8"/>
  <c r="AA236" i="8"/>
  <c r="W239" i="8"/>
  <c r="W240" i="8"/>
  <c r="W243" i="8"/>
  <c r="AA239" i="8"/>
  <c r="O29" i="17"/>
  <c r="E30" i="17"/>
  <c r="L29" i="17"/>
  <c r="BM642" i="8"/>
  <c r="BL643" i="8"/>
  <c r="D183" i="12" s="1"/>
  <c r="D176" i="12" s="1"/>
  <c r="BL642" i="8"/>
  <c r="BO133" i="8"/>
  <c r="BN133" i="8"/>
  <c r="O27" i="12"/>
  <c r="BM56" i="9"/>
  <c r="AF314" i="8"/>
  <c r="AF308" i="8"/>
  <c r="AF307" i="8"/>
  <c r="O117" i="8"/>
  <c r="K117" i="8"/>
  <c r="G117" i="8"/>
  <c r="AK239" i="8"/>
  <c r="U359" i="8"/>
  <c r="V359" i="8" s="1"/>
  <c r="AG316" i="8"/>
  <c r="AG315" i="8"/>
  <c r="AK315" i="8"/>
  <c r="AJ399" i="8"/>
  <c r="AJ393" i="8"/>
  <c r="AK243" i="8"/>
  <c r="AK240" i="8"/>
  <c r="AO241" i="8" s="1"/>
  <c r="AO239" i="8"/>
  <c r="BK235" i="8"/>
  <c r="BL236" i="8" s="1"/>
  <c r="BK238" i="8"/>
  <c r="BL234" i="8"/>
  <c r="K580" i="8"/>
  <c r="BS174" i="8"/>
  <c r="AE504" i="8"/>
  <c r="AE505" i="8"/>
  <c r="BL499" i="8"/>
  <c r="BK503" i="8"/>
  <c r="BK497" i="8"/>
  <c r="BK507" i="8" s="1"/>
  <c r="BK500" i="8"/>
  <c r="AA501" i="8"/>
  <c r="W501" i="8"/>
  <c r="AG239" i="8"/>
  <c r="AG243" i="8"/>
  <c r="AG240" i="8"/>
  <c r="BL168" i="8"/>
  <c r="BK161" i="8"/>
  <c r="BK186" i="8"/>
  <c r="AB187" i="8"/>
  <c r="X187" i="8"/>
  <c r="X281" i="8"/>
  <c r="X280" i="8"/>
  <c r="AB280" i="8"/>
  <c r="BM574" i="8"/>
  <c r="BM576" i="8"/>
  <c r="BM575" i="8"/>
  <c r="BM581" i="8" s="1"/>
  <c r="AC210" i="9"/>
  <c r="AC212" i="9"/>
  <c r="AC215" i="9" s="1"/>
  <c r="BL92" i="8"/>
  <c r="AD63" i="9"/>
  <c r="AD214" i="9"/>
  <c r="BL98" i="8"/>
  <c r="BL106" i="8"/>
  <c r="BL107" i="8" s="1"/>
  <c r="BJ218" i="9"/>
  <c r="AB217" i="9"/>
  <c r="AB219" i="9"/>
  <c r="AB215" i="9"/>
  <c r="BJ172" i="9"/>
  <c r="L17" i="12"/>
  <c r="BJ171" i="9"/>
  <c r="Z117" i="8"/>
  <c r="V117" i="8"/>
  <c r="V119" i="8"/>
  <c r="V122" i="8"/>
  <c r="BN296" i="8"/>
  <c r="AJ306" i="8"/>
  <c r="AJ303" i="8"/>
  <c r="AJ302" i="8"/>
  <c r="AH354" i="8"/>
  <c r="AH355" i="8" s="1"/>
  <c r="AH5" i="8"/>
  <c r="BM5" i="8" s="1"/>
  <c r="AI342" i="8"/>
  <c r="AH344" i="8"/>
  <c r="AH6" i="8" s="1"/>
  <c r="Z642" i="8"/>
  <c r="V642" i="8"/>
  <c r="V643" i="8"/>
  <c r="V649" i="8" s="1"/>
  <c r="BJ641" i="8"/>
  <c r="BJ635" i="8"/>
  <c r="BJ634" i="8"/>
  <c r="BK634" i="8"/>
  <c r="BJ567" i="8"/>
  <c r="BJ566" i="8"/>
  <c r="BK566" i="8"/>
  <c r="BJ573" i="8"/>
  <c r="V574" i="8"/>
  <c r="Z574" i="8"/>
  <c r="V575" i="8"/>
  <c r="V576" i="8"/>
  <c r="AA340" i="8"/>
  <c r="AA339" i="8" s="1"/>
  <c r="Z339" i="8"/>
  <c r="V675" i="8"/>
  <c r="BJ314" i="8"/>
  <c r="V315" i="8"/>
  <c r="V316" i="8"/>
  <c r="Y306" i="8"/>
  <c r="Y291" i="8"/>
  <c r="Y288" i="8"/>
  <c r="Y289" i="8" s="1"/>
  <c r="Z290" i="8"/>
  <c r="AA292" i="8"/>
  <c r="AA290" i="8" s="1"/>
  <c r="X289" i="8"/>
  <c r="AW291" i="8"/>
  <c r="AW306" i="8"/>
  <c r="AW288" i="8"/>
  <c r="AW289" i="8" s="1"/>
  <c r="BJ393" i="8"/>
  <c r="BJ392" i="8"/>
  <c r="U675" i="8"/>
  <c r="BJ399" i="8"/>
  <c r="U400" i="8"/>
  <c r="U401" i="8"/>
  <c r="U402" i="8" s="1"/>
  <c r="S322" i="8"/>
  <c r="S317" i="8"/>
  <c r="T322" i="8"/>
  <c r="T317" i="8"/>
  <c r="P649" i="8"/>
  <c r="T648" i="8"/>
  <c r="P648" i="8"/>
  <c r="BK302" i="8"/>
  <c r="BK303" i="8"/>
  <c r="W308" i="8"/>
  <c r="W314" i="8"/>
  <c r="W307" i="8"/>
  <c r="X576" i="8"/>
  <c r="T581" i="8"/>
  <c r="K8" i="12"/>
  <c r="K4" i="12"/>
  <c r="K11" i="12"/>
  <c r="AO384" i="8"/>
  <c r="AO429" i="8"/>
  <c r="AS368" i="8"/>
  <c r="AW364" i="8"/>
  <c r="AJ245" i="8"/>
  <c r="AF422" i="8"/>
  <c r="AJ422" i="8"/>
  <c r="AW302" i="8"/>
  <c r="AW303" i="8"/>
  <c r="AV19" i="9"/>
  <c r="AV485" i="8"/>
  <c r="AV490" i="8" s="1"/>
  <c r="AW560" i="8"/>
  <c r="AU289" i="8"/>
  <c r="AE168" i="9"/>
  <c r="AD168" i="9"/>
  <c r="AB168" i="9"/>
  <c r="AG236" i="8"/>
  <c r="AK236" i="8"/>
  <c r="AH107" i="8"/>
  <c r="BM106" i="8"/>
  <c r="BM107" i="8" s="1"/>
  <c r="S241" i="8"/>
  <c r="BR37" i="10"/>
  <c r="BR43" i="10" s="1"/>
  <c r="BR35" i="10"/>
  <c r="BR34" i="10"/>
  <c r="BS34" i="10" s="1"/>
  <c r="BS40" i="10" s="1"/>
  <c r="BH362" i="8"/>
  <c r="BH359" i="8"/>
  <c r="BJ359" i="8"/>
  <c r="BJ362" i="8"/>
  <c r="BG359" i="8"/>
  <c r="BG362" i="8"/>
  <c r="BR42" i="10"/>
  <c r="BS36" i="10"/>
  <c r="BS42" i="10" s="1"/>
  <c r="AH53" i="10"/>
  <c r="BK53" i="10" s="1"/>
  <c r="BK50" i="10"/>
  <c r="K19" i="10"/>
  <c r="J20" i="10"/>
  <c r="AF600" i="8"/>
  <c r="AF598" i="8"/>
  <c r="BK49" i="10"/>
  <c r="AI49" i="10"/>
  <c r="AI50" i="10" s="1"/>
  <c r="AI53" i="10" s="1"/>
  <c r="AI597" i="8" s="1"/>
  <c r="AH52" i="10"/>
  <c r="BK52" i="10" s="1"/>
  <c r="AH597" i="8"/>
  <c r="AG600" i="8"/>
  <c r="AG601" i="8" s="1"/>
  <c r="AG598" i="8"/>
  <c r="BL600" i="8"/>
  <c r="AC601" i="8"/>
  <c r="AO4" i="16"/>
  <c r="AO131" i="16"/>
  <c r="W178" i="16"/>
  <c r="W6" i="16"/>
  <c r="W195" i="16"/>
  <c r="AO135" i="16"/>
  <c r="AA4" i="16"/>
  <c r="AP130" i="16"/>
  <c r="AA135" i="16"/>
  <c r="AA131" i="16"/>
  <c r="AQ132" i="16"/>
  <c r="AP133" i="16"/>
  <c r="X178" i="16"/>
  <c r="X6" i="16"/>
  <c r="AB6" i="16"/>
  <c r="AB178" i="16"/>
  <c r="Z6" i="16"/>
  <c r="Z178" i="16"/>
  <c r="AD178" i="16"/>
  <c r="AD6" i="16"/>
  <c r="Y6" i="16"/>
  <c r="Y178" i="16"/>
  <c r="AC6" i="16"/>
  <c r="AC178" i="16"/>
  <c r="AS186" i="16"/>
  <c r="AT186" i="16" s="1"/>
  <c r="BL598" i="8"/>
  <c r="AS470" i="8"/>
  <c r="AX79" i="9"/>
  <c r="AX287" i="9"/>
  <c r="AX288" i="9" s="1"/>
  <c r="AX289" i="9" s="1"/>
  <c r="AX292" i="9" s="1"/>
  <c r="AX280" i="9" s="1"/>
  <c r="AB319" i="9"/>
  <c r="AA317" i="9"/>
  <c r="AA316" i="9" s="1"/>
  <c r="Q271" i="9"/>
  <c r="Q228" i="9"/>
  <c r="Q227" i="9" s="1"/>
  <c r="Q234" i="9"/>
  <c r="AH52" i="9"/>
  <c r="AH58" i="9"/>
  <c r="AH59" i="9" s="1"/>
  <c r="AF52" i="9"/>
  <c r="AF58" i="9"/>
  <c r="AI168" i="9"/>
  <c r="AL168" i="9"/>
  <c r="AK168" i="9"/>
  <c r="AJ168" i="9"/>
  <c r="F72" i="9"/>
  <c r="F62" i="9"/>
  <c r="BH56" i="9"/>
  <c r="BH58" i="9" s="1"/>
  <c r="J27" i="12"/>
  <c r="BI56" i="9"/>
  <c r="K27" i="12"/>
  <c r="X52" i="9"/>
  <c r="G153" i="12"/>
  <c r="AO328" i="9"/>
  <c r="AO331" i="9"/>
  <c r="AO329" i="9" s="1"/>
  <c r="AP330" i="9"/>
  <c r="V217" i="9"/>
  <c r="V219" i="9"/>
  <c r="V215" i="9"/>
  <c r="AD340" i="9"/>
  <c r="AC342" i="9"/>
  <c r="BS332" i="9"/>
  <c r="BI307" i="9"/>
  <c r="BI308" i="9" s="1"/>
  <c r="BI310" i="9" s="1"/>
  <c r="BI300" i="9"/>
  <c r="BI323" i="9"/>
  <c r="AA323" i="9"/>
  <c r="Z322" i="9"/>
  <c r="Y347" i="9"/>
  <c r="Y343" i="9"/>
  <c r="Y344" i="9" s="1"/>
  <c r="X343" i="9"/>
  <c r="X347" i="9"/>
  <c r="R343" i="9"/>
  <c r="R347" i="9"/>
  <c r="BG341" i="9"/>
  <c r="BL96" i="9"/>
  <c r="BL222" i="9"/>
  <c r="BL205" i="9"/>
  <c r="BL276" i="9"/>
  <c r="BM2" i="9"/>
  <c r="BM238" i="9" s="1"/>
  <c r="BL269" i="9"/>
  <c r="AN329" i="9"/>
  <c r="BL63" i="9"/>
  <c r="BN94" i="8"/>
  <c r="BL214" i="9"/>
  <c r="AL212" i="9"/>
  <c r="AL215" i="9" s="1"/>
  <c r="AL210" i="9"/>
  <c r="AJ217" i="9"/>
  <c r="AJ219" i="9"/>
  <c r="BL257" i="8"/>
  <c r="BK257" i="8"/>
  <c r="AD280" i="8"/>
  <c r="BK279" i="8"/>
  <c r="BK281" i="8" s="1"/>
  <c r="Z280" i="8"/>
  <c r="Z281" i="8"/>
  <c r="N76" i="12"/>
  <c r="N90" i="12"/>
  <c r="N49" i="12"/>
  <c r="BL171" i="9"/>
  <c r="BL172" i="9"/>
  <c r="N17" i="12"/>
  <c r="Y219" i="9"/>
  <c r="Y217" i="9"/>
  <c r="Z210" i="9"/>
  <c r="Z212" i="9"/>
  <c r="Y401" i="8"/>
  <c r="Y400" i="8"/>
  <c r="N15" i="12"/>
  <c r="N19" i="12"/>
  <c r="N22" i="12"/>
  <c r="P4" i="21"/>
  <c r="N53" i="12"/>
  <c r="BM210" i="9"/>
  <c r="BM215" i="9"/>
  <c r="AL395" i="8"/>
  <c r="AM397" i="8"/>
  <c r="AK442" i="8"/>
  <c r="AL442" i="8" s="1"/>
  <c r="AN569" i="8"/>
  <c r="AO571" i="8"/>
  <c r="V236" i="8"/>
  <c r="Z236" i="8"/>
  <c r="V243" i="8"/>
  <c r="Z239" i="8"/>
  <c r="V240" i="8"/>
  <c r="S244" i="8"/>
  <c r="S245" i="8"/>
  <c r="S246" i="8" s="1"/>
  <c r="AN58" i="9"/>
  <c r="AN52" i="9"/>
  <c r="AO52" i="9"/>
  <c r="AO58" i="9"/>
  <c r="N48" i="12"/>
  <c r="M76" i="12"/>
  <c r="M90" i="12"/>
  <c r="M49" i="12"/>
  <c r="AN506" i="8"/>
  <c r="L72" i="9"/>
  <c r="L62" i="9"/>
  <c r="E72" i="9"/>
  <c r="E62" i="9"/>
  <c r="N72" i="9"/>
  <c r="N62" i="9"/>
  <c r="AP210" i="9"/>
  <c r="AP216" i="9"/>
  <c r="AP217" i="9" s="1"/>
  <c r="AP215" i="9"/>
  <c r="AM236" i="8"/>
  <c r="AI236" i="8"/>
  <c r="BO234" i="8"/>
  <c r="BN234" i="8"/>
  <c r="BN238" i="8"/>
  <c r="AI239" i="8"/>
  <c r="AM239" i="8"/>
  <c r="AI240" i="8"/>
  <c r="AI243" i="8"/>
  <c r="BM235" i="8"/>
  <c r="BM234" i="8"/>
  <c r="BM238" i="8"/>
  <c r="AE239" i="8"/>
  <c r="AE240" i="8"/>
  <c r="AE243" i="8"/>
  <c r="AM161" i="8"/>
  <c r="AM163" i="8" s="1"/>
  <c r="BL272" i="8"/>
  <c r="BL273" i="8"/>
  <c r="AC280" i="8"/>
  <c r="BL279" i="8"/>
  <c r="AC281" i="8"/>
  <c r="AC282" i="8" s="1"/>
  <c r="AC400" i="8"/>
  <c r="AC401" i="8"/>
  <c r="AG438" i="8"/>
  <c r="AG444" i="8"/>
  <c r="AG446" i="8" s="1"/>
  <c r="AG433" i="8"/>
  <c r="AG434" i="8"/>
  <c r="AG392" i="8"/>
  <c r="AG399" i="8"/>
  <c r="AG393" i="8"/>
  <c r="BN272" i="8"/>
  <c r="BM272" i="8"/>
  <c r="BM273" i="8"/>
  <c r="AG280" i="8"/>
  <c r="BM279" i="8"/>
  <c r="AK280" i="8"/>
  <c r="AG281" i="8"/>
  <c r="BM442" i="8"/>
  <c r="BM441" i="8"/>
  <c r="AH441" i="8"/>
  <c r="AH442" i="8"/>
  <c r="AE392" i="8"/>
  <c r="AI392" i="8"/>
  <c r="BM391" i="8"/>
  <c r="AE393" i="8"/>
  <c r="AE399" i="8"/>
  <c r="BM388" i="8"/>
  <c r="BM389" i="8"/>
  <c r="AE436" i="8"/>
  <c r="AI433" i="8"/>
  <c r="BM432" i="8"/>
  <c r="AE433" i="8"/>
  <c r="AE434" i="8"/>
  <c r="AQ413" i="8"/>
  <c r="AM431" i="8"/>
  <c r="AM414" i="8"/>
  <c r="BP264" i="8"/>
  <c r="BP261" i="8"/>
  <c r="BP281" i="8"/>
  <c r="BP273" i="8"/>
  <c r="BP266" i="8"/>
  <c r="BP269" i="8"/>
  <c r="BP365" i="8"/>
  <c r="AQ429" i="8"/>
  <c r="AQ384" i="8"/>
  <c r="AQ369" i="8"/>
  <c r="BJ12" i="9"/>
  <c r="L21" i="12"/>
  <c r="L22" i="12" s="1"/>
  <c r="BJ56" i="9"/>
  <c r="L27" i="12"/>
  <c r="Z501" i="8"/>
  <c r="V501" i="8"/>
  <c r="Y501" i="8"/>
  <c r="U501" i="8"/>
  <c r="BJ501" i="8"/>
  <c r="T501" i="8"/>
  <c r="X501" i="8"/>
  <c r="AK320" i="8"/>
  <c r="AS303" i="8"/>
  <c r="AS302" i="8"/>
  <c r="AS308" i="8"/>
  <c r="AS307" i="8"/>
  <c r="AS314" i="8"/>
  <c r="AO315" i="8"/>
  <c r="AO316" i="8"/>
  <c r="X690" i="8"/>
  <c r="X695" i="8"/>
  <c r="Z694" i="8"/>
  <c r="Y695" i="8"/>
  <c r="W701" i="8"/>
  <c r="W703" i="8" s="1"/>
  <c r="W685" i="8"/>
  <c r="AI347" i="8"/>
  <c r="BM347" i="8"/>
  <c r="BM348" i="8" s="1"/>
  <c r="AE344" i="8"/>
  <c r="X315" i="8"/>
  <c r="X316" i="8"/>
  <c r="BP329" i="8"/>
  <c r="AR329" i="8"/>
  <c r="AS329" i="8" s="1"/>
  <c r="AT329" i="8" s="1"/>
  <c r="AU329" i="8" s="1"/>
  <c r="AM334" i="8"/>
  <c r="AM333" i="8" s="1"/>
  <c r="AM351" i="8" s="1"/>
  <c r="AI331" i="8"/>
  <c r="AJ328" i="8"/>
  <c r="BN328" i="8"/>
  <c r="BN334" i="8"/>
  <c r="BN333" i="8" s="1"/>
  <c r="BN337" i="8" s="1"/>
  <c r="BM331" i="8"/>
  <c r="BP330" i="8"/>
  <c r="AR330" i="8"/>
  <c r="AS330" i="8" s="1"/>
  <c r="AT330" i="8" s="1"/>
  <c r="AU330" i="8" s="1"/>
  <c r="BL530" i="8"/>
  <c r="AT326" i="8"/>
  <c r="W444" i="8"/>
  <c r="W438" i="8"/>
  <c r="AC444" i="8"/>
  <c r="AC446" i="8" s="1"/>
  <c r="AC438" i="8"/>
  <c r="K19" i="12"/>
  <c r="L15" i="12"/>
  <c r="K49" i="12"/>
  <c r="M4" i="21"/>
  <c r="K22" i="12"/>
  <c r="K15" i="12"/>
  <c r="K53" i="12"/>
  <c r="L25" i="17"/>
  <c r="O25" i="17"/>
  <c r="BL240" i="8"/>
  <c r="BL243" i="8"/>
  <c r="L56" i="12"/>
  <c r="L58" i="12" s="1"/>
  <c r="D181" i="12"/>
  <c r="D174" i="12" s="1"/>
  <c r="AD245" i="8"/>
  <c r="AH241" i="8"/>
  <c r="AH245" i="8"/>
  <c r="AH244" i="8"/>
  <c r="M8" i="12"/>
  <c r="M4" i="12"/>
  <c r="BK174" i="9"/>
  <c r="BK208" i="9"/>
  <c r="BK170" i="9"/>
  <c r="BK168" i="9" s="1"/>
  <c r="M80" i="12" s="1"/>
  <c r="BK177" i="9"/>
  <c r="BK176" i="9"/>
  <c r="BK178" i="9"/>
  <c r="BL208" i="9"/>
  <c r="BL174" i="9"/>
  <c r="BL178" i="9"/>
  <c r="BL176" i="9"/>
  <c r="BL177" i="9"/>
  <c r="BL170" i="9"/>
  <c r="N4" i="12"/>
  <c r="N11" i="12"/>
  <c r="N8" i="12"/>
  <c r="E182" i="12"/>
  <c r="E175" i="12" s="1"/>
  <c r="BM505" i="8"/>
  <c r="M60" i="12"/>
  <c r="M62" i="12" s="1"/>
  <c r="AK506" i="8"/>
  <c r="BM418" i="8"/>
  <c r="BL418" i="8"/>
  <c r="AE420" i="8"/>
  <c r="AA436" i="8"/>
  <c r="BL419" i="8"/>
  <c r="AA420" i="8"/>
  <c r="AA421" i="8"/>
  <c r="BL391" i="8"/>
  <c r="AA392" i="8"/>
  <c r="AA399" i="8"/>
  <c r="AA393" i="8"/>
  <c r="BL375" i="8"/>
  <c r="BL376" i="8"/>
  <c r="AA377" i="8"/>
  <c r="AE377" i="8"/>
  <c r="AD506" i="8"/>
  <c r="Y344" i="8"/>
  <c r="Y6" i="8" s="1"/>
  <c r="Y5" i="8"/>
  <c r="Y354" i="8"/>
  <c r="Y355" i="8" s="1"/>
  <c r="Z342" i="8"/>
  <c r="X6" i="8"/>
  <c r="X355" i="8"/>
  <c r="AG422" i="8"/>
  <c r="BL4" i="9"/>
  <c r="BK4" i="9"/>
  <c r="X693" i="8"/>
  <c r="Y692" i="8"/>
  <c r="AT637" i="8"/>
  <c r="AU637" i="8" s="1"/>
  <c r="AQ607" i="8"/>
  <c r="BP461" i="8"/>
  <c r="BP462" i="8" s="1"/>
  <c r="BJ336" i="9"/>
  <c r="AD337" i="9"/>
  <c r="BK336" i="9"/>
  <c r="AE337" i="9"/>
  <c r="AQ308" i="9"/>
  <c r="AQ310" i="9" s="1"/>
  <c r="AJ337" i="9"/>
  <c r="AJ335" i="9" s="1"/>
  <c r="AK336" i="9"/>
  <c r="AJ334" i="9"/>
  <c r="AJ321" i="9" s="1"/>
  <c r="BS214" i="8"/>
  <c r="BS74" i="8" s="1"/>
  <c r="Q24" i="12"/>
  <c r="AP181" i="9"/>
  <c r="AO180" i="9"/>
  <c r="AR473" i="8"/>
  <c r="AV474" i="8" s="1"/>
  <c r="AR471" i="8"/>
  <c r="AR482" i="8"/>
  <c r="AR477" i="8"/>
  <c r="AV478" i="8" s="1"/>
  <c r="AR455" i="8"/>
  <c r="AR458" i="8" s="1"/>
  <c r="AR459" i="8" s="1"/>
  <c r="AT353" i="9"/>
  <c r="AU353" i="9" s="1"/>
  <c r="AR356" i="9"/>
  <c r="AR357" i="9" s="1"/>
  <c r="AO477" i="8"/>
  <c r="AO471" i="8"/>
  <c r="BO470" i="8"/>
  <c r="AO473" i="8"/>
  <c r="AO455" i="8"/>
  <c r="AO458" i="8" s="1"/>
  <c r="AO495" i="8"/>
  <c r="AO482" i="8"/>
  <c r="AQ208" i="9"/>
  <c r="BP109" i="9"/>
  <c r="O48" i="12"/>
  <c r="O51" i="12"/>
  <c r="BO119" i="8"/>
  <c r="AQ214" i="9"/>
  <c r="BM69" i="9"/>
  <c r="BO93" i="8"/>
  <c r="BP110" i="8"/>
  <c r="BT262" i="8"/>
  <c r="BU483" i="8"/>
  <c r="AQ505" i="8"/>
  <c r="AQ506" i="8" s="1"/>
  <c r="AQ504" i="8"/>
  <c r="H91" i="12"/>
  <c r="H71" i="12"/>
  <c r="H93" i="12" s="1"/>
  <c r="I69" i="12"/>
  <c r="BG347" i="9" l="1"/>
  <c r="V185" i="9"/>
  <c r="BQ139" i="9"/>
  <c r="BR40" i="10"/>
  <c r="AM297" i="8"/>
  <c r="AJ149" i="8"/>
  <c r="AJ186" i="8" s="1"/>
  <c r="AI299" i="8"/>
  <c r="BN297" i="8"/>
  <c r="BJ67" i="8"/>
  <c r="BJ115" i="8"/>
  <c r="BK67" i="8"/>
  <c r="BK432" i="8"/>
  <c r="AD433" i="8"/>
  <c r="BK94" i="8"/>
  <c r="BI214" i="9"/>
  <c r="BI210" i="9" s="1"/>
  <c r="BI63" i="9"/>
  <c r="U42" i="9"/>
  <c r="U234" i="9" s="1"/>
  <c r="Y38" i="9"/>
  <c r="AE38" i="9"/>
  <c r="O74" i="9"/>
  <c r="O80" i="9" s="1"/>
  <c r="AA59" i="9"/>
  <c r="AA72" i="9" s="1"/>
  <c r="AA228" i="9"/>
  <c r="AA271" i="9"/>
  <c r="AA234" i="9"/>
  <c r="O272" i="9"/>
  <c r="P43" i="9"/>
  <c r="T243" i="8"/>
  <c r="T240" i="8"/>
  <c r="T241" i="8" s="1"/>
  <c r="AT474" i="8"/>
  <c r="BC473" i="8"/>
  <c r="BJ130" i="8"/>
  <c r="BP285" i="8"/>
  <c r="BP286" i="8" s="1"/>
  <c r="BC285" i="8"/>
  <c r="Z399" i="8"/>
  <c r="BK399" i="8" s="1"/>
  <c r="Z393" i="8"/>
  <c r="Z392" i="8"/>
  <c r="Z433" i="8"/>
  <c r="Z434" i="8"/>
  <c r="AG512" i="8"/>
  <c r="AG511" i="8"/>
  <c r="AG529" i="8"/>
  <c r="AH511" i="8"/>
  <c r="AJ46" i="10"/>
  <c r="AJ47" i="10" s="1"/>
  <c r="AJ510" i="8" s="1"/>
  <c r="AI509" i="8"/>
  <c r="AH530" i="8"/>
  <c r="AH532" i="8"/>
  <c r="AH533" i="8" s="1"/>
  <c r="AI511" i="8"/>
  <c r="AI529" i="8"/>
  <c r="AI512" i="8"/>
  <c r="AL307" i="8"/>
  <c r="M580" i="8"/>
  <c r="Q580" i="8"/>
  <c r="BP147" i="8"/>
  <c r="AU148" i="8"/>
  <c r="AL150" i="8"/>
  <c r="AW161" i="9"/>
  <c r="AX141" i="9"/>
  <c r="AN150" i="8"/>
  <c r="AJ150" i="8"/>
  <c r="AO150" i="8"/>
  <c r="AK150" i="8"/>
  <c r="AJ148" i="8"/>
  <c r="AN148" i="8"/>
  <c r="M72" i="9"/>
  <c r="M62" i="9"/>
  <c r="BH581" i="8"/>
  <c r="G72" i="9"/>
  <c r="G62" i="9"/>
  <c r="BS33" i="10"/>
  <c r="BS39" i="10" s="1"/>
  <c r="AU490" i="8"/>
  <c r="AU487" i="8"/>
  <c r="AU486" i="8"/>
  <c r="BS35" i="10"/>
  <c r="BS41" i="10" s="1"/>
  <c r="BR41" i="10"/>
  <c r="U59" i="9"/>
  <c r="BR110" i="9"/>
  <c r="BQ79" i="9"/>
  <c r="BP79" i="9"/>
  <c r="BO156" i="9"/>
  <c r="C9" i="11" s="1"/>
  <c r="BO287" i="9"/>
  <c r="BO288" i="9" s="1"/>
  <c r="BO79" i="9"/>
  <c r="R274" i="9"/>
  <c r="Q274" i="9"/>
  <c r="O274" i="9"/>
  <c r="P274" i="9"/>
  <c r="H274" i="9"/>
  <c r="G274" i="9"/>
  <c r="I274" i="9"/>
  <c r="J274" i="9"/>
  <c r="AX350" i="9"/>
  <c r="BO350" i="9" s="1"/>
  <c r="BO348" i="9"/>
  <c r="BO135" i="9"/>
  <c r="AX162" i="9"/>
  <c r="AX64" i="9" s="1"/>
  <c r="BL187" i="8"/>
  <c r="AW471" i="8"/>
  <c r="AU414" i="8"/>
  <c r="D271" i="9"/>
  <c r="D228" i="9"/>
  <c r="D227" i="9" s="1"/>
  <c r="BQ470" i="8"/>
  <c r="BQ482" i="8" s="1"/>
  <c r="AW482" i="8"/>
  <c r="AW473" i="8"/>
  <c r="BQ473" i="8" s="1"/>
  <c r="AW477" i="8"/>
  <c r="AP586" i="8"/>
  <c r="BO586" i="8" s="1"/>
  <c r="AQ588" i="8"/>
  <c r="BO588" i="8"/>
  <c r="BO592" i="8" s="1"/>
  <c r="BO590" i="8" s="1"/>
  <c r="BQ462" i="8"/>
  <c r="BL179" i="8"/>
  <c r="AM154" i="9"/>
  <c r="O42" i="9"/>
  <c r="S38" i="9"/>
  <c r="BG37" i="9"/>
  <c r="O38" i="9"/>
  <c r="G38" i="9"/>
  <c r="G42" i="9"/>
  <c r="BE37" i="9"/>
  <c r="K38" i="9"/>
  <c r="T68" i="8"/>
  <c r="X68" i="8"/>
  <c r="T675" i="8"/>
  <c r="T23" i="9"/>
  <c r="T24" i="9" s="1"/>
  <c r="T86" i="8"/>
  <c r="BJ86" i="8" s="1"/>
  <c r="T121" i="8"/>
  <c r="T122" i="8" s="1"/>
  <c r="T116" i="8"/>
  <c r="T55" i="9"/>
  <c r="T53" i="9" s="1"/>
  <c r="T52" i="9" s="1"/>
  <c r="BH17" i="9"/>
  <c r="AS587" i="8"/>
  <c r="AT587" i="8" s="1"/>
  <c r="BM504" i="8"/>
  <c r="BL505" i="8"/>
  <c r="L60" i="12"/>
  <c r="L62" i="12" s="1"/>
  <c r="AL506" i="8"/>
  <c r="AH506" i="8"/>
  <c r="AC506" i="8"/>
  <c r="AG506" i="8"/>
  <c r="AL244" i="8"/>
  <c r="AP244" i="8"/>
  <c r="AH314" i="8"/>
  <c r="AH307" i="8"/>
  <c r="AH308" i="8"/>
  <c r="AI179" i="8"/>
  <c r="AI147" i="8" s="1"/>
  <c r="AI162" i="8"/>
  <c r="AI187" i="8"/>
  <c r="AI192" i="8"/>
  <c r="AI199" i="8" s="1"/>
  <c r="X438" i="8"/>
  <c r="X444" i="8"/>
  <c r="X446" i="8" s="1"/>
  <c r="BK433" i="8"/>
  <c r="BK434" i="8"/>
  <c r="BO157" i="8"/>
  <c r="BO152" i="8"/>
  <c r="AO153" i="8"/>
  <c r="AO154" i="8"/>
  <c r="BR382" i="8"/>
  <c r="BS382" i="8" s="1"/>
  <c r="BT382" i="8" s="1"/>
  <c r="BQ383" i="8"/>
  <c r="BP427" i="8"/>
  <c r="BP428" i="8" s="1"/>
  <c r="AW427" i="8"/>
  <c r="AB244" i="8"/>
  <c r="BM186" i="8"/>
  <c r="BM187" i="8" s="1"/>
  <c r="BN167" i="8"/>
  <c r="BH317" i="8"/>
  <c r="BM168" i="8"/>
  <c r="BM161" i="8"/>
  <c r="D182" i="12"/>
  <c r="D175" i="12" s="1"/>
  <c r="D173" i="12" s="1"/>
  <c r="D180" i="12" s="1"/>
  <c r="BM501" i="8"/>
  <c r="O15" i="17"/>
  <c r="L15" i="17"/>
  <c r="BL295" i="8"/>
  <c r="BL296" i="8"/>
  <c r="BL301" i="8"/>
  <c r="AA302" i="8"/>
  <c r="AA303" i="8"/>
  <c r="AG187" i="8"/>
  <c r="AG192" i="8"/>
  <c r="AG199" i="8" s="1"/>
  <c r="AG200" i="8" s="1"/>
  <c r="AG179" i="8"/>
  <c r="AG147" i="8" s="1"/>
  <c r="AG148" i="8" s="1"/>
  <c r="AG162" i="8"/>
  <c r="AO168" i="8"/>
  <c r="AK161" i="8"/>
  <c r="AK163" i="8" s="1"/>
  <c r="AL185" i="9"/>
  <c r="AO154" i="9"/>
  <c r="AK185" i="9"/>
  <c r="AN154" i="9"/>
  <c r="BM295" i="8"/>
  <c r="BM296" i="8"/>
  <c r="BN295" i="8"/>
  <c r="AV327" i="8"/>
  <c r="AW327" i="8" s="1"/>
  <c r="AX327" i="8" s="1"/>
  <c r="BQ327" i="8"/>
  <c r="BR327" i="8" s="1"/>
  <c r="BS327" i="8" s="1"/>
  <c r="BT327" i="8" s="1"/>
  <c r="BU327" i="8" s="1"/>
  <c r="S580" i="8"/>
  <c r="O580" i="8"/>
  <c r="AM185" i="9"/>
  <c r="AP154" i="9"/>
  <c r="AW368" i="8"/>
  <c r="BQ364" i="8"/>
  <c r="BR364" i="8" s="1"/>
  <c r="AO185" i="9"/>
  <c r="AV329" i="8"/>
  <c r="AW329" i="8" s="1"/>
  <c r="AX329" i="8" s="1"/>
  <c r="BQ329" i="8"/>
  <c r="BR329" i="8" s="1"/>
  <c r="BS329" i="8" s="1"/>
  <c r="BT329" i="8" s="1"/>
  <c r="BU329" i="8" s="1"/>
  <c r="AV330" i="8"/>
  <c r="AW330" i="8" s="1"/>
  <c r="AX330" i="8" s="1"/>
  <c r="BQ330" i="8"/>
  <c r="BR330" i="8" s="1"/>
  <c r="BS330" i="8" s="1"/>
  <c r="BT330" i="8" s="1"/>
  <c r="BU330" i="8" s="1"/>
  <c r="AV637" i="8"/>
  <c r="AW637" i="8" s="1"/>
  <c r="AH215" i="9"/>
  <c r="BK212" i="9"/>
  <c r="AH219" i="9"/>
  <c r="AH217" i="9"/>
  <c r="BI279" i="9"/>
  <c r="D68" i="9"/>
  <c r="D74" i="9" s="1"/>
  <c r="D80" i="9" s="1"/>
  <c r="D272" i="9"/>
  <c r="AL59" i="9"/>
  <c r="AL228" i="9"/>
  <c r="AL271" i="9"/>
  <c r="AL234" i="9"/>
  <c r="I72" i="9"/>
  <c r="I62" i="9"/>
  <c r="L228" i="9"/>
  <c r="L271" i="9"/>
  <c r="L234" i="9"/>
  <c r="R72" i="9"/>
  <c r="R62" i="9"/>
  <c r="M43" i="9"/>
  <c r="Q43" i="9"/>
  <c r="E228" i="9"/>
  <c r="E227" i="9" s="1"/>
  <c r="I43" i="9"/>
  <c r="E271" i="9"/>
  <c r="E234" i="9"/>
  <c r="S228" i="9"/>
  <c r="S227" i="9" s="1"/>
  <c r="S271" i="9"/>
  <c r="S234" i="9"/>
  <c r="M234" i="9"/>
  <c r="M271" i="9"/>
  <c r="M228" i="9"/>
  <c r="M227" i="9" s="1"/>
  <c r="N43" i="9"/>
  <c r="N228" i="9"/>
  <c r="N271" i="9"/>
  <c r="N234" i="9"/>
  <c r="P228" i="9"/>
  <c r="P227" i="9" s="1"/>
  <c r="P234" i="9"/>
  <c r="P271" i="9"/>
  <c r="F228" i="9"/>
  <c r="F227" i="9" s="1"/>
  <c r="F271" i="9"/>
  <c r="F234" i="9"/>
  <c r="J43" i="9"/>
  <c r="BH42" i="9"/>
  <c r="Z38" i="9"/>
  <c r="Z42" i="9"/>
  <c r="AD43" i="9" s="1"/>
  <c r="W38" i="9"/>
  <c r="AA38" i="9"/>
  <c r="W42" i="9"/>
  <c r="BI35" i="9"/>
  <c r="BI37" i="9"/>
  <c r="V38" i="9"/>
  <c r="R38" i="9"/>
  <c r="R42" i="9"/>
  <c r="BJ35" i="9"/>
  <c r="BJ37" i="9"/>
  <c r="AC38" i="9"/>
  <c r="AC42" i="9"/>
  <c r="Q72" i="9"/>
  <c r="Q62" i="9"/>
  <c r="P272" i="9"/>
  <c r="P68" i="9"/>
  <c r="P74" i="9" s="1"/>
  <c r="P80" i="9" s="1"/>
  <c r="K274" i="9"/>
  <c r="M274" i="9"/>
  <c r="L274" i="9"/>
  <c r="N274" i="9"/>
  <c r="BE35" i="9"/>
  <c r="H43" i="9"/>
  <c r="H271" i="9"/>
  <c r="H234" i="9"/>
  <c r="H228" i="9"/>
  <c r="L43" i="9"/>
  <c r="H29" i="12"/>
  <c r="C29" i="12"/>
  <c r="BD52" i="9"/>
  <c r="BD274" i="9" s="1"/>
  <c r="BD58" i="9"/>
  <c r="F213" i="12"/>
  <c r="F215" i="12" s="1"/>
  <c r="K72" i="9"/>
  <c r="K62" i="9"/>
  <c r="C72" i="9"/>
  <c r="C62" i="9"/>
  <c r="E274" i="9"/>
  <c r="F274" i="9"/>
  <c r="D274" i="9"/>
  <c r="AK38" i="9"/>
  <c r="AG38" i="9"/>
  <c r="AA181" i="9"/>
  <c r="AB180" i="9"/>
  <c r="I29" i="12"/>
  <c r="BH343" i="9"/>
  <c r="BH344" i="9" s="1"/>
  <c r="S344" i="9"/>
  <c r="BK300" i="9"/>
  <c r="BK279" i="9" s="1"/>
  <c r="AH279" i="9"/>
  <c r="AH28" i="9"/>
  <c r="AO43" i="9"/>
  <c r="AK228" i="9"/>
  <c r="AK234" i="9"/>
  <c r="AK271" i="9"/>
  <c r="AD59" i="9"/>
  <c r="AD271" i="9"/>
  <c r="AD228" i="9"/>
  <c r="AD234" i="9"/>
  <c r="AL308" i="8"/>
  <c r="AL314" i="8"/>
  <c r="AP369" i="8"/>
  <c r="AP384" i="8"/>
  <c r="AP429" i="8"/>
  <c r="BO368" i="8"/>
  <c r="BO384" i="8" s="1"/>
  <c r="AT299" i="8"/>
  <c r="AT294" i="8"/>
  <c r="BP294" i="8" s="1"/>
  <c r="AX285" i="8"/>
  <c r="BQ285" i="8" s="1"/>
  <c r="BQ286" i="8" s="1"/>
  <c r="AT290" i="8"/>
  <c r="AT323" i="8"/>
  <c r="AU323" i="8"/>
  <c r="AT368" i="8"/>
  <c r="BP368" i="8" s="1"/>
  <c r="AP301" i="8"/>
  <c r="AP295" i="8"/>
  <c r="AP288" i="8"/>
  <c r="AP291" i="8"/>
  <c r="AL303" i="8"/>
  <c r="AL302" i="8"/>
  <c r="BI168" i="9"/>
  <c r="K80" i="12" s="1"/>
  <c r="AL289" i="8"/>
  <c r="BN288" i="8"/>
  <c r="BN289" i="8" s="1"/>
  <c r="AE306" i="8"/>
  <c r="BM301" i="8"/>
  <c r="AE303" i="8"/>
  <c r="AE302" i="8"/>
  <c r="Z444" i="8"/>
  <c r="BK436" i="8"/>
  <c r="Z438" i="8"/>
  <c r="BK420" i="8"/>
  <c r="BK421" i="8"/>
  <c r="BK422" i="8" s="1"/>
  <c r="BK393" i="8"/>
  <c r="BK392" i="8"/>
  <c r="X401" i="8"/>
  <c r="X400" i="8"/>
  <c r="AB400" i="8"/>
  <c r="AC52" i="9"/>
  <c r="AC58" i="9"/>
  <c r="AC59" i="9" s="1"/>
  <c r="AX156" i="8"/>
  <c r="BP156" i="8"/>
  <c r="U215" i="9"/>
  <c r="U217" i="9"/>
  <c r="BH212" i="9"/>
  <c r="U219" i="9"/>
  <c r="AJ282" i="8"/>
  <c r="AF282" i="8"/>
  <c r="AT413" i="8"/>
  <c r="BP413" i="8" s="1"/>
  <c r="AX409" i="8"/>
  <c r="AP414" i="8"/>
  <c r="AP431" i="8"/>
  <c r="BG649" i="8"/>
  <c r="AE241" i="8"/>
  <c r="AP154" i="8"/>
  <c r="AP153" i="8"/>
  <c r="AB228" i="9"/>
  <c r="AB271" i="9"/>
  <c r="AB234" i="9"/>
  <c r="E10" i="17"/>
  <c r="AF241" i="8"/>
  <c r="AJ241" i="8"/>
  <c r="AF245" i="8"/>
  <c r="AF244" i="8"/>
  <c r="AJ244" i="8"/>
  <c r="Z245" i="8"/>
  <c r="AD246" i="8" s="1"/>
  <c r="AD244" i="8"/>
  <c r="AD199" i="8"/>
  <c r="BL199" i="8" s="1"/>
  <c r="BL192" i="8"/>
  <c r="BH133" i="8"/>
  <c r="BG133" i="8"/>
  <c r="BJ235" i="8"/>
  <c r="BK236" i="8" s="1"/>
  <c r="BJ238" i="8"/>
  <c r="Y239" i="8"/>
  <c r="U240" i="8"/>
  <c r="U243" i="8"/>
  <c r="Y236" i="8"/>
  <c r="U236" i="8"/>
  <c r="BO296" i="8"/>
  <c r="BO295" i="8"/>
  <c r="AN302" i="8"/>
  <c r="AN303" i="8"/>
  <c r="AR301" i="8"/>
  <c r="AR295" i="8"/>
  <c r="AV299" i="8"/>
  <c r="AV368" i="8"/>
  <c r="AW323" i="8"/>
  <c r="AV290" i="8"/>
  <c r="AV323" i="8"/>
  <c r="AV294" i="8"/>
  <c r="AR291" i="8"/>
  <c r="AR288" i="8"/>
  <c r="AR369" i="8"/>
  <c r="AR384" i="8"/>
  <c r="AR429" i="8"/>
  <c r="AN308" i="8"/>
  <c r="AN314" i="8"/>
  <c r="AN316" i="8" s="1"/>
  <c r="BO291" i="8"/>
  <c r="BO292" i="8"/>
  <c r="AN289" i="8"/>
  <c r="AB59" i="9"/>
  <c r="BJ648" i="8"/>
  <c r="BH649" i="8"/>
  <c r="BH648" i="8"/>
  <c r="BH322" i="8"/>
  <c r="BJ321" i="8"/>
  <c r="BH321" i="8"/>
  <c r="S321" i="8"/>
  <c r="O321" i="8"/>
  <c r="AC244" i="8"/>
  <c r="AC245" i="8"/>
  <c r="AC246" i="8" s="1"/>
  <c r="AC241" i="8"/>
  <c r="O649" i="8"/>
  <c r="S648" i="8"/>
  <c r="O648" i="8"/>
  <c r="AD438" i="8"/>
  <c r="AD444" i="8"/>
  <c r="AD446" i="8" s="1"/>
  <c r="AD401" i="8"/>
  <c r="V272" i="9"/>
  <c r="V68" i="9"/>
  <c r="V74" i="9" s="1"/>
  <c r="V80" i="9" s="1"/>
  <c r="X245" i="8"/>
  <c r="AH187" i="8"/>
  <c r="AH192" i="8"/>
  <c r="AP167" i="8"/>
  <c r="AL161" i="8"/>
  <c r="AL163" i="8" s="1"/>
  <c r="AH162" i="8"/>
  <c r="AH179" i="8"/>
  <c r="AH147" i="8" s="1"/>
  <c r="AH148" i="8" s="1"/>
  <c r="AC704" i="8"/>
  <c r="AC703" i="8"/>
  <c r="AC712" i="8" s="1"/>
  <c r="AC711" i="8" s="1"/>
  <c r="AD704" i="8"/>
  <c r="AD703" i="8"/>
  <c r="AD712" i="8" s="1"/>
  <c r="AD711" i="8" s="1"/>
  <c r="AA706" i="8"/>
  <c r="AA712" i="8"/>
  <c r="AA711" i="8" s="1"/>
  <c r="AB706" i="8"/>
  <c r="AB712" i="8"/>
  <c r="AB711" i="8" s="1"/>
  <c r="BH580" i="8"/>
  <c r="BJ580" i="8"/>
  <c r="BF133" i="8"/>
  <c r="AN307" i="8"/>
  <c r="W649" i="8"/>
  <c r="X241" i="8"/>
  <c r="AB241" i="8"/>
  <c r="AG704" i="8"/>
  <c r="AG703" i="8"/>
  <c r="AG712" i="8" s="1"/>
  <c r="AG711" i="8"/>
  <c r="AL711" i="8"/>
  <c r="AL703" i="8"/>
  <c r="AL712" i="8" s="1"/>
  <c r="AL704" i="8"/>
  <c r="AN703" i="8"/>
  <c r="AN712" i="8" s="1"/>
  <c r="AN704" i="8"/>
  <c r="AN711" i="8"/>
  <c r="AM711" i="8"/>
  <c r="AM704" i="8"/>
  <c r="AM703" i="8"/>
  <c r="AM712" i="8" s="1"/>
  <c r="AJ711" i="8"/>
  <c r="AJ703" i="8"/>
  <c r="AJ712" i="8" s="1"/>
  <c r="AJ704" i="8"/>
  <c r="AH704" i="8"/>
  <c r="AH703" i="8"/>
  <c r="AH712" i="8" s="1"/>
  <c r="AH711" i="8"/>
  <c r="N8" i="21"/>
  <c r="C4" i="21" s="1"/>
  <c r="N11" i="21"/>
  <c r="C5" i="21" s="1"/>
  <c r="AF444" i="8"/>
  <c r="AF446" i="8" s="1"/>
  <c r="AF438" i="8"/>
  <c r="O56" i="12"/>
  <c r="O58" i="12" s="1"/>
  <c r="BO243" i="8"/>
  <c r="BO245" i="8" s="1"/>
  <c r="BO240" i="8"/>
  <c r="O57" i="12" s="1"/>
  <c r="G145" i="12"/>
  <c r="G139" i="12" s="1"/>
  <c r="I181" i="12"/>
  <c r="I174" i="12" s="1"/>
  <c r="G181" i="12"/>
  <c r="G174" i="12" s="1"/>
  <c r="AI704" i="8"/>
  <c r="AI703" i="8"/>
  <c r="AI712" i="8" s="1"/>
  <c r="AI711" i="8"/>
  <c r="AK704" i="8"/>
  <c r="AK703" i="8"/>
  <c r="AK712" i="8" s="1"/>
  <c r="AK711" i="8"/>
  <c r="AF711" i="8"/>
  <c r="AF703" i="8"/>
  <c r="AF712" i="8" s="1"/>
  <c r="AF704" i="8"/>
  <c r="AE711" i="8"/>
  <c r="AE704" i="8"/>
  <c r="AE703" i="8"/>
  <c r="AE712" i="8" s="1"/>
  <c r="AU711" i="8"/>
  <c r="AU704" i="8"/>
  <c r="AU703" i="8"/>
  <c r="AU712" i="8" s="1"/>
  <c r="AR711" i="8"/>
  <c r="AR703" i="8"/>
  <c r="AR712" i="8" s="1"/>
  <c r="AR704" i="8"/>
  <c r="AT703" i="8"/>
  <c r="AT712" i="8" s="1"/>
  <c r="AT704" i="8"/>
  <c r="AT711" i="8"/>
  <c r="AQ711" i="8"/>
  <c r="AQ704" i="8"/>
  <c r="AQ703" i="8"/>
  <c r="AQ712" i="8" s="1"/>
  <c r="AO703" i="8"/>
  <c r="AO712" i="8" s="1"/>
  <c r="AO704" i="8"/>
  <c r="AO711" i="8"/>
  <c r="AX711" i="8"/>
  <c r="AX704" i="8"/>
  <c r="AX703" i="8"/>
  <c r="AX712" i="8" s="1"/>
  <c r="AW703" i="8"/>
  <c r="AW712" i="8" s="1"/>
  <c r="AW704" i="8"/>
  <c r="AW711" i="8"/>
  <c r="AP711" i="8"/>
  <c r="AP704" i="8"/>
  <c r="AP703" i="8"/>
  <c r="AP712" i="8" s="1"/>
  <c r="AV703" i="8"/>
  <c r="AV712" i="8" s="1"/>
  <c r="AV704" i="8"/>
  <c r="AV711" i="8"/>
  <c r="AS711" i="8"/>
  <c r="AS704" i="8"/>
  <c r="AS703" i="8"/>
  <c r="AS712" i="8" s="1"/>
  <c r="AH274" i="9"/>
  <c r="AX474" i="8"/>
  <c r="AN245" i="8"/>
  <c r="AN246" i="8" s="1"/>
  <c r="AN244" i="8"/>
  <c r="AB185" i="9"/>
  <c r="AB186" i="9" s="1"/>
  <c r="AB274" i="9"/>
  <c r="BF317" i="8"/>
  <c r="BG317" i="8"/>
  <c r="Q648" i="8"/>
  <c r="M648" i="8"/>
  <c r="M649" i="8"/>
  <c r="BK331" i="8"/>
  <c r="BL334" i="8"/>
  <c r="BL333" i="8" s="1"/>
  <c r="BL337" i="8" s="1"/>
  <c r="BL326" i="8"/>
  <c r="AE334" i="8"/>
  <c r="AE333" i="8" s="1"/>
  <c r="AA331" i="8"/>
  <c r="BL434" i="8"/>
  <c r="BL433" i="8"/>
  <c r="AH438" i="8"/>
  <c r="AH444" i="8"/>
  <c r="AH446" i="8" s="1"/>
  <c r="S117" i="8"/>
  <c r="W117" i="8"/>
  <c r="BK117" i="8"/>
  <c r="BJ116" i="8"/>
  <c r="BH23" i="9"/>
  <c r="BH24" i="9" s="1"/>
  <c r="J47" i="12"/>
  <c r="BJ119" i="8"/>
  <c r="BJ117" i="8"/>
  <c r="AI306" i="8"/>
  <c r="AI314" i="8" s="1"/>
  <c r="AI303" i="8"/>
  <c r="AI302" i="8"/>
  <c r="BN301" i="8"/>
  <c r="BN299" i="8"/>
  <c r="BN298" i="8"/>
  <c r="BO297" i="8"/>
  <c r="AM299" i="8"/>
  <c r="AM301" i="8"/>
  <c r="AQ297" i="8"/>
  <c r="Y272" i="9"/>
  <c r="Y68" i="9"/>
  <c r="Y74" i="9" s="1"/>
  <c r="Y80" i="9" s="1"/>
  <c r="AF506" i="8"/>
  <c r="AJ506" i="8"/>
  <c r="N60" i="12"/>
  <c r="N62" i="12" s="1"/>
  <c r="BN504" i="8"/>
  <c r="BN505" i="8"/>
  <c r="J29" i="12"/>
  <c r="AJ4" i="8"/>
  <c r="AK339" i="8"/>
  <c r="AL340" i="8"/>
  <c r="AR519" i="8"/>
  <c r="AQ518" i="8"/>
  <c r="BN154" i="8"/>
  <c r="H68" i="9"/>
  <c r="H74" i="9" s="1"/>
  <c r="H80" i="9" s="1"/>
  <c r="H272" i="9"/>
  <c r="BL303" i="8"/>
  <c r="BL302" i="8"/>
  <c r="BJ168" i="9"/>
  <c r="L80" i="12" s="1"/>
  <c r="AC402" i="8"/>
  <c r="BJ601" i="8"/>
  <c r="BK601" i="8"/>
  <c r="AP486" i="8"/>
  <c r="AP490" i="8"/>
  <c r="AP487" i="8"/>
  <c r="AX485" i="8"/>
  <c r="AX478" i="8"/>
  <c r="L90" i="12"/>
  <c r="L49" i="12"/>
  <c r="L48" i="12"/>
  <c r="L76" i="12"/>
  <c r="M48" i="12"/>
  <c r="BP165" i="8"/>
  <c r="AX165" i="8"/>
  <c r="BQ165" i="8" s="1"/>
  <c r="AH400" i="8"/>
  <c r="AH401" i="8"/>
  <c r="AI185" i="9"/>
  <c r="AL274" i="9"/>
  <c r="AL154" i="9"/>
  <c r="N29" i="12"/>
  <c r="BL58" i="9"/>
  <c r="BL52" i="9"/>
  <c r="M29" i="12"/>
  <c r="AG185" i="9"/>
  <c r="AJ274" i="9"/>
  <c r="BK52" i="9"/>
  <c r="BK58" i="9"/>
  <c r="BK59" i="9" s="1"/>
  <c r="AF400" i="8"/>
  <c r="AF401" i="8"/>
  <c r="F182" i="12"/>
  <c r="F175" i="12" s="1"/>
  <c r="BN501" i="8"/>
  <c r="AJ401" i="8"/>
  <c r="AJ400" i="8"/>
  <c r="AM231" i="9"/>
  <c r="AM234" i="9"/>
  <c r="AQ43" i="9"/>
  <c r="AM271" i="9"/>
  <c r="AM228" i="9"/>
  <c r="AM72" i="9"/>
  <c r="AM62" i="9"/>
  <c r="AI282" i="8"/>
  <c r="AE282" i="8"/>
  <c r="U322" i="8"/>
  <c r="U317" i="8"/>
  <c r="AT485" i="8"/>
  <c r="AT478" i="8"/>
  <c r="AG274" i="9"/>
  <c r="AM274" i="9"/>
  <c r="AJ185" i="9"/>
  <c r="AJ271" i="9"/>
  <c r="AJ234" i="9"/>
  <c r="AJ228" i="9"/>
  <c r="AA241" i="8"/>
  <c r="W241" i="8"/>
  <c r="AG317" i="8"/>
  <c r="AG320" i="8"/>
  <c r="AK317" i="8"/>
  <c r="AO244" i="8"/>
  <c r="AK245" i="8"/>
  <c r="AO246" i="8" s="1"/>
  <c r="AE506" i="8"/>
  <c r="AI506" i="8"/>
  <c r="BL501" i="8"/>
  <c r="BK501" i="8"/>
  <c r="AP170" i="8"/>
  <c r="AO170" i="8"/>
  <c r="I48" i="12"/>
  <c r="I49" i="12"/>
  <c r="H48" i="12"/>
  <c r="H49" i="12"/>
  <c r="G48" i="12"/>
  <c r="G49" i="12"/>
  <c r="C92" i="12"/>
  <c r="C49" i="12"/>
  <c r="W245" i="8"/>
  <c r="AA244" i="8"/>
  <c r="W244" i="8"/>
  <c r="L30" i="17"/>
  <c r="O30" i="17"/>
  <c r="AF315" i="8"/>
  <c r="AF316" i="8"/>
  <c r="BG53" i="9"/>
  <c r="BG52" i="9" s="1"/>
  <c r="BF53" i="9"/>
  <c r="BF52" i="9" s="1"/>
  <c r="BE53" i="9"/>
  <c r="BE52" i="9" s="1"/>
  <c r="BE274" i="9" s="1"/>
  <c r="Y402" i="8"/>
  <c r="BK243" i="8"/>
  <c r="BL244" i="8" s="1"/>
  <c r="BK240" i="8"/>
  <c r="K56" i="12"/>
  <c r="K58" i="12" s="1"/>
  <c r="BL239" i="8"/>
  <c r="AR161" i="8"/>
  <c r="AN161" i="8"/>
  <c r="AJ187" i="8"/>
  <c r="AJ192" i="8"/>
  <c r="BJ675" i="8"/>
  <c r="K29" i="12"/>
  <c r="X185" i="9"/>
  <c r="AA186" i="9" s="1"/>
  <c r="AA274" i="9"/>
  <c r="X59" i="9"/>
  <c r="BT174" i="8"/>
  <c r="BL504" i="8"/>
  <c r="K60" i="12"/>
  <c r="K62" i="12" s="1"/>
  <c r="BK505" i="8"/>
  <c r="AG244" i="8"/>
  <c r="AK244" i="8"/>
  <c r="AG245" i="8"/>
  <c r="BL163" i="8"/>
  <c r="BK163" i="8"/>
  <c r="BK162" i="8"/>
  <c r="AO161" i="8"/>
  <c r="AB282" i="8"/>
  <c r="X282" i="8"/>
  <c r="AC219" i="9"/>
  <c r="AC217" i="9"/>
  <c r="BJ214" i="9"/>
  <c r="BJ210" i="9" s="1"/>
  <c r="BJ63" i="9"/>
  <c r="BL94" i="8"/>
  <c r="AD210" i="9"/>
  <c r="AD212" i="9"/>
  <c r="Z123" i="8"/>
  <c r="V123" i="8"/>
  <c r="AJ314" i="8"/>
  <c r="AJ307" i="8"/>
  <c r="AJ308" i="8"/>
  <c r="AI5" i="8"/>
  <c r="BN5" i="8" s="1"/>
  <c r="AJ342" i="8"/>
  <c r="AI354" i="8"/>
  <c r="BJ642" i="8"/>
  <c r="BJ644" i="8"/>
  <c r="BJ643" i="8"/>
  <c r="BJ649" i="8" s="1"/>
  <c r="BK642" i="8"/>
  <c r="BJ574" i="8"/>
  <c r="BJ575" i="8"/>
  <c r="BJ581" i="8" s="1"/>
  <c r="BJ576" i="8"/>
  <c r="BK574" i="8"/>
  <c r="Z576" i="8"/>
  <c r="V581" i="8"/>
  <c r="AA4" i="8"/>
  <c r="BL4" i="8" s="1"/>
  <c r="AE339" i="8"/>
  <c r="BK339" i="8"/>
  <c r="Z4" i="8"/>
  <c r="BK4" i="8" s="1"/>
  <c r="BJ315" i="8"/>
  <c r="BJ316" i="8"/>
  <c r="V322" i="8"/>
  <c r="W322" i="8" s="1"/>
  <c r="X322" i="8" s="1"/>
  <c r="V317" i="8"/>
  <c r="Y308" i="8"/>
  <c r="Y307" i="8"/>
  <c r="Y314" i="8"/>
  <c r="BK290" i="8"/>
  <c r="Z291" i="8"/>
  <c r="Z288" i="8"/>
  <c r="Z306" i="8"/>
  <c r="AA306" i="8"/>
  <c r="AA288" i="8"/>
  <c r="AA291" i="8"/>
  <c r="BL290" i="8"/>
  <c r="AE291" i="8"/>
  <c r="AW314" i="8"/>
  <c r="AW307" i="8"/>
  <c r="AW308" i="8"/>
  <c r="BJ401" i="8"/>
  <c r="BJ400" i="8"/>
  <c r="W315" i="8"/>
  <c r="W316" i="8"/>
  <c r="AS429" i="8"/>
  <c r="AS369" i="8"/>
  <c r="AS384" i="8"/>
  <c r="AW19" i="9"/>
  <c r="AV492" i="8"/>
  <c r="AV487" i="8"/>
  <c r="AX560" i="8"/>
  <c r="BL168" i="9"/>
  <c r="N80" i="12" s="1"/>
  <c r="AG241" i="8"/>
  <c r="AK241" i="8"/>
  <c r="AL43" i="9"/>
  <c r="AH234" i="9"/>
  <c r="AH43" i="9"/>
  <c r="AH271" i="9"/>
  <c r="AH228" i="9"/>
  <c r="AK274" i="9"/>
  <c r="AK154" i="9"/>
  <c r="AH185" i="9"/>
  <c r="AJ43" i="9"/>
  <c r="AF271" i="9"/>
  <c r="AF43" i="9"/>
  <c r="AF228" i="9"/>
  <c r="AF234" i="9"/>
  <c r="AF185" i="9"/>
  <c r="AI274" i="9"/>
  <c r="AF59" i="9"/>
  <c r="BI58" i="9"/>
  <c r="BI59" i="9" s="1"/>
  <c r="BI52" i="9"/>
  <c r="AN59" i="9"/>
  <c r="AU326" i="8"/>
  <c r="BQ326" i="8" s="1"/>
  <c r="BP637" i="8"/>
  <c r="AR607" i="8"/>
  <c r="BS37" i="10"/>
  <c r="BS43" i="10" s="1"/>
  <c r="L19" i="10"/>
  <c r="K20" i="10"/>
  <c r="AF601" i="8"/>
  <c r="AI600" i="8"/>
  <c r="AI601" i="8" s="1"/>
  <c r="AI598" i="8"/>
  <c r="AM597" i="8"/>
  <c r="AJ49" i="10"/>
  <c r="AJ50" i="10" s="1"/>
  <c r="AJ53" i="10" s="1"/>
  <c r="AI52" i="10"/>
  <c r="BM597" i="8"/>
  <c r="BM598" i="8" s="1"/>
  <c r="AH598" i="8"/>
  <c r="AL597" i="8"/>
  <c r="AH600" i="8"/>
  <c r="BL601" i="8"/>
  <c r="AS455" i="8"/>
  <c r="AS473" i="8"/>
  <c r="AS471" i="8"/>
  <c r="BP470" i="8"/>
  <c r="AS477" i="8"/>
  <c r="AS482" i="8"/>
  <c r="W16" i="16"/>
  <c r="W12" i="16"/>
  <c r="W10" i="16" s="1"/>
  <c r="AO6" i="16"/>
  <c r="AO7" i="16" s="1"/>
  <c r="W7" i="16"/>
  <c r="W180" i="16"/>
  <c r="AO195" i="16"/>
  <c r="AO136" i="16"/>
  <c r="AO137" i="16" s="1"/>
  <c r="AA178" i="16"/>
  <c r="AP178" i="16" s="1"/>
  <c r="AA6" i="16"/>
  <c r="AP4" i="16"/>
  <c r="AP131" i="16"/>
  <c r="AA195" i="16"/>
  <c r="AP135" i="16"/>
  <c r="AQ130" i="16"/>
  <c r="AR132" i="16"/>
  <c r="X16" i="16"/>
  <c r="X180" i="16"/>
  <c r="X12" i="16"/>
  <c r="X7" i="16"/>
  <c r="AB12" i="16"/>
  <c r="AB10" i="16" s="1"/>
  <c r="AB16" i="16"/>
  <c r="AB7" i="16"/>
  <c r="AB180" i="16"/>
  <c r="Z16" i="16"/>
  <c r="Z12" i="16"/>
  <c r="Z180" i="16"/>
  <c r="Z7" i="16"/>
  <c r="AD7" i="16"/>
  <c r="AD180" i="16"/>
  <c r="AD12" i="16"/>
  <c r="AD16" i="16"/>
  <c r="AD10" i="16"/>
  <c r="Y16" i="16"/>
  <c r="Y7" i="16"/>
  <c r="Y12" i="16"/>
  <c r="Y180" i="16"/>
  <c r="AC7" i="16"/>
  <c r="AC16" i="16"/>
  <c r="AC12" i="16"/>
  <c r="AC180" i="16"/>
  <c r="AU186" i="16"/>
  <c r="AO178" i="16"/>
  <c r="AU352" i="9"/>
  <c r="AU304" i="9" s="1"/>
  <c r="AU303" i="9" s="1"/>
  <c r="AV353" i="9"/>
  <c r="AB317" i="9"/>
  <c r="AB316" i="9" s="1"/>
  <c r="AC319" i="9"/>
  <c r="AE72" i="9"/>
  <c r="AE62" i="9"/>
  <c r="F272" i="9"/>
  <c r="F68" i="9"/>
  <c r="F74" i="9" s="1"/>
  <c r="F80" i="9" s="1"/>
  <c r="Y274" i="9"/>
  <c r="X274" i="9"/>
  <c r="Z274" i="9"/>
  <c r="AP331" i="9"/>
  <c r="AP328" i="9"/>
  <c r="AQ330" i="9"/>
  <c r="BM330" i="9"/>
  <c r="BM328" i="9" s="1"/>
  <c r="AD321" i="9"/>
  <c r="BJ321" i="9" s="1"/>
  <c r="AD342" i="9"/>
  <c r="BJ342" i="9" s="1"/>
  <c r="AE340" i="9"/>
  <c r="BJ340" i="9"/>
  <c r="AA322" i="9"/>
  <c r="AB323" i="9"/>
  <c r="Z341" i="9"/>
  <c r="BI322" i="9"/>
  <c r="X344" i="9"/>
  <c r="BG343" i="9"/>
  <c r="BG344" i="9" s="1"/>
  <c r="R344" i="9"/>
  <c r="BM205" i="9"/>
  <c r="BN2" i="9"/>
  <c r="BM96" i="9"/>
  <c r="BM269" i="9"/>
  <c r="BM222" i="9"/>
  <c r="BM276" i="9"/>
  <c r="W72" i="9"/>
  <c r="W62" i="9"/>
  <c r="T72" i="9"/>
  <c r="T62" i="9"/>
  <c r="BL210" i="9"/>
  <c r="BL212" i="9"/>
  <c r="BL215" i="9" s="1"/>
  <c r="AL217" i="9"/>
  <c r="AL219" i="9"/>
  <c r="AD282" i="8"/>
  <c r="Z282" i="8"/>
  <c r="Z219" i="9"/>
  <c r="Z217" i="9"/>
  <c r="P11" i="21"/>
  <c r="E5" i="21" s="1"/>
  <c r="P8" i="21"/>
  <c r="E4" i="21" s="1"/>
  <c r="BI212" i="9"/>
  <c r="Z215" i="9"/>
  <c r="BN395" i="8"/>
  <c r="BN397" i="8" s="1"/>
  <c r="AM395" i="8"/>
  <c r="AN397" i="8"/>
  <c r="AM442" i="8"/>
  <c r="AL440" i="8"/>
  <c r="AO569" i="8"/>
  <c r="AP571" i="8"/>
  <c r="Z244" i="8"/>
  <c r="V245" i="8"/>
  <c r="V244" i="8"/>
  <c r="Z241" i="8"/>
  <c r="V241" i="8"/>
  <c r="AN185" i="9"/>
  <c r="AO274" i="9"/>
  <c r="O29" i="12"/>
  <c r="AO228" i="9"/>
  <c r="AO271" i="9"/>
  <c r="AO230" i="9"/>
  <c r="AO233" i="9" s="1"/>
  <c r="AO59" i="9"/>
  <c r="L272" i="9"/>
  <c r="L68" i="9"/>
  <c r="L74" i="9" s="1"/>
  <c r="L80" i="9" s="1"/>
  <c r="E272" i="9"/>
  <c r="E68" i="9"/>
  <c r="E74" i="9" s="1"/>
  <c r="E80" i="9" s="1"/>
  <c r="N68" i="9"/>
  <c r="N74" i="9" s="1"/>
  <c r="N80" i="9" s="1"/>
  <c r="N272" i="9"/>
  <c r="AN274" i="9"/>
  <c r="BN239" i="8"/>
  <c r="BO239" i="8"/>
  <c r="BN243" i="8"/>
  <c r="N56" i="12"/>
  <c r="N58" i="12" s="1"/>
  <c r="AI241" i="8"/>
  <c r="AM241" i="8"/>
  <c r="AM244" i="8"/>
  <c r="AI244" i="8"/>
  <c r="AI245" i="8"/>
  <c r="E181" i="12"/>
  <c r="E174" i="12" s="1"/>
  <c r="E173" i="12" s="1"/>
  <c r="E180" i="12" s="1"/>
  <c r="BM236" i="8"/>
  <c r="BM239" i="8"/>
  <c r="BM240" i="8"/>
  <c r="BM243" i="8"/>
  <c r="M56" i="12"/>
  <c r="M58" i="12" s="1"/>
  <c r="AE245" i="8"/>
  <c r="AE246" i="8" s="1"/>
  <c r="AE244" i="8"/>
  <c r="AE200" i="8"/>
  <c r="AM162" i="8"/>
  <c r="AM192" i="8"/>
  <c r="AM199" i="8" s="1"/>
  <c r="AM187" i="8"/>
  <c r="BL280" i="8"/>
  <c r="BL281" i="8"/>
  <c r="AG400" i="8"/>
  <c r="AG401" i="8"/>
  <c r="AG402" i="8" s="1"/>
  <c r="BN280" i="8"/>
  <c r="BM280" i="8"/>
  <c r="BM281" i="8"/>
  <c r="AG282" i="8"/>
  <c r="AK282" i="8"/>
  <c r="BM392" i="8"/>
  <c r="BM393" i="8"/>
  <c r="AE400" i="8"/>
  <c r="AI400" i="8"/>
  <c r="BM399" i="8"/>
  <c r="AE401" i="8"/>
  <c r="AE444" i="8"/>
  <c r="AE438" i="8"/>
  <c r="BM436" i="8"/>
  <c r="BM433" i="8"/>
  <c r="BM434" i="8"/>
  <c r="BP410" i="8"/>
  <c r="AQ414" i="8"/>
  <c r="AQ431" i="8"/>
  <c r="BO429" i="8"/>
  <c r="BO431" i="8"/>
  <c r="BJ58" i="9"/>
  <c r="BJ52" i="9"/>
  <c r="AE43" i="9"/>
  <c r="AE271" i="9"/>
  <c r="AE234" i="9"/>
  <c r="AE228" i="9"/>
  <c r="AK319" i="8"/>
  <c r="AS316" i="8"/>
  <c r="AS315" i="8"/>
  <c r="AO320" i="8"/>
  <c r="AO317" i="8"/>
  <c r="Y690" i="8"/>
  <c r="X691" i="8"/>
  <c r="Z695" i="8"/>
  <c r="W712" i="8"/>
  <c r="W706" i="8"/>
  <c r="BN347" i="8"/>
  <c r="BN348" i="8" s="1"/>
  <c r="AM347" i="8"/>
  <c r="AI344" i="8"/>
  <c r="BM344" i="8"/>
  <c r="BM350" i="8" s="1"/>
  <c r="AE6" i="8"/>
  <c r="BM6" i="8" s="1"/>
  <c r="W186" i="9"/>
  <c r="X317" i="8"/>
  <c r="AN334" i="8"/>
  <c r="AN333" i="8" s="1"/>
  <c r="AN351" i="8" s="1"/>
  <c r="AN350" i="8" s="1"/>
  <c r="AJ331" i="8"/>
  <c r="AK328" i="8"/>
  <c r="BO334" i="8"/>
  <c r="BO333" i="8" s="1"/>
  <c r="BN331" i="8"/>
  <c r="BH59" i="9"/>
  <c r="W446" i="8"/>
  <c r="M8" i="21"/>
  <c r="M11" i="21"/>
  <c r="L57" i="12"/>
  <c r="BL245" i="8"/>
  <c r="BL246" i="8" s="1"/>
  <c r="AH246" i="8"/>
  <c r="M61" i="12"/>
  <c r="BL436" i="8"/>
  <c r="AA444" i="8"/>
  <c r="AA438" i="8"/>
  <c r="BM420" i="8"/>
  <c r="BL421" i="8"/>
  <c r="BL420" i="8"/>
  <c r="AE422" i="8"/>
  <c r="AA422" i="8"/>
  <c r="BL392" i="8"/>
  <c r="BL393" i="8"/>
  <c r="BL399" i="8"/>
  <c r="AA400" i="8"/>
  <c r="AA401" i="8"/>
  <c r="AA402" i="8" s="1"/>
  <c r="BM377" i="8"/>
  <c r="BL377" i="8"/>
  <c r="Z354" i="8"/>
  <c r="Z5" i="8"/>
  <c r="BK5" i="8" s="1"/>
  <c r="Z344" i="8"/>
  <c r="AA342" i="8"/>
  <c r="Z692" i="8"/>
  <c r="Y693" i="8"/>
  <c r="AI72" i="9"/>
  <c r="AI62" i="9"/>
  <c r="AG72" i="9"/>
  <c r="AG62" i="9"/>
  <c r="AJ72" i="9"/>
  <c r="AJ62" i="9"/>
  <c r="AH72" i="9"/>
  <c r="AH62" i="9"/>
  <c r="AK72" i="9"/>
  <c r="AK62" i="9"/>
  <c r="Z72" i="9"/>
  <c r="Z62" i="9"/>
  <c r="AE335" i="9"/>
  <c r="BK337" i="9"/>
  <c r="AL336" i="9"/>
  <c r="AK337" i="9"/>
  <c r="AK335" i="9" s="1"/>
  <c r="AK334" i="9"/>
  <c r="AK321" i="9" s="1"/>
  <c r="AD335" i="9"/>
  <c r="BJ337" i="9"/>
  <c r="BT214" i="8"/>
  <c r="BT74" i="8" s="1"/>
  <c r="BP15" i="9"/>
  <c r="BR76" i="8"/>
  <c r="R24" i="12"/>
  <c r="AR308" i="9"/>
  <c r="AR310" i="9" s="1"/>
  <c r="AR478" i="8"/>
  <c r="AR485" i="8"/>
  <c r="AV486" i="8" s="1"/>
  <c r="AO456" i="8"/>
  <c r="AO459" i="8"/>
  <c r="AP455" i="8" s="1"/>
  <c r="BO455" i="8" s="1"/>
  <c r="AR474" i="8"/>
  <c r="G134" i="12"/>
  <c r="G164" i="12"/>
  <c r="BO405" i="8"/>
  <c r="BO404" i="8" s="1"/>
  <c r="BO471" i="8"/>
  <c r="BO482" i="8"/>
  <c r="BO495" i="8"/>
  <c r="AO485" i="8"/>
  <c r="AO490" i="8" s="1"/>
  <c r="AO478" i="8"/>
  <c r="BO477" i="8"/>
  <c r="AS358" i="9"/>
  <c r="AS359" i="9" s="1"/>
  <c r="AT359" i="9" s="1"/>
  <c r="AO182" i="9"/>
  <c r="AO183" i="9" s="1"/>
  <c r="AO474" i="8"/>
  <c r="BO473" i="8"/>
  <c r="AT352" i="9"/>
  <c r="AT304" i="9" s="1"/>
  <c r="AT303" i="9" s="1"/>
  <c r="BN353" i="9"/>
  <c r="AQ181" i="9"/>
  <c r="AP180" i="9"/>
  <c r="AP182" i="9" s="1"/>
  <c r="AP183" i="9" s="1"/>
  <c r="AR456" i="8"/>
  <c r="BQ109" i="9"/>
  <c r="BP108" i="9"/>
  <c r="O52" i="12"/>
  <c r="BM34" i="9"/>
  <c r="O36" i="12" s="1"/>
  <c r="AQ230" i="8"/>
  <c r="AQ129" i="8"/>
  <c r="AQ17" i="9" s="1"/>
  <c r="AQ55" i="9" s="1"/>
  <c r="AQ53" i="9" s="1"/>
  <c r="AQ52" i="9" s="1"/>
  <c r="AQ212" i="9"/>
  <c r="AQ496" i="8"/>
  <c r="BU407" i="8"/>
  <c r="BP112" i="8"/>
  <c r="AQ365" i="9"/>
  <c r="BP113" i="8"/>
  <c r="BU262" i="8"/>
  <c r="BT555" i="8"/>
  <c r="AQ189" i="9"/>
  <c r="AQ209" i="9"/>
  <c r="AQ210" i="9"/>
  <c r="AQ93" i="8"/>
  <c r="H92" i="12"/>
  <c r="I71" i="12"/>
  <c r="I92" i="12" s="1"/>
  <c r="I91" i="12"/>
  <c r="J69" i="12"/>
  <c r="J91" i="12" s="1"/>
  <c r="BR139" i="9" l="1"/>
  <c r="T119" i="8"/>
  <c r="AR94" i="8"/>
  <c r="AV94" i="8" s="1"/>
  <c r="Y43" i="9"/>
  <c r="U271" i="9"/>
  <c r="BQ475" i="8"/>
  <c r="AR163" i="8"/>
  <c r="U228" i="9"/>
  <c r="U227" i="9" s="1"/>
  <c r="U43" i="9"/>
  <c r="BO2" i="9"/>
  <c r="BO238" i="9" s="1"/>
  <c r="BN238" i="9"/>
  <c r="AA62" i="9"/>
  <c r="AA68" i="9" s="1"/>
  <c r="AA74" i="9" s="1"/>
  <c r="AA80" i="9" s="1"/>
  <c r="T244" i="8"/>
  <c r="T245" i="8"/>
  <c r="T246" i="8" s="1"/>
  <c r="AD400" i="8"/>
  <c r="X244" i="8"/>
  <c r="AO163" i="8"/>
  <c r="AS163" i="8"/>
  <c r="Z400" i="8"/>
  <c r="Z401" i="8"/>
  <c r="Z402" i="8" s="1"/>
  <c r="AN179" i="8"/>
  <c r="AN163" i="8"/>
  <c r="AO171" i="8"/>
  <c r="AS172" i="8"/>
  <c r="AG530" i="8"/>
  <c r="BM529" i="8"/>
  <c r="BM530" i="8" s="1"/>
  <c r="AG532" i="8"/>
  <c r="AJ512" i="8"/>
  <c r="AJ529" i="8"/>
  <c r="AJ511" i="8"/>
  <c r="AK46" i="10"/>
  <c r="AJ509" i="8"/>
  <c r="AI530" i="8"/>
  <c r="AI532" i="8"/>
  <c r="AI533" i="8" s="1"/>
  <c r="U72" i="9"/>
  <c r="U62" i="9"/>
  <c r="AT358" i="9"/>
  <c r="AU359" i="9"/>
  <c r="AX161" i="9"/>
  <c r="BO141" i="9"/>
  <c r="AI148" i="8"/>
  <c r="AM148" i="8"/>
  <c r="BQ156" i="8"/>
  <c r="AX147" i="8"/>
  <c r="AP149" i="8"/>
  <c r="M68" i="9"/>
  <c r="M74" i="9" s="1"/>
  <c r="M80" i="9" s="1"/>
  <c r="M272" i="9"/>
  <c r="G68" i="9"/>
  <c r="G74" i="9" s="1"/>
  <c r="G80" i="9" s="1"/>
  <c r="G272" i="9"/>
  <c r="BN186" i="8"/>
  <c r="BN187" i="8" s="1"/>
  <c r="BM179" i="8"/>
  <c r="O37" i="12"/>
  <c r="T117" i="8"/>
  <c r="X117" i="8"/>
  <c r="BM163" i="8"/>
  <c r="BM162" i="8"/>
  <c r="AU492" i="8"/>
  <c r="AU491" i="8"/>
  <c r="BQ471" i="8"/>
  <c r="BR79" i="9"/>
  <c r="BS110" i="9"/>
  <c r="BS79" i="9" s="1"/>
  <c r="BP289" i="9"/>
  <c r="BO289" i="9"/>
  <c r="BO349" i="9"/>
  <c r="BP348" i="9"/>
  <c r="BQ348" i="9" s="1"/>
  <c r="BP135" i="9"/>
  <c r="BP162" i="9" s="1"/>
  <c r="BO162" i="9"/>
  <c r="BO64" i="9" s="1"/>
  <c r="S43" i="9"/>
  <c r="O234" i="9"/>
  <c r="O228" i="9"/>
  <c r="BG42" i="9"/>
  <c r="O271" i="9"/>
  <c r="BG38" i="9"/>
  <c r="BH38" i="9"/>
  <c r="G228" i="9"/>
  <c r="G227" i="9" s="1"/>
  <c r="G271" i="9"/>
  <c r="BE42" i="9"/>
  <c r="G234" i="9"/>
  <c r="BH18" i="9"/>
  <c r="BH54" i="9" s="1"/>
  <c r="BH55" i="9"/>
  <c r="AM186" i="9"/>
  <c r="BQ704" i="8"/>
  <c r="BQ713" i="8" s="1"/>
  <c r="AW474" i="8"/>
  <c r="AW478" i="8"/>
  <c r="BQ477" i="8"/>
  <c r="AW485" i="8"/>
  <c r="BF38" i="9"/>
  <c r="BE38" i="9"/>
  <c r="W274" i="9"/>
  <c r="U274" i="9"/>
  <c r="T274" i="9"/>
  <c r="L61" i="12"/>
  <c r="BM506" i="8"/>
  <c r="BN161" i="8"/>
  <c r="BN168" i="8"/>
  <c r="AL72" i="9"/>
  <c r="AL62" i="9"/>
  <c r="BK401" i="8"/>
  <c r="BK400" i="8"/>
  <c r="T123" i="8"/>
  <c r="X123" i="8"/>
  <c r="AQ586" i="8"/>
  <c r="AR588" i="8"/>
  <c r="BP587" i="8"/>
  <c r="BP591" i="8" s="1"/>
  <c r="AU587" i="8"/>
  <c r="AV587" i="8" s="1"/>
  <c r="AW587" i="8" s="1"/>
  <c r="AX587" i="8" s="1"/>
  <c r="BQ587" i="8" s="1"/>
  <c r="AH315" i="8"/>
  <c r="AH316" i="8"/>
  <c r="BO154" i="8"/>
  <c r="BO153" i="8"/>
  <c r="BQ427" i="8"/>
  <c r="BQ428" i="8" s="1"/>
  <c r="AW429" i="8"/>
  <c r="AK179" i="8"/>
  <c r="AK147" i="8" s="1"/>
  <c r="AK162" i="8"/>
  <c r="AK187" i="8"/>
  <c r="AK192" i="8"/>
  <c r="AK199" i="8" s="1"/>
  <c r="AK200" i="8" s="1"/>
  <c r="AW384" i="8"/>
  <c r="AW369" i="8"/>
  <c r="I272" i="9"/>
  <c r="I68" i="9"/>
  <c r="I74" i="9" s="1"/>
  <c r="I80" i="9" s="1"/>
  <c r="R272" i="9"/>
  <c r="R68" i="9"/>
  <c r="R74" i="9" s="1"/>
  <c r="R80" i="9" s="1"/>
  <c r="BR427" i="8"/>
  <c r="BS427" i="8" s="1"/>
  <c r="BT427" i="8" s="1"/>
  <c r="BU427" i="8" s="1"/>
  <c r="BQ365" i="8"/>
  <c r="BQ266" i="8"/>
  <c r="BR266" i="8" s="1"/>
  <c r="BQ269" i="8"/>
  <c r="BQ264" i="8"/>
  <c r="BQ261" i="8"/>
  <c r="BR261" i="8" s="1"/>
  <c r="BQ281" i="8"/>
  <c r="BQ273" i="8"/>
  <c r="AH402" i="8"/>
  <c r="AX413" i="8"/>
  <c r="BQ409" i="8"/>
  <c r="AF246" i="8"/>
  <c r="AJ246" i="8"/>
  <c r="BQ166" i="8"/>
  <c r="AX19" i="9"/>
  <c r="BO19" i="9" s="1"/>
  <c r="BQ81" i="8"/>
  <c r="BR81" i="8" s="1"/>
  <c r="BS81" i="8" s="1"/>
  <c r="BT81" i="8" s="1"/>
  <c r="BU81" i="8" s="1"/>
  <c r="AX637" i="8"/>
  <c r="BQ637" i="8" s="1"/>
  <c r="BR326" i="8"/>
  <c r="BS326" i="8" s="1"/>
  <c r="BT326" i="8" s="1"/>
  <c r="BK215" i="9"/>
  <c r="BK217" i="9"/>
  <c r="BK219" i="9"/>
  <c r="AP71" i="9"/>
  <c r="AP58" i="9"/>
  <c r="Q272" i="9"/>
  <c r="Q68" i="9"/>
  <c r="Q74" i="9" s="1"/>
  <c r="Q80" i="9" s="1"/>
  <c r="O227" i="9"/>
  <c r="L227" i="9"/>
  <c r="AD72" i="9"/>
  <c r="AD62" i="9"/>
  <c r="BH231" i="9"/>
  <c r="BH228" i="9"/>
  <c r="BH227" i="9" s="1"/>
  <c r="J38" i="12"/>
  <c r="J84" i="12" s="1"/>
  <c r="BH234" i="9"/>
  <c r="BH271" i="9"/>
  <c r="J94" i="12" s="1"/>
  <c r="Z234" i="9"/>
  <c r="Z43" i="9"/>
  <c r="Z228" i="9"/>
  <c r="AB227" i="9" s="1"/>
  <c r="AB226" i="9" s="1"/>
  <c r="AB225" i="9" s="1"/>
  <c r="Z271" i="9"/>
  <c r="BI38" i="9"/>
  <c r="BI42" i="9"/>
  <c r="BJ38" i="9"/>
  <c r="BJ42" i="9"/>
  <c r="AA43" i="9"/>
  <c r="W43" i="9"/>
  <c r="W271" i="9"/>
  <c r="W234" i="9"/>
  <c r="W228" i="9"/>
  <c r="BM35" i="9"/>
  <c r="O34" i="12" s="1"/>
  <c r="BM37" i="9"/>
  <c r="BE59" i="9"/>
  <c r="G34" i="12"/>
  <c r="BM58" i="9"/>
  <c r="BM71" i="9"/>
  <c r="H227" i="9"/>
  <c r="AU354" i="9"/>
  <c r="BF35" i="9"/>
  <c r="K228" i="9"/>
  <c r="K234" i="9"/>
  <c r="BF42" i="9"/>
  <c r="K271" i="9"/>
  <c r="O43" i="9"/>
  <c r="K43" i="9"/>
  <c r="BD35" i="9"/>
  <c r="C271" i="9"/>
  <c r="BD42" i="9"/>
  <c r="C228" i="9"/>
  <c r="C227" i="9" s="1"/>
  <c r="G43" i="9"/>
  <c r="K68" i="9"/>
  <c r="K74" i="9" s="1"/>
  <c r="K80" i="9" s="1"/>
  <c r="K272" i="9"/>
  <c r="C68" i="9"/>
  <c r="C74" i="9" s="1"/>
  <c r="C80" i="9" s="1"/>
  <c r="C272" i="9"/>
  <c r="G214" i="12"/>
  <c r="H214" i="12" s="1"/>
  <c r="BK28" i="9"/>
  <c r="AA180" i="9"/>
  <c r="AB182" i="9" s="1"/>
  <c r="AB183" i="9" s="1"/>
  <c r="Z181" i="9"/>
  <c r="Z180" i="9" s="1"/>
  <c r="Z182" i="9" s="1"/>
  <c r="Z183" i="9" s="1"/>
  <c r="AC182" i="9"/>
  <c r="AC183" i="9" s="1"/>
  <c r="BG35" i="9"/>
  <c r="V43" i="9"/>
  <c r="R43" i="9"/>
  <c r="R234" i="9"/>
  <c r="R271" i="9"/>
  <c r="R228" i="9"/>
  <c r="AB72" i="9"/>
  <c r="AB62" i="9"/>
  <c r="L29" i="12"/>
  <c r="AC274" i="9"/>
  <c r="AE274" i="9"/>
  <c r="AD274" i="9"/>
  <c r="AF274" i="9"/>
  <c r="AC185" i="9"/>
  <c r="AT301" i="8"/>
  <c r="AT306" i="8" s="1"/>
  <c r="AT295" i="8"/>
  <c r="AX368" i="8"/>
  <c r="BQ368" i="8" s="1"/>
  <c r="AX323" i="8"/>
  <c r="AX294" i="8"/>
  <c r="BQ294" i="8" s="1"/>
  <c r="AX290" i="8"/>
  <c r="BQ290" i="8" s="1"/>
  <c r="AX299" i="8"/>
  <c r="AT288" i="8"/>
  <c r="AT291" i="8"/>
  <c r="AT384" i="8"/>
  <c r="AT429" i="8"/>
  <c r="AT369" i="8"/>
  <c r="AP302" i="8"/>
  <c r="AP303" i="8"/>
  <c r="AP306" i="8"/>
  <c r="AL316" i="8"/>
  <c r="AL315" i="8"/>
  <c r="BP290" i="8"/>
  <c r="AP289" i="8"/>
  <c r="BO288" i="8"/>
  <c r="BO289" i="8" s="1"/>
  <c r="AE308" i="8"/>
  <c r="BM306" i="8"/>
  <c r="BM308" i="8" s="1"/>
  <c r="AE314" i="8"/>
  <c r="BM303" i="8"/>
  <c r="BM302" i="8"/>
  <c r="Z446" i="8"/>
  <c r="BK444" i="8"/>
  <c r="BK437" i="8"/>
  <c r="BK438" i="8"/>
  <c r="AB402" i="8"/>
  <c r="X402" i="8"/>
  <c r="BP157" i="8"/>
  <c r="BH217" i="9"/>
  <c r="BH219" i="9"/>
  <c r="BH215" i="9"/>
  <c r="BP384" i="8"/>
  <c r="BP369" i="8"/>
  <c r="L10" i="17"/>
  <c r="O10" i="17"/>
  <c r="BJ240" i="8"/>
  <c r="BK241" i="8" s="1"/>
  <c r="BJ243" i="8"/>
  <c r="BJ239" i="8"/>
  <c r="U241" i="8"/>
  <c r="Y241" i="8"/>
  <c r="U244" i="8"/>
  <c r="Y244" i="8"/>
  <c r="U245" i="8"/>
  <c r="AK321" i="8"/>
  <c r="AG321" i="8"/>
  <c r="AG319" i="8"/>
  <c r="AT431" i="8"/>
  <c r="AT414" i="8"/>
  <c r="AL186" i="9"/>
  <c r="AN315" i="8"/>
  <c r="AR306" i="8"/>
  <c r="AR302" i="8"/>
  <c r="AR303" i="8"/>
  <c r="BP295" i="8"/>
  <c r="BP296" i="8"/>
  <c r="AV384" i="8"/>
  <c r="AV429" i="8"/>
  <c r="AV369" i="8"/>
  <c r="AV288" i="8"/>
  <c r="AV291" i="8"/>
  <c r="AV301" i="8"/>
  <c r="AV295" i="8"/>
  <c r="BR285" i="8"/>
  <c r="AR289" i="8"/>
  <c r="AH199" i="8"/>
  <c r="AH200" i="8" s="1"/>
  <c r="BM192" i="8"/>
  <c r="BK133" i="8"/>
  <c r="BJ133" i="8"/>
  <c r="X649" i="8"/>
  <c r="W647" i="8"/>
  <c r="J76" i="12"/>
  <c r="J49" i="12"/>
  <c r="J90" i="12"/>
  <c r="K48" i="12"/>
  <c r="J48" i="12"/>
  <c r="J34" i="12"/>
  <c r="T271" i="9"/>
  <c r="T234" i="9"/>
  <c r="T228" i="9"/>
  <c r="V227" i="9" s="1"/>
  <c r="T43" i="9"/>
  <c r="AL187" i="8"/>
  <c r="AL192" i="8"/>
  <c r="AL185" i="8"/>
  <c r="AL184" i="8" s="1"/>
  <c r="AL160" i="8" s="1"/>
  <c r="BO167" i="8"/>
  <c r="AP161" i="8"/>
  <c r="AP163" i="8" s="1"/>
  <c r="AC713" i="8"/>
  <c r="AC706" i="8"/>
  <c r="BL704" i="8"/>
  <c r="BL713" i="8" s="1"/>
  <c r="AD713" i="8"/>
  <c r="AD706" i="8"/>
  <c r="AH713" i="8"/>
  <c r="AH706" i="8"/>
  <c r="AB246" i="8"/>
  <c r="AG713" i="8"/>
  <c r="AG706" i="8"/>
  <c r="AL706" i="8"/>
  <c r="AL713" i="8"/>
  <c r="AN713" i="8"/>
  <c r="AN706" i="8"/>
  <c r="AM706" i="8"/>
  <c r="AM713" i="8"/>
  <c r="BO704" i="8"/>
  <c r="BO713" i="8" s="1"/>
  <c r="AJ706" i="8"/>
  <c r="AJ713" i="8"/>
  <c r="AI307" i="8"/>
  <c r="BN306" i="8"/>
  <c r="AI308" i="8"/>
  <c r="BN302" i="8"/>
  <c r="BN303" i="8"/>
  <c r="BO299" i="8"/>
  <c r="BO298" i="8"/>
  <c r="AM306" i="8"/>
  <c r="BO301" i="8"/>
  <c r="AM303" i="8"/>
  <c r="AM302" i="8"/>
  <c r="AU297" i="8"/>
  <c r="BQ297" i="8" s="1"/>
  <c r="BP297" i="8"/>
  <c r="AQ301" i="8"/>
  <c r="AQ299" i="8"/>
  <c r="N61" i="12"/>
  <c r="BN506" i="8"/>
  <c r="BN704" i="8"/>
  <c r="BN713" i="8" s="1"/>
  <c r="AI713" i="8"/>
  <c r="AI706" i="8"/>
  <c r="AK713" i="8"/>
  <c r="AK706" i="8"/>
  <c r="AF713" i="8"/>
  <c r="AF706" i="8"/>
  <c r="AE706" i="8"/>
  <c r="AE713" i="8"/>
  <c r="BM704" i="8"/>
  <c r="BM713" i="8" s="1"/>
  <c r="AU706" i="8"/>
  <c r="AU713" i="8"/>
  <c r="AR713" i="8"/>
  <c r="AR706" i="8"/>
  <c r="AT713" i="8"/>
  <c r="AT706" i="8"/>
  <c r="AQ713" i="8"/>
  <c r="BP704" i="8"/>
  <c r="BP713" i="8" s="1"/>
  <c r="AQ706" i="8"/>
  <c r="AO713" i="8"/>
  <c r="AO706" i="8"/>
  <c r="AX713" i="8"/>
  <c r="AX706" i="8"/>
  <c r="AW706" i="8"/>
  <c r="AW713" i="8"/>
  <c r="AP713" i="8"/>
  <c r="AP706" i="8"/>
  <c r="AV706" i="8"/>
  <c r="AV713" i="8"/>
  <c r="AS706" i="8"/>
  <c r="AS713" i="8"/>
  <c r="AM227" i="9"/>
  <c r="AM226" i="9" s="1"/>
  <c r="AM225" i="9" s="1"/>
  <c r="BM334" i="8"/>
  <c r="BM333" i="8" s="1"/>
  <c r="BM337" i="8" s="1"/>
  <c r="BL331" i="8"/>
  <c r="AE337" i="8"/>
  <c r="AE351" i="8"/>
  <c r="AE350" i="8" s="1"/>
  <c r="AI350" i="8" s="1"/>
  <c r="AM350" i="8" s="1"/>
  <c r="AK4" i="8"/>
  <c r="AL339" i="8"/>
  <c r="AM340" i="8"/>
  <c r="AN340" i="8" s="1"/>
  <c r="AR518" i="8"/>
  <c r="AS519" i="8"/>
  <c r="AO179" i="8"/>
  <c r="AG186" i="9"/>
  <c r="AP498" i="8"/>
  <c r="AP491" i="8"/>
  <c r="AP492" i="8"/>
  <c r="AX490" i="8"/>
  <c r="AX487" i="8"/>
  <c r="AX486" i="8"/>
  <c r="BR165" i="8"/>
  <c r="BS165" i="8" s="1"/>
  <c r="BT165" i="8" s="1"/>
  <c r="BU165" i="8" s="1"/>
  <c r="BP166" i="8"/>
  <c r="N32" i="12"/>
  <c r="N34" i="12"/>
  <c r="AI43" i="9"/>
  <c r="AI228" i="9"/>
  <c r="AI271" i="9"/>
  <c r="AI234" i="9"/>
  <c r="AM43" i="9"/>
  <c r="BL59" i="9"/>
  <c r="BL185" i="9"/>
  <c r="BL186" i="9" s="1"/>
  <c r="BL274" i="9"/>
  <c r="M32" i="12"/>
  <c r="M34" i="12"/>
  <c r="BK185" i="9"/>
  <c r="BK186" i="9" s="1"/>
  <c r="BK274" i="9"/>
  <c r="AJ402" i="8"/>
  <c r="AF402" i="8"/>
  <c r="AM68" i="9"/>
  <c r="AM74" i="9" s="1"/>
  <c r="AM80" i="9" s="1"/>
  <c r="AM272" i="9"/>
  <c r="AK43" i="9"/>
  <c r="AG234" i="9"/>
  <c r="AG228" i="9"/>
  <c r="AG271" i="9"/>
  <c r="AT486" i="8"/>
  <c r="AT490" i="8"/>
  <c r="BC490" i="8" s="1"/>
  <c r="AT487" i="8"/>
  <c r="AP171" i="8"/>
  <c r="AB43" i="9"/>
  <c r="X43" i="9"/>
  <c r="X271" i="9"/>
  <c r="X228" i="9"/>
  <c r="X234" i="9"/>
  <c r="Y186" i="9"/>
  <c r="X186" i="9"/>
  <c r="Z186" i="9"/>
  <c r="AN162" i="8"/>
  <c r="AN192" i="8"/>
  <c r="AN199" i="8" s="1"/>
  <c r="AN187" i="8"/>
  <c r="BO176" i="8"/>
  <c r="AM170" i="8"/>
  <c r="AM179" i="8" s="1"/>
  <c r="W246" i="8"/>
  <c r="AA246" i="8"/>
  <c r="AF317" i="8"/>
  <c r="AF320" i="8"/>
  <c r="BG274" i="9"/>
  <c r="BG185" i="9"/>
  <c r="BG186" i="9" s="1"/>
  <c r="BF274" i="9"/>
  <c r="BF185" i="9"/>
  <c r="BF186" i="9" s="1"/>
  <c r="K57" i="12"/>
  <c r="BL241" i="8"/>
  <c r="AJ199" i="8"/>
  <c r="K32" i="12"/>
  <c r="K34" i="12"/>
  <c r="X72" i="9"/>
  <c r="X62" i="9"/>
  <c r="Y322" i="8"/>
  <c r="Z322" i="8" s="1"/>
  <c r="AA322" i="8" s="1"/>
  <c r="X320" i="8"/>
  <c r="BI185" i="9"/>
  <c r="BI186" i="9" s="1"/>
  <c r="BI274" i="9"/>
  <c r="AN72" i="9"/>
  <c r="AN62" i="9"/>
  <c r="J185" i="12"/>
  <c r="AS607" i="8"/>
  <c r="AT607" i="8" s="1"/>
  <c r="AU607" i="8" s="1"/>
  <c r="AE272" i="9"/>
  <c r="AE68" i="9"/>
  <c r="AE74" i="9" s="1"/>
  <c r="AE80" i="9" s="1"/>
  <c r="W68" i="9"/>
  <c r="W74" i="9" s="1"/>
  <c r="W80" i="9" s="1"/>
  <c r="W272" i="9"/>
  <c r="T272" i="9"/>
  <c r="T68" i="9"/>
  <c r="T74" i="9" s="1"/>
  <c r="T80" i="9" s="1"/>
  <c r="BU174" i="8"/>
  <c r="BL506" i="8"/>
  <c r="BK506" i="8"/>
  <c r="K61" i="12"/>
  <c r="AO162" i="8"/>
  <c r="AO187" i="8"/>
  <c r="AO192" i="8"/>
  <c r="AO199" i="8" s="1"/>
  <c r="AD219" i="9"/>
  <c r="AD217" i="9"/>
  <c r="BJ212" i="9"/>
  <c r="AD215" i="9"/>
  <c r="AJ316" i="8"/>
  <c r="AN317" i="8" s="1"/>
  <c r="AJ315" i="8"/>
  <c r="AJ344" i="8"/>
  <c r="AJ5" i="8"/>
  <c r="AJ354" i="8"/>
  <c r="AJ355" i="8" s="1"/>
  <c r="AK342" i="8"/>
  <c r="BN354" i="8"/>
  <c r="BN355" i="8" s="1"/>
  <c r="AI355" i="8"/>
  <c r="AI339" i="8"/>
  <c r="AE4" i="8"/>
  <c r="BM339" i="8"/>
  <c r="BL342" i="8"/>
  <c r="BL340" i="8"/>
  <c r="BK340" i="8"/>
  <c r="BK342" i="8"/>
  <c r="BK343" i="8" s="1"/>
  <c r="BJ317" i="8"/>
  <c r="BJ322" i="8"/>
  <c r="Y315" i="8"/>
  <c r="Y316" i="8"/>
  <c r="BK292" i="8"/>
  <c r="BK291" i="8"/>
  <c r="BK288" i="8"/>
  <c r="BK289" i="8" s="1"/>
  <c r="Z289" i="8"/>
  <c r="BK306" i="8"/>
  <c r="Z307" i="8"/>
  <c r="Z308" i="8"/>
  <c r="Z314" i="8"/>
  <c r="AE307" i="8"/>
  <c r="AA307" i="8"/>
  <c r="AA314" i="8"/>
  <c r="AA308" i="8"/>
  <c r="BL306" i="8"/>
  <c r="AA289" i="8"/>
  <c r="BL288" i="8"/>
  <c r="AE289" i="8"/>
  <c r="BL291" i="8"/>
  <c r="BL292" i="8"/>
  <c r="BM291" i="8"/>
  <c r="AW315" i="8"/>
  <c r="AW316" i="8"/>
  <c r="W320" i="8"/>
  <c r="W317" i="8"/>
  <c r="AV326" i="8"/>
  <c r="AG246" i="8"/>
  <c r="AK246" i="8"/>
  <c r="AH186" i="9"/>
  <c r="AK186" i="9"/>
  <c r="AJ186" i="9"/>
  <c r="AI186" i="9"/>
  <c r="AF72" i="9"/>
  <c r="AF62" i="9"/>
  <c r="BR461" i="8"/>
  <c r="M19" i="10"/>
  <c r="L20" i="10"/>
  <c r="AQ597" i="8"/>
  <c r="AU597" i="8" s="1"/>
  <c r="AM600" i="8"/>
  <c r="AM601" i="8" s="1"/>
  <c r="AK49" i="10"/>
  <c r="AJ52" i="10"/>
  <c r="AP597" i="8"/>
  <c r="AL600" i="8"/>
  <c r="AJ597" i="8"/>
  <c r="AH601" i="8"/>
  <c r="BM600" i="8"/>
  <c r="BM601" i="8" s="1"/>
  <c r="BP471" i="8"/>
  <c r="H164" i="12"/>
  <c r="BP482" i="8"/>
  <c r="BP405" i="8"/>
  <c r="BP404" i="8" s="1"/>
  <c r="AR490" i="8"/>
  <c r="AV491" i="8" s="1"/>
  <c r="AD20" i="16"/>
  <c r="AS456" i="8"/>
  <c r="AS458" i="8"/>
  <c r="AS459" i="8" s="1"/>
  <c r="AT455" i="8" s="1"/>
  <c r="BP473" i="8"/>
  <c r="BQ474" i="8" s="1"/>
  <c r="AS474" i="8"/>
  <c r="AS485" i="8"/>
  <c r="AS478" i="8"/>
  <c r="BP477" i="8"/>
  <c r="W20" i="16"/>
  <c r="AO12" i="16"/>
  <c r="AO13" i="16" s="1"/>
  <c r="AO14" i="16" s="1"/>
  <c r="W196" i="16"/>
  <c r="W190" i="16"/>
  <c r="AO180" i="16"/>
  <c r="AO196" i="16" s="1"/>
  <c r="W181" i="16"/>
  <c r="AA7" i="16"/>
  <c r="AA16" i="16"/>
  <c r="AP16" i="16" s="1"/>
  <c r="AA12" i="16"/>
  <c r="AA180" i="16"/>
  <c r="AA10" i="16"/>
  <c r="AP6" i="16"/>
  <c r="AP7" i="16" s="1"/>
  <c r="AP195" i="16"/>
  <c r="AP136" i="16"/>
  <c r="AQ4" i="16"/>
  <c r="AQ131" i="16"/>
  <c r="AR130" i="16"/>
  <c r="AS132" i="16"/>
  <c r="X196" i="16"/>
  <c r="X181" i="16"/>
  <c r="X190" i="16"/>
  <c r="AB196" i="16"/>
  <c r="AB181" i="16"/>
  <c r="AB190" i="16"/>
  <c r="Z196" i="16"/>
  <c r="Z181" i="16"/>
  <c r="Z190" i="16"/>
  <c r="AD196" i="16"/>
  <c r="AD181" i="16"/>
  <c r="AD190" i="16"/>
  <c r="Y196" i="16"/>
  <c r="Y181" i="16"/>
  <c r="Y190" i="16"/>
  <c r="AC196" i="16"/>
  <c r="AC190" i="16"/>
  <c r="AC181" i="16"/>
  <c r="AV186" i="16"/>
  <c r="AV352" i="9"/>
  <c r="AV304" i="9" s="1"/>
  <c r="AV303" i="9" s="1"/>
  <c r="AW353" i="9"/>
  <c r="AM200" i="8"/>
  <c r="AO16" i="16"/>
  <c r="AB20" i="16"/>
  <c r="X20" i="16"/>
  <c r="X10" i="16"/>
  <c r="Z20" i="16"/>
  <c r="Z10" i="16"/>
  <c r="Y20" i="16"/>
  <c r="Y10" i="16"/>
  <c r="AC20" i="16"/>
  <c r="AC10" i="16"/>
  <c r="AC317" i="9"/>
  <c r="AC316" i="9" s="1"/>
  <c r="AD319" i="9"/>
  <c r="BM331" i="9"/>
  <c r="AP329" i="9"/>
  <c r="BM329" i="9" s="1"/>
  <c r="AQ328" i="9"/>
  <c r="AQ331" i="9"/>
  <c r="AR330" i="9"/>
  <c r="AE321" i="9"/>
  <c r="AF340" i="9"/>
  <c r="AE342" i="9"/>
  <c r="BK342" i="9" s="1"/>
  <c r="BK340" i="9"/>
  <c r="AA341" i="9"/>
  <c r="AB322" i="9"/>
  <c r="AC323" i="9"/>
  <c r="BI341" i="9"/>
  <c r="BI347" i="9" s="1"/>
  <c r="Z347" i="9"/>
  <c r="Z343" i="9"/>
  <c r="BN205" i="9"/>
  <c r="BN276" i="9"/>
  <c r="BN269" i="9"/>
  <c r="BN96" i="9"/>
  <c r="BN222" i="9"/>
  <c r="BL219" i="9"/>
  <c r="BL217" i="9"/>
  <c r="BI219" i="9"/>
  <c r="BI215" i="9"/>
  <c r="BI217" i="9"/>
  <c r="AO72" i="9"/>
  <c r="AO62" i="9"/>
  <c r="AM396" i="8"/>
  <c r="AO397" i="8"/>
  <c r="AN395" i="8"/>
  <c r="AM440" i="8"/>
  <c r="AM441" i="8" s="1"/>
  <c r="AN442" i="8"/>
  <c r="BN440" i="8"/>
  <c r="BN442" i="8" s="1"/>
  <c r="AP569" i="8"/>
  <c r="BO569" i="8" s="1"/>
  <c r="BO571" i="8" s="1"/>
  <c r="AQ571" i="8"/>
  <c r="Z246" i="8"/>
  <c r="V246" i="8"/>
  <c r="AP186" i="9"/>
  <c r="AN186" i="9"/>
  <c r="AO186" i="9"/>
  <c r="AN43" i="9"/>
  <c r="AN271" i="9"/>
  <c r="AN228" i="9"/>
  <c r="AN230" i="9"/>
  <c r="AN233" i="9" s="1"/>
  <c r="AO234" i="9"/>
  <c r="AO75" i="9"/>
  <c r="BK72" i="9"/>
  <c r="BK62" i="9"/>
  <c r="AC72" i="9"/>
  <c r="AC62" i="9"/>
  <c r="BO244" i="8"/>
  <c r="BN244" i="8"/>
  <c r="AM246" i="8"/>
  <c r="AI246" i="8"/>
  <c r="M57" i="12"/>
  <c r="BM241" i="8"/>
  <c r="BM245" i="8"/>
  <c r="BM246" i="8" s="1"/>
  <c r="BM244" i="8"/>
  <c r="AI200" i="8"/>
  <c r="BM400" i="8"/>
  <c r="BM401" i="8"/>
  <c r="AE402" i="8"/>
  <c r="AI402" i="8"/>
  <c r="BM444" i="8"/>
  <c r="AE446" i="8"/>
  <c r="BM437" i="8"/>
  <c r="BM438" i="8"/>
  <c r="BP429" i="8"/>
  <c r="BP414" i="8"/>
  <c r="BP431" i="8"/>
  <c r="BR254" i="8"/>
  <c r="BS364" i="8"/>
  <c r="BR264" i="8"/>
  <c r="BJ59" i="9"/>
  <c r="BJ274" i="9"/>
  <c r="BJ185" i="9"/>
  <c r="BJ186" i="9" s="1"/>
  <c r="AN320" i="8"/>
  <c r="AS320" i="8"/>
  <c r="AS317" i="8"/>
  <c r="AO321" i="8"/>
  <c r="AO319" i="8"/>
  <c r="Y701" i="8"/>
  <c r="Y703" i="8" s="1"/>
  <c r="Z690" i="8"/>
  <c r="Y691" i="8"/>
  <c r="AQ347" i="8"/>
  <c r="AU347" i="8" s="1"/>
  <c r="BQ347" i="8" s="1"/>
  <c r="BO347" i="8"/>
  <c r="BO348" i="8" s="1"/>
  <c r="AI6" i="8"/>
  <c r="BN6" i="8" s="1"/>
  <c r="AI316" i="8"/>
  <c r="BN314" i="8"/>
  <c r="AO334" i="8"/>
  <c r="AO333" i="8" s="1"/>
  <c r="AO351" i="8" s="1"/>
  <c r="AO350" i="8" s="1"/>
  <c r="AK331" i="8"/>
  <c r="AL328" i="8"/>
  <c r="BO337" i="8"/>
  <c r="BL438" i="8"/>
  <c r="BL437" i="8"/>
  <c r="BL444" i="8"/>
  <c r="AA446" i="8"/>
  <c r="BM422" i="8"/>
  <c r="BL422" i="8"/>
  <c r="BL400" i="8"/>
  <c r="BL401" i="8"/>
  <c r="BK354" i="8"/>
  <c r="Z355" i="8"/>
  <c r="BK344" i="8"/>
  <c r="BK350" i="8" s="1"/>
  <c r="BK351" i="8" s="1"/>
  <c r="BK352" i="8" s="1"/>
  <c r="Z6" i="8"/>
  <c r="AA344" i="8"/>
  <c r="AA5" i="8"/>
  <c r="BL5" i="8" s="1"/>
  <c r="AA354" i="8"/>
  <c r="AI68" i="9"/>
  <c r="AI74" i="9" s="1"/>
  <c r="AI80" i="9" s="1"/>
  <c r="AI272" i="9"/>
  <c r="AG272" i="9"/>
  <c r="AG68" i="9"/>
  <c r="AG74" i="9" s="1"/>
  <c r="AG80" i="9" s="1"/>
  <c r="AJ272" i="9"/>
  <c r="AJ68" i="9"/>
  <c r="AJ74" i="9" s="1"/>
  <c r="AJ80" i="9" s="1"/>
  <c r="AH272" i="9"/>
  <c r="AH68" i="9"/>
  <c r="AH74" i="9" s="1"/>
  <c r="AH80" i="9" s="1"/>
  <c r="AK68" i="9"/>
  <c r="AK74" i="9" s="1"/>
  <c r="AK80" i="9" s="1"/>
  <c r="AK272" i="9"/>
  <c r="Z68" i="9"/>
  <c r="Z74" i="9" s="1"/>
  <c r="Z80" i="9" s="1"/>
  <c r="Z272" i="9"/>
  <c r="BH72" i="9"/>
  <c r="BH62" i="9"/>
  <c r="BI72" i="9"/>
  <c r="BI62" i="9"/>
  <c r="Z693" i="8"/>
  <c r="BJ335" i="9"/>
  <c r="AL337" i="9"/>
  <c r="AM336" i="9"/>
  <c r="BL336" i="9"/>
  <c r="AL334" i="9"/>
  <c r="BK335" i="9"/>
  <c r="BU214" i="8"/>
  <c r="BU74" i="8" s="1"/>
  <c r="BS15" i="9" s="1"/>
  <c r="BS76" i="8"/>
  <c r="BQ15" i="9"/>
  <c r="S24" i="12"/>
  <c r="AO492" i="8"/>
  <c r="AO491" i="8"/>
  <c r="AO498" i="8"/>
  <c r="BO490" i="8"/>
  <c r="AQ180" i="9"/>
  <c r="AQ182" i="9" s="1"/>
  <c r="AQ183" i="9" s="1"/>
  <c r="AR181" i="9"/>
  <c r="BO485" i="8"/>
  <c r="BO478" i="8"/>
  <c r="BO479" i="8"/>
  <c r="G169" i="12"/>
  <c r="I164" i="12"/>
  <c r="I162" i="12" s="1"/>
  <c r="AR487" i="8"/>
  <c r="AR486" i="8"/>
  <c r="AT354" i="9"/>
  <c r="BN354" i="9" s="1"/>
  <c r="BN352" i="9"/>
  <c r="BO475" i="8"/>
  <c r="BO476" i="8" s="1"/>
  <c r="BO474" i="8"/>
  <c r="AO8" i="8"/>
  <c r="AP458" i="8"/>
  <c r="AP456" i="8"/>
  <c r="AO486" i="8"/>
  <c r="AO487" i="8"/>
  <c r="BR109" i="9"/>
  <c r="BQ108" i="9"/>
  <c r="O31" i="12"/>
  <c r="O32" i="12" s="1"/>
  <c r="AP43" i="9"/>
  <c r="AP230" i="9"/>
  <c r="AP228" i="9"/>
  <c r="AQ216" i="9"/>
  <c r="AQ217" i="9" s="1"/>
  <c r="AQ219" i="9"/>
  <c r="AQ131" i="8"/>
  <c r="AQ215" i="9"/>
  <c r="BU382" i="8"/>
  <c r="AQ129" i="9"/>
  <c r="AQ366" i="9"/>
  <c r="AQ367" i="9" s="1"/>
  <c r="BU555" i="8"/>
  <c r="AR63" i="9"/>
  <c r="J71" i="12"/>
  <c r="J93" i="12" s="1"/>
  <c r="K69" i="12"/>
  <c r="L69" i="12" s="1"/>
  <c r="I93" i="12"/>
  <c r="BS139" i="9" l="1"/>
  <c r="AA272" i="9"/>
  <c r="X246" i="8"/>
  <c r="BO222" i="9"/>
  <c r="BO96" i="9"/>
  <c r="BO276" i="9"/>
  <c r="BO205" i="9"/>
  <c r="BO269" i="9"/>
  <c r="BM199" i="8"/>
  <c r="BM200" i="8" s="1"/>
  <c r="AD402" i="8"/>
  <c r="BM532" i="8"/>
  <c r="BM533" i="8" s="1"/>
  <c r="AG533" i="8"/>
  <c r="AJ532" i="8"/>
  <c r="AJ533" i="8" s="1"/>
  <c r="AJ530" i="8"/>
  <c r="AK530" i="8" s="1"/>
  <c r="AL46" i="10"/>
  <c r="AL47" i="10" s="1"/>
  <c r="AL510" i="8" s="1"/>
  <c r="AK509" i="8"/>
  <c r="AK47" i="10"/>
  <c r="U272" i="9"/>
  <c r="U68" i="9"/>
  <c r="U74" i="9" s="1"/>
  <c r="U80" i="9" s="1"/>
  <c r="AX148" i="8"/>
  <c r="BQ147" i="8"/>
  <c r="BQ148" i="8" s="1"/>
  <c r="AP150" i="8"/>
  <c r="AP186" i="8"/>
  <c r="AT187" i="8" s="1"/>
  <c r="BO149" i="8"/>
  <c r="BO150" i="8" s="1"/>
  <c r="AU358" i="9"/>
  <c r="AV359" i="9"/>
  <c r="R227" i="9"/>
  <c r="BP141" i="9"/>
  <c r="BP161" i="9" s="1"/>
  <c r="BO161" i="9"/>
  <c r="BQ157" i="8"/>
  <c r="BR156" i="8"/>
  <c r="BN163" i="8"/>
  <c r="AK148" i="8"/>
  <c r="AO148" i="8"/>
  <c r="AH320" i="8"/>
  <c r="AH317" i="8"/>
  <c r="AW486" i="8"/>
  <c r="BQ478" i="8"/>
  <c r="AW490" i="8"/>
  <c r="AW487" i="8"/>
  <c r="BQ485" i="8"/>
  <c r="BQ487" i="8" s="1"/>
  <c r="BQ479" i="8"/>
  <c r="BH53" i="9"/>
  <c r="BH52" i="9" s="1"/>
  <c r="BP350" i="9"/>
  <c r="BP64" i="9"/>
  <c r="BQ135" i="9"/>
  <c r="BQ162" i="9" s="1"/>
  <c r="BG271" i="9"/>
  <c r="I94" i="12" s="1"/>
  <c r="I38" i="12"/>
  <c r="BG231" i="9"/>
  <c r="BG234" i="9"/>
  <c r="BG228" i="9"/>
  <c r="BG227" i="9" s="1"/>
  <c r="BH43" i="9"/>
  <c r="G38" i="12"/>
  <c r="BE231" i="9"/>
  <c r="BE234" i="9"/>
  <c r="BE228" i="9"/>
  <c r="BE227" i="9" s="1"/>
  <c r="BE271" i="9"/>
  <c r="G94" i="12" s="1"/>
  <c r="BM42" i="9"/>
  <c r="O38" i="12"/>
  <c r="AL68" i="9"/>
  <c r="AL74" i="9" s="1"/>
  <c r="AL80" i="9" s="1"/>
  <c r="AL272" i="9"/>
  <c r="BQ413" i="8"/>
  <c r="BQ429" i="8" s="1"/>
  <c r="AX414" i="8"/>
  <c r="AX431" i="8"/>
  <c r="AT289" i="8"/>
  <c r="BP288" i="8"/>
  <c r="BP289" i="8" s="1"/>
  <c r="BP291" i="8"/>
  <c r="BP292" i="8"/>
  <c r="AR586" i="8"/>
  <c r="AS588" i="8"/>
  <c r="Q25" i="12"/>
  <c r="BR265" i="8"/>
  <c r="BS266" i="8"/>
  <c r="BS261" i="8"/>
  <c r="BR259" i="8"/>
  <c r="BQ410" i="8"/>
  <c r="BR409" i="8"/>
  <c r="BQ369" i="8"/>
  <c r="BQ384" i="8"/>
  <c r="BQ296" i="8"/>
  <c r="BR296" i="8" s="1"/>
  <c r="BQ295" i="8"/>
  <c r="BQ291" i="8"/>
  <c r="BQ292" i="8"/>
  <c r="BR292" i="8" s="1"/>
  <c r="AL320" i="8"/>
  <c r="AL317" i="8"/>
  <c r="AV289" i="8"/>
  <c r="BQ299" i="8"/>
  <c r="BQ298" i="8"/>
  <c r="AX492" i="8"/>
  <c r="BR587" i="8"/>
  <c r="BS587" i="8" s="1"/>
  <c r="BQ591" i="8"/>
  <c r="AD68" i="9"/>
  <c r="AD74" i="9" s="1"/>
  <c r="AD80" i="9" s="1"/>
  <c r="AD272" i="9"/>
  <c r="AP59" i="9"/>
  <c r="AB68" i="9"/>
  <c r="AB74" i="9" s="1"/>
  <c r="AB80" i="9" s="1"/>
  <c r="AB272" i="9"/>
  <c r="J82" i="12"/>
  <c r="BE62" i="9"/>
  <c r="BE72" i="9"/>
  <c r="N227" i="9"/>
  <c r="K227" i="9"/>
  <c r="BM59" i="9"/>
  <c r="H34" i="12"/>
  <c r="BF59" i="9"/>
  <c r="BF231" i="9"/>
  <c r="BF271" i="9"/>
  <c r="H94" i="12" s="1"/>
  <c r="BF228" i="9"/>
  <c r="BF227" i="9" s="1"/>
  <c r="BF234" i="9"/>
  <c r="H38" i="12"/>
  <c r="BG43" i="9"/>
  <c r="BF43" i="9"/>
  <c r="C34" i="12"/>
  <c r="BD59" i="9"/>
  <c r="C38" i="12"/>
  <c r="BD231" i="9"/>
  <c r="BD234" i="9"/>
  <c r="BD271" i="9"/>
  <c r="C94" i="12" s="1"/>
  <c r="BE43" i="9"/>
  <c r="E214" i="12"/>
  <c r="E215" i="12" s="1"/>
  <c r="AL38" i="9"/>
  <c r="AH38" i="9"/>
  <c r="I34" i="12"/>
  <c r="BG59" i="9"/>
  <c r="AA182" i="9"/>
  <c r="AA183" i="9" s="1"/>
  <c r="AG43" i="9"/>
  <c r="AC43" i="9"/>
  <c r="AC228" i="9"/>
  <c r="AC234" i="9"/>
  <c r="AC271" i="9"/>
  <c r="L32" i="12"/>
  <c r="L34" i="12"/>
  <c r="AC186" i="9"/>
  <c r="AD186" i="9"/>
  <c r="AF186" i="9"/>
  <c r="AE186" i="9"/>
  <c r="AT302" i="8"/>
  <c r="AT303" i="8"/>
  <c r="AX384" i="8"/>
  <c r="AX369" i="8"/>
  <c r="AX429" i="8"/>
  <c r="AX301" i="8"/>
  <c r="AX295" i="8"/>
  <c r="AX288" i="8"/>
  <c r="AX291" i="8"/>
  <c r="AP314" i="8"/>
  <c r="AP308" i="8"/>
  <c r="AP307" i="8"/>
  <c r="AT307" i="8"/>
  <c r="AT314" i="8"/>
  <c r="AT308" i="8"/>
  <c r="BM314" i="8"/>
  <c r="AE316" i="8"/>
  <c r="AI315" i="8"/>
  <c r="BK446" i="8"/>
  <c r="BK445" i="8"/>
  <c r="U246" i="8"/>
  <c r="Y246" i="8"/>
  <c r="BS285" i="8"/>
  <c r="BR368" i="8"/>
  <c r="X647" i="8"/>
  <c r="Y649" i="8"/>
  <c r="W646" i="8"/>
  <c r="W648" i="8"/>
  <c r="W227" i="9"/>
  <c r="T227" i="9"/>
  <c r="AR307" i="8"/>
  <c r="AR314" i="8"/>
  <c r="AR308" i="8"/>
  <c r="AV306" i="8"/>
  <c r="AV302" i="8"/>
  <c r="AV303" i="8"/>
  <c r="AP162" i="8"/>
  <c r="AP179" i="8"/>
  <c r="AP181" i="8" s="1"/>
  <c r="AU301" i="8"/>
  <c r="AU302" i="8" s="1"/>
  <c r="AU299" i="8"/>
  <c r="BO168" i="8"/>
  <c r="BO161" i="8"/>
  <c r="AL199" i="8"/>
  <c r="BN192" i="8"/>
  <c r="BN307" i="8"/>
  <c r="BN308" i="8"/>
  <c r="AM314" i="8"/>
  <c r="BO306" i="8"/>
  <c r="AM308" i="8"/>
  <c r="AM307" i="8"/>
  <c r="BO303" i="8"/>
  <c r="BO302" i="8"/>
  <c r="BP298" i="8"/>
  <c r="BP299" i="8"/>
  <c r="AQ306" i="8"/>
  <c r="BP301" i="8"/>
  <c r="AQ302" i="8"/>
  <c r="AQ303" i="8"/>
  <c r="AC68" i="9"/>
  <c r="AC74" i="9" s="1"/>
  <c r="AC80" i="9" s="1"/>
  <c r="AC272" i="9"/>
  <c r="AL4" i="8"/>
  <c r="BN339" i="8"/>
  <c r="AN339" i="8"/>
  <c r="AO340" i="8"/>
  <c r="AS518" i="8"/>
  <c r="AT519" i="8"/>
  <c r="AP503" i="8"/>
  <c r="AP500" i="8"/>
  <c r="AP499" i="8"/>
  <c r="BL46" i="9"/>
  <c r="N38" i="12"/>
  <c r="BL228" i="9"/>
  <c r="BL227" i="9" s="1"/>
  <c r="BL271" i="9"/>
  <c r="N94" i="12" s="1"/>
  <c r="BL234" i="9"/>
  <c r="BL231" i="9"/>
  <c r="BL43" i="9"/>
  <c r="AL227" i="9"/>
  <c r="AL226" i="9" s="1"/>
  <c r="AL225" i="9" s="1"/>
  <c r="AK227" i="9"/>
  <c r="AK226" i="9" s="1"/>
  <c r="AK225" i="9" s="1"/>
  <c r="BL72" i="9"/>
  <c r="BL62" i="9"/>
  <c r="BK271" i="9"/>
  <c r="M94" i="12" s="1"/>
  <c r="M38" i="12"/>
  <c r="BK234" i="9"/>
  <c r="BK231" i="9"/>
  <c r="BK228" i="9"/>
  <c r="BK227" i="9" s="1"/>
  <c r="BK46" i="9"/>
  <c r="AJ227" i="9"/>
  <c r="AJ226" i="9" s="1"/>
  <c r="AJ225" i="9" s="1"/>
  <c r="AI227" i="9"/>
  <c r="AI226" i="9" s="1"/>
  <c r="AI225" i="9" s="1"/>
  <c r="AG227" i="9"/>
  <c r="AG226" i="9" s="1"/>
  <c r="AG225" i="9" s="1"/>
  <c r="AH227" i="9"/>
  <c r="AH226" i="9" s="1"/>
  <c r="AH225" i="9" s="1"/>
  <c r="AA227" i="9"/>
  <c r="AA226" i="9" s="1"/>
  <c r="AA225" i="9" s="1"/>
  <c r="Y227" i="9"/>
  <c r="Z227" i="9"/>
  <c r="X227" i="9"/>
  <c r="K38" i="12"/>
  <c r="BI234" i="9"/>
  <c r="BI231" i="9"/>
  <c r="BI43" i="9"/>
  <c r="BI228" i="9"/>
  <c r="BI227" i="9" s="1"/>
  <c r="BI271" i="9"/>
  <c r="K94" i="12" s="1"/>
  <c r="AO272" i="9"/>
  <c r="AO68" i="9"/>
  <c r="AO74" i="9" s="1"/>
  <c r="AO80" i="9" s="1"/>
  <c r="AP226" i="9"/>
  <c r="AP225" i="9" s="1"/>
  <c r="AT492" i="8"/>
  <c r="AT491" i="8"/>
  <c r="AX491" i="8"/>
  <c r="AN200" i="8"/>
  <c r="AJ200" i="8"/>
  <c r="BR637" i="8"/>
  <c r="BS637" i="8" s="1"/>
  <c r="BK272" i="9"/>
  <c r="M95" i="12" s="1"/>
  <c r="BK68" i="9"/>
  <c r="BK74" i="9" s="1"/>
  <c r="BK80" i="9" s="1"/>
  <c r="AQ170" i="8"/>
  <c r="BO170" i="8"/>
  <c r="AM171" i="8"/>
  <c r="AF321" i="8"/>
  <c r="AF319" i="8"/>
  <c r="X272" i="9"/>
  <c r="X68" i="9"/>
  <c r="X74" i="9" s="1"/>
  <c r="X80" i="9" s="1"/>
  <c r="AN272" i="9"/>
  <c r="AN68" i="9"/>
  <c r="AN74" i="9" s="1"/>
  <c r="X321" i="8"/>
  <c r="X319" i="8"/>
  <c r="AO200" i="8"/>
  <c r="BJ217" i="9"/>
  <c r="BJ219" i="9"/>
  <c r="BJ215" i="9"/>
  <c r="AJ317" i="8"/>
  <c r="AJ320" i="8"/>
  <c r="AN321" i="8" s="1"/>
  <c r="AK344" i="8"/>
  <c r="AK6" i="8" s="1"/>
  <c r="AK5" i="8"/>
  <c r="AK354" i="8"/>
  <c r="AK355" i="8" s="1"/>
  <c r="AL342" i="8"/>
  <c r="AM339" i="8"/>
  <c r="AI4" i="8"/>
  <c r="BN4" i="8" s="1"/>
  <c r="BM340" i="8"/>
  <c r="BM342" i="8"/>
  <c r="BM343" i="8" s="1"/>
  <c r="Y317" i="8"/>
  <c r="Y320" i="8"/>
  <c r="BK307" i="8"/>
  <c r="BK308" i="8"/>
  <c r="BK314" i="8"/>
  <c r="Z315" i="8"/>
  <c r="Z316" i="8"/>
  <c r="AE315" i="8"/>
  <c r="AA315" i="8"/>
  <c r="BL314" i="8"/>
  <c r="AA316" i="8"/>
  <c r="BM307" i="8"/>
  <c r="BL308" i="8"/>
  <c r="BL307" i="8"/>
  <c r="BM289" i="8"/>
  <c r="BL289" i="8"/>
  <c r="AW317" i="8"/>
  <c r="AW320" i="8"/>
  <c r="W321" i="8"/>
  <c r="W319" i="8"/>
  <c r="AW326" i="8"/>
  <c r="AF272" i="9"/>
  <c r="AF68" i="9"/>
  <c r="AF74" i="9" s="1"/>
  <c r="AF80" i="9" s="1"/>
  <c r="BL343" i="8"/>
  <c r="AJ6" i="8"/>
  <c r="AV607" i="8"/>
  <c r="AW607" i="8" s="1"/>
  <c r="BS461" i="8"/>
  <c r="BR470" i="8"/>
  <c r="H169" i="12"/>
  <c r="J164" i="12"/>
  <c r="AR492" i="8"/>
  <c r="AR491" i="8"/>
  <c r="AD25" i="16"/>
  <c r="AD56" i="16"/>
  <c r="AD39" i="16"/>
  <c r="AD21" i="16"/>
  <c r="BP475" i="8"/>
  <c r="BQ476" i="8" s="1"/>
  <c r="BP474" i="8"/>
  <c r="BP479" i="8"/>
  <c r="BP485" i="8"/>
  <c r="BP478" i="8"/>
  <c r="N19" i="10"/>
  <c r="M20" i="10"/>
  <c r="AQ600" i="8"/>
  <c r="AQ601" i="8" s="1"/>
  <c r="AL49" i="10"/>
  <c r="AL50" i="10"/>
  <c r="AK52" i="10"/>
  <c r="AK50" i="10"/>
  <c r="AK53" i="10" s="1"/>
  <c r="AP600" i="8"/>
  <c r="AP601" i="8" s="1"/>
  <c r="AT597" i="8"/>
  <c r="AX597" i="8" s="1"/>
  <c r="AL601" i="8"/>
  <c r="AJ598" i="8"/>
  <c r="AN597" i="8"/>
  <c r="AJ600" i="8"/>
  <c r="Z691" i="8"/>
  <c r="Z701" i="8"/>
  <c r="Z703" i="8" s="1"/>
  <c r="AS490" i="8"/>
  <c r="AS487" i="8"/>
  <c r="AS486" i="8"/>
  <c r="AO20" i="16"/>
  <c r="W56" i="16"/>
  <c r="W25" i="16"/>
  <c r="W39" i="16"/>
  <c r="W21" i="16"/>
  <c r="AO185" i="16"/>
  <c r="AO183" i="16" s="1"/>
  <c r="AO189" i="16" s="1"/>
  <c r="AO181" i="16"/>
  <c r="AP17" i="16"/>
  <c r="AQ17" i="16" s="1"/>
  <c r="AP18" i="16"/>
  <c r="AP12" i="16"/>
  <c r="AP13" i="16" s="1"/>
  <c r="AA20" i="16"/>
  <c r="AA196" i="16"/>
  <c r="AP180" i="16"/>
  <c r="AA181" i="16"/>
  <c r="AA190" i="16"/>
  <c r="AP196" i="16"/>
  <c r="AP137" i="16"/>
  <c r="AQ136" i="16"/>
  <c r="AQ6" i="16"/>
  <c r="AQ178" i="16"/>
  <c r="AR4" i="16"/>
  <c r="AR131" i="16"/>
  <c r="AS130" i="16"/>
  <c r="AT132" i="16"/>
  <c r="AD26" i="16"/>
  <c r="AD60" i="16"/>
  <c r="AD258" i="16"/>
  <c r="AD259" i="16" s="1"/>
  <c r="AD57" i="16"/>
  <c r="AD40" i="16"/>
  <c r="AD43" i="16" s="1"/>
  <c r="AD46" i="16" s="1"/>
  <c r="AD49" i="16" s="1"/>
  <c r="AD233" i="16" s="1"/>
  <c r="AV354" i="9"/>
  <c r="AW352" i="9"/>
  <c r="AW304" i="9" s="1"/>
  <c r="AW303" i="9" s="1"/>
  <c r="AX353" i="9"/>
  <c r="AO17" i="16"/>
  <c r="AO18" i="16"/>
  <c r="AB39" i="16"/>
  <c r="AB25" i="16"/>
  <c r="AB56" i="16"/>
  <c r="AB21" i="16"/>
  <c r="X21" i="16"/>
  <c r="X56" i="16"/>
  <c r="X25" i="16"/>
  <c r="X39" i="16"/>
  <c r="Z39" i="16"/>
  <c r="Z56" i="16"/>
  <c r="Z25" i="16"/>
  <c r="Z21" i="16"/>
  <c r="Y21" i="16"/>
  <c r="Y56" i="16"/>
  <c r="Y39" i="16"/>
  <c r="Y25" i="16"/>
  <c r="AC39" i="16"/>
  <c r="AC25" i="16"/>
  <c r="AC56" i="16"/>
  <c r="AC21" i="16"/>
  <c r="AO10" i="16"/>
  <c r="AP10" i="16"/>
  <c r="BJ319" i="9"/>
  <c r="BJ317" i="9" s="1"/>
  <c r="AE319" i="9"/>
  <c r="AD317" i="9"/>
  <c r="AD316" i="9" s="1"/>
  <c r="BJ316" i="9" s="1"/>
  <c r="AQ329" i="9"/>
  <c r="AR328" i="9"/>
  <c r="AR331" i="9"/>
  <c r="AS330" i="9"/>
  <c r="BK321" i="9"/>
  <c r="AF321" i="9"/>
  <c r="AF342" i="9"/>
  <c r="AG340" i="9"/>
  <c r="AA347" i="9"/>
  <c r="AA343" i="9"/>
  <c r="AA344" i="9" s="1"/>
  <c r="AC322" i="9"/>
  <c r="AC341" i="9" s="1"/>
  <c r="AD323" i="9"/>
  <c r="BI343" i="9"/>
  <c r="BI344" i="9" s="1"/>
  <c r="Z344" i="9"/>
  <c r="BP2" i="9"/>
  <c r="BP238" i="9" s="1"/>
  <c r="AB341" i="9"/>
  <c r="AO395" i="8"/>
  <c r="AO396" i="8" s="1"/>
  <c r="AP397" i="8"/>
  <c r="AN440" i="8"/>
  <c r="AO442" i="8"/>
  <c r="AQ569" i="8"/>
  <c r="AR571" i="8"/>
  <c r="AS571" i="8" s="1"/>
  <c r="AT571" i="8" s="1"/>
  <c r="AU571" i="8" s="1"/>
  <c r="AV571" i="8" s="1"/>
  <c r="AW571" i="8" s="1"/>
  <c r="AX571" i="8" s="1"/>
  <c r="AN227" i="9"/>
  <c r="AN226" i="9" s="1"/>
  <c r="AN225" i="9" s="1"/>
  <c r="AO227" i="9"/>
  <c r="AO226" i="9" s="1"/>
  <c r="AO225" i="9" s="1"/>
  <c r="AN234" i="9"/>
  <c r="AN75" i="9"/>
  <c r="AN396" i="8"/>
  <c r="BM445" i="8"/>
  <c r="BM446" i="8"/>
  <c r="BR255" i="8"/>
  <c r="BT364" i="8"/>
  <c r="BS254" i="8"/>
  <c r="BS255" i="8" s="1"/>
  <c r="BS264" i="8"/>
  <c r="AN319" i="8"/>
  <c r="AS321" i="8"/>
  <c r="AS319" i="8"/>
  <c r="Y712" i="8"/>
  <c r="Y711" i="8" s="1"/>
  <c r="Y706" i="8"/>
  <c r="BP347" i="8"/>
  <c r="BQ348" i="8" s="1"/>
  <c r="AI320" i="8"/>
  <c r="BN316" i="8"/>
  <c r="AL331" i="8"/>
  <c r="AP334" i="8"/>
  <c r="AP333" i="8" s="1"/>
  <c r="AP351" i="8" s="1"/>
  <c r="AP350" i="8" s="1"/>
  <c r="AM328" i="8"/>
  <c r="BU326" i="8"/>
  <c r="BL445" i="8"/>
  <c r="BL446" i="8"/>
  <c r="BK355" i="8"/>
  <c r="BL344" i="8"/>
  <c r="BL350" i="8" s="1"/>
  <c r="AA6" i="8"/>
  <c r="BL6" i="8" s="1"/>
  <c r="AE355" i="8"/>
  <c r="AA355" i="8"/>
  <c r="BL354" i="8"/>
  <c r="BH272" i="9"/>
  <c r="J95" i="12" s="1"/>
  <c r="BH68" i="9"/>
  <c r="BH74" i="9" s="1"/>
  <c r="BH80" i="9" s="1"/>
  <c r="BI68" i="9"/>
  <c r="BI74" i="9" s="1"/>
  <c r="BI272" i="9"/>
  <c r="K95" i="12" s="1"/>
  <c r="AM247" i="8"/>
  <c r="BJ72" i="9"/>
  <c r="BJ62" i="9"/>
  <c r="U24" i="12"/>
  <c r="BU76" i="8"/>
  <c r="AL321" i="9"/>
  <c r="BL334" i="9"/>
  <c r="AM337" i="9"/>
  <c r="AM335" i="9" s="1"/>
  <c r="AN336" i="9"/>
  <c r="AM334" i="9"/>
  <c r="AM321" i="9" s="1"/>
  <c r="AL335" i="9"/>
  <c r="BL335" i="9" s="1"/>
  <c r="BL337" i="9"/>
  <c r="T24" i="12"/>
  <c r="BT76" i="8"/>
  <c r="BR15" i="9"/>
  <c r="AP8" i="8"/>
  <c r="AR180" i="9"/>
  <c r="AR182" i="9" s="1"/>
  <c r="AS181" i="9"/>
  <c r="AS310" i="9"/>
  <c r="AO34" i="8"/>
  <c r="AO54" i="8"/>
  <c r="AO55" i="8" s="1"/>
  <c r="AO9" i="8"/>
  <c r="AO695" i="8"/>
  <c r="AO697" i="8"/>
  <c r="AO3" i="9"/>
  <c r="AO37" i="8"/>
  <c r="AO693" i="8"/>
  <c r="AO685" i="8"/>
  <c r="AO691" i="8"/>
  <c r="BO492" i="8"/>
  <c r="BO491" i="8"/>
  <c r="AO500" i="8"/>
  <c r="AO501" i="8" s="1"/>
  <c r="AO499" i="8"/>
  <c r="AO503" i="8"/>
  <c r="BO498" i="8"/>
  <c r="AP459" i="8"/>
  <c r="BO458" i="8"/>
  <c r="BO459" i="8" s="1"/>
  <c r="BO487" i="8"/>
  <c r="BO486" i="8"/>
  <c r="BS109" i="9"/>
  <c r="BR108" i="9"/>
  <c r="AP233" i="9"/>
  <c r="AP75" i="9" s="1"/>
  <c r="BM230" i="9"/>
  <c r="AQ368" i="9"/>
  <c r="AT456" i="8"/>
  <c r="AT458" i="8"/>
  <c r="BP455" i="8"/>
  <c r="AR214" i="9"/>
  <c r="J92" i="12"/>
  <c r="K91" i="12"/>
  <c r="K71" i="12"/>
  <c r="K92" i="12" s="1"/>
  <c r="L71" i="12"/>
  <c r="L91" i="12"/>
  <c r="M69" i="12"/>
  <c r="BQ405" i="8" l="1"/>
  <c r="BQ404" i="8" s="1"/>
  <c r="BQ431" i="8"/>
  <c r="AQ171" i="8"/>
  <c r="AQ172" i="8"/>
  <c r="BQ414" i="8"/>
  <c r="AK529" i="8"/>
  <c r="AK532" i="8" s="1"/>
  <c r="AL530" i="8"/>
  <c r="AM46" i="10"/>
  <c r="BL46" i="10"/>
  <c r="BN509" i="8" s="1"/>
  <c r="AL509" i="8"/>
  <c r="BL47" i="10"/>
  <c r="BN510" i="8" s="1"/>
  <c r="BN512" i="8" s="1"/>
  <c r="AK510" i="8"/>
  <c r="AL511" i="8" s="1"/>
  <c r="AL512" i="8"/>
  <c r="BO186" i="8"/>
  <c r="BO187" i="8" s="1"/>
  <c r="AP192" i="8"/>
  <c r="AP187" i="8"/>
  <c r="AP185" i="8"/>
  <c r="BS156" i="8"/>
  <c r="BR147" i="8"/>
  <c r="BR148" i="8" s="1"/>
  <c r="AV358" i="9"/>
  <c r="AW359" i="9"/>
  <c r="BQ141" i="9"/>
  <c r="AW491" i="8"/>
  <c r="BO179" i="8"/>
  <c r="AP147" i="8"/>
  <c r="BO147" i="8" s="1"/>
  <c r="BQ301" i="8"/>
  <c r="AH319" i="8"/>
  <c r="AH321" i="8"/>
  <c r="AP72" i="9"/>
  <c r="AP62" i="9"/>
  <c r="AP68" i="9" s="1"/>
  <c r="AW492" i="8"/>
  <c r="BQ490" i="8"/>
  <c r="BQ492" i="8" s="1"/>
  <c r="BQ486" i="8"/>
  <c r="AQ363" i="9"/>
  <c r="BH274" i="9"/>
  <c r="BH185" i="9"/>
  <c r="BH186" i="9" s="1"/>
  <c r="I82" i="12"/>
  <c r="I84" i="12"/>
  <c r="J39" i="12"/>
  <c r="G82" i="12"/>
  <c r="G84" i="12"/>
  <c r="O43" i="12"/>
  <c r="BM46" i="9"/>
  <c r="BM228" i="9"/>
  <c r="BM227" i="9" s="1"/>
  <c r="BM43" i="9"/>
  <c r="BQ350" i="9"/>
  <c r="BR348" i="9"/>
  <c r="BR304" i="9" s="1"/>
  <c r="BQ64" i="9"/>
  <c r="BR135" i="9"/>
  <c r="BR162" i="9" s="1"/>
  <c r="AX352" i="9"/>
  <c r="AX304" i="9" s="1"/>
  <c r="AX303" i="9" s="1"/>
  <c r="BO353" i="9"/>
  <c r="BP353" i="9" s="1"/>
  <c r="AL319" i="8"/>
  <c r="AL321" i="8"/>
  <c r="AX289" i="8"/>
  <c r="BQ288" i="8"/>
  <c r="BQ289" i="8" s="1"/>
  <c r="BT285" i="8"/>
  <c r="BS368" i="8"/>
  <c r="AS586" i="8"/>
  <c r="AT588" i="8"/>
  <c r="R25" i="12"/>
  <c r="BP19" i="9"/>
  <c r="BT266" i="8"/>
  <c r="BS265" i="8"/>
  <c r="BT261" i="8"/>
  <c r="BS259" i="8"/>
  <c r="BR267" i="8"/>
  <c r="BR260" i="8"/>
  <c r="BS409" i="8"/>
  <c r="BR413" i="8"/>
  <c r="BI80" i="9"/>
  <c r="BI95" i="9"/>
  <c r="BM72" i="9"/>
  <c r="BM62" i="9"/>
  <c r="BE68" i="9"/>
  <c r="BE74" i="9" s="1"/>
  <c r="BE80" i="9" s="1"/>
  <c r="BE272" i="9"/>
  <c r="G95" i="12" s="1"/>
  <c r="BF62" i="9"/>
  <c r="BF72" i="9"/>
  <c r="H84" i="12"/>
  <c r="H82" i="12"/>
  <c r="I39" i="12"/>
  <c r="H39" i="12"/>
  <c r="BD72" i="9"/>
  <c r="BD62" i="9"/>
  <c r="C84" i="12"/>
  <c r="G39" i="12"/>
  <c r="BL38" i="9"/>
  <c r="BK38" i="9"/>
  <c r="BG62" i="9"/>
  <c r="BG72" i="9"/>
  <c r="AC227" i="9"/>
  <c r="AC226" i="9" s="1"/>
  <c r="AC225" i="9" s="1"/>
  <c r="AE227" i="9"/>
  <c r="AE226" i="9" s="1"/>
  <c r="AE225" i="9" s="1"/>
  <c r="AD227" i="9"/>
  <c r="AD226" i="9" s="1"/>
  <c r="AD225" i="9" s="1"/>
  <c r="AF227" i="9"/>
  <c r="AF226" i="9" s="1"/>
  <c r="AF225" i="9" s="1"/>
  <c r="BK43" i="9"/>
  <c r="BJ43" i="9"/>
  <c r="BJ271" i="9"/>
  <c r="L94" i="12" s="1"/>
  <c r="BJ228" i="9"/>
  <c r="BJ227" i="9" s="1"/>
  <c r="L38" i="12"/>
  <c r="M39" i="12" s="1"/>
  <c r="BJ234" i="9"/>
  <c r="BJ231" i="9"/>
  <c r="AQ58" i="9"/>
  <c r="AQ71" i="9"/>
  <c r="AX303" i="8"/>
  <c r="AX302" i="8"/>
  <c r="AX306" i="8"/>
  <c r="AP316" i="8"/>
  <c r="AP315" i="8"/>
  <c r="BL447" i="8"/>
  <c r="AT315" i="8"/>
  <c r="AT316" i="8"/>
  <c r="BM316" i="8"/>
  <c r="BN317" i="8" s="1"/>
  <c r="BN315" i="8"/>
  <c r="AE320" i="8"/>
  <c r="AI317" i="8"/>
  <c r="BS296" i="8"/>
  <c r="BR294" i="8"/>
  <c r="BR295" i="8" s="1"/>
  <c r="BR384" i="8"/>
  <c r="BR369" i="8"/>
  <c r="BR290" i="8"/>
  <c r="BS292" i="8"/>
  <c r="X648" i="8"/>
  <c r="X646" i="8"/>
  <c r="Y647" i="8"/>
  <c r="Z649" i="8"/>
  <c r="AL200" i="8"/>
  <c r="BN199" i="8"/>
  <c r="BN200" i="8" s="1"/>
  <c r="AR316" i="8"/>
  <c r="AR315" i="8"/>
  <c r="AV314" i="8"/>
  <c r="AV308" i="8"/>
  <c r="AV307" i="8"/>
  <c r="AU306" i="8"/>
  <c r="AU303" i="8"/>
  <c r="BO162" i="8"/>
  <c r="BO163" i="8"/>
  <c r="AM315" i="8"/>
  <c r="BO314" i="8"/>
  <c r="AM316" i="8"/>
  <c r="BO308" i="8"/>
  <c r="BO307" i="8"/>
  <c r="BR298" i="8"/>
  <c r="BS298" i="8" s="1"/>
  <c r="BT298" i="8" s="1"/>
  <c r="BU298" i="8" s="1"/>
  <c r="BP306" i="8"/>
  <c r="AQ308" i="8"/>
  <c r="AQ314" i="8"/>
  <c r="AQ307" i="8"/>
  <c r="BP302" i="8"/>
  <c r="BP303" i="8"/>
  <c r="BO8" i="8"/>
  <c r="AN4" i="8"/>
  <c r="AO339" i="8"/>
  <c r="AP340" i="8"/>
  <c r="BP519" i="8"/>
  <c r="AT518" i="8"/>
  <c r="BP518" i="8" s="1"/>
  <c r="AU519" i="8"/>
  <c r="BL68" i="9"/>
  <c r="BL74" i="9" s="1"/>
  <c r="BL80" i="9" s="1"/>
  <c r="BL272" i="9"/>
  <c r="N95" i="12" s="1"/>
  <c r="BN342" i="8"/>
  <c r="BN343" i="8" s="1"/>
  <c r="BN340" i="8"/>
  <c r="AP504" i="8"/>
  <c r="AP505" i="8"/>
  <c r="AP506" i="8" s="1"/>
  <c r="AP501" i="8"/>
  <c r="N39" i="12"/>
  <c r="N82" i="12"/>
  <c r="M82" i="12"/>
  <c r="K39" i="12"/>
  <c r="K82" i="12"/>
  <c r="K84" i="12"/>
  <c r="BT637" i="8"/>
  <c r="BU637" i="8" s="1"/>
  <c r="BO171" i="8"/>
  <c r="AN80" i="9"/>
  <c r="AJ319" i="8"/>
  <c r="AJ321" i="8"/>
  <c r="AM342" i="8"/>
  <c r="AL354" i="8"/>
  <c r="AL355" i="8" s="1"/>
  <c r="AL344" i="8"/>
  <c r="AL5" i="8"/>
  <c r="AM4" i="8"/>
  <c r="BO4" i="8" s="1"/>
  <c r="Y321" i="8"/>
  <c r="Y319" i="8"/>
  <c r="BK315" i="8"/>
  <c r="BK316" i="8"/>
  <c r="BK317" i="8" s="1"/>
  <c r="Z320" i="8"/>
  <c r="Z317" i="8"/>
  <c r="BM315" i="8"/>
  <c r="BL316" i="8"/>
  <c r="BL315" i="8"/>
  <c r="AE317" i="8"/>
  <c r="AA320" i="8"/>
  <c r="AA317" i="8"/>
  <c r="AW321" i="8"/>
  <c r="AW319" i="8"/>
  <c r="AX326" i="8"/>
  <c r="AX607" i="8"/>
  <c r="BT461" i="8"/>
  <c r="BS470" i="8"/>
  <c r="BR482" i="8"/>
  <c r="BR471" i="8"/>
  <c r="BP476" i="8"/>
  <c r="BR479" i="8"/>
  <c r="BP486" i="8"/>
  <c r="BP487" i="8"/>
  <c r="N20" i="10"/>
  <c r="O19" i="10"/>
  <c r="AM49" i="10"/>
  <c r="AL52" i="10"/>
  <c r="BL52" i="10" s="1"/>
  <c r="BL49" i="10"/>
  <c r="AL594" i="8"/>
  <c r="AL53" i="10"/>
  <c r="AL603" i="8" s="1"/>
  <c r="BN603" i="8" s="1"/>
  <c r="BN604" i="8" s="1"/>
  <c r="BL50" i="10"/>
  <c r="AK597" i="8"/>
  <c r="AN600" i="8"/>
  <c r="AR597" i="8"/>
  <c r="AV597" i="8" s="1"/>
  <c r="AJ601" i="8"/>
  <c r="Z712" i="8"/>
  <c r="Z711" i="8" s="1"/>
  <c r="Z706" i="8"/>
  <c r="AS492" i="8"/>
  <c r="AS491" i="8"/>
  <c r="BP490" i="8"/>
  <c r="AO56" i="16"/>
  <c r="AO21" i="16"/>
  <c r="W57" i="16"/>
  <c r="W58" i="16" s="1"/>
  <c r="W258" i="16"/>
  <c r="W259" i="16" s="1"/>
  <c r="AO25" i="16"/>
  <c r="W60" i="16"/>
  <c r="W26" i="16"/>
  <c r="AO39" i="16"/>
  <c r="W40" i="16"/>
  <c r="AO192" i="16"/>
  <c r="AO193" i="16" s="1"/>
  <c r="AO190" i="16"/>
  <c r="AQ16" i="16"/>
  <c r="AQ18" i="16" s="1"/>
  <c r="AR17" i="16"/>
  <c r="AQ13" i="16"/>
  <c r="AP14" i="16"/>
  <c r="AP20" i="16"/>
  <c r="AA25" i="16"/>
  <c r="AA56" i="16"/>
  <c r="AA21" i="16"/>
  <c r="AA39" i="16"/>
  <c r="AP185" i="16"/>
  <c r="AP183" i="16" s="1"/>
  <c r="AP189" i="16" s="1"/>
  <c r="AP181" i="16"/>
  <c r="AQ135" i="16"/>
  <c r="AQ195" i="16" s="1"/>
  <c r="AR136" i="16"/>
  <c r="AQ7" i="16"/>
  <c r="AQ180" i="16"/>
  <c r="AR178" i="16"/>
  <c r="AR6" i="16"/>
  <c r="AS4" i="16"/>
  <c r="AS131" i="16"/>
  <c r="AT130" i="16"/>
  <c r="AU132" i="16"/>
  <c r="AD261" i="16"/>
  <c r="AD262" i="16" s="1"/>
  <c r="AD61" i="16"/>
  <c r="AW354" i="9"/>
  <c r="AB40" i="16"/>
  <c r="AB43" i="16" s="1"/>
  <c r="AB46" i="16" s="1"/>
  <c r="AB49" i="16" s="1"/>
  <c r="AB233" i="16" s="1"/>
  <c r="AB26" i="16"/>
  <c r="AB60" i="16"/>
  <c r="AB57" i="16"/>
  <c r="AB258" i="16"/>
  <c r="AB259" i="16" s="1"/>
  <c r="X258" i="16"/>
  <c r="X259" i="16" s="1"/>
  <c r="X57" i="16"/>
  <c r="X58" i="16" s="1"/>
  <c r="X26" i="16"/>
  <c r="X60" i="16"/>
  <c r="X40" i="16"/>
  <c r="X43" i="16" s="1"/>
  <c r="X46" i="16" s="1"/>
  <c r="X49" i="16" s="1"/>
  <c r="X233" i="16" s="1"/>
  <c r="Z40" i="16"/>
  <c r="Z43" i="16" s="1"/>
  <c r="Z46" i="16" s="1"/>
  <c r="Z49" i="16" s="1"/>
  <c r="Z233" i="16" s="1"/>
  <c r="Z57" i="16"/>
  <c r="Z258" i="16"/>
  <c r="Z259" i="16" s="1"/>
  <c r="Z26" i="16"/>
  <c r="Z60" i="16"/>
  <c r="Y258" i="16"/>
  <c r="Y259" i="16" s="1"/>
  <c r="Y57" i="16"/>
  <c r="Y58" i="16" s="1"/>
  <c r="Y40" i="16"/>
  <c r="Y43" i="16" s="1"/>
  <c r="Y46" i="16" s="1"/>
  <c r="Y49" i="16" s="1"/>
  <c r="Y233" i="16" s="1"/>
  <c r="Y26" i="16"/>
  <c r="Y60" i="16"/>
  <c r="AC40" i="16"/>
  <c r="AC43" i="16" s="1"/>
  <c r="AC46" i="16" s="1"/>
  <c r="AC49" i="16" s="1"/>
  <c r="AC233" i="16" s="1"/>
  <c r="AC26" i="16"/>
  <c r="AC60" i="16"/>
  <c r="AC258" i="16"/>
  <c r="AC259" i="16" s="1"/>
  <c r="AC57" i="16"/>
  <c r="BK319" i="9"/>
  <c r="BK317" i="9" s="1"/>
  <c r="AE317" i="9"/>
  <c r="AE316" i="9" s="1"/>
  <c r="AF319" i="9"/>
  <c r="AS328" i="9"/>
  <c r="AS331" i="9"/>
  <c r="AS329" i="9" s="1"/>
  <c r="AT330" i="9"/>
  <c r="AU330" i="9" s="1"/>
  <c r="AG321" i="9"/>
  <c r="AH340" i="9"/>
  <c r="AG342" i="9"/>
  <c r="AC347" i="9"/>
  <c r="AC343" i="9"/>
  <c r="AC344" i="9" s="1"/>
  <c r="AD322" i="9"/>
  <c r="BJ323" i="9"/>
  <c r="AE323" i="9"/>
  <c r="BP222" i="9"/>
  <c r="BP276" i="9"/>
  <c r="BP205" i="9"/>
  <c r="BP269" i="9"/>
  <c r="BP96" i="9"/>
  <c r="BQ2" i="9"/>
  <c r="BQ238" i="9" s="1"/>
  <c r="AB343" i="9"/>
  <c r="AB344" i="9" s="1"/>
  <c r="AB347" i="9"/>
  <c r="AR329" i="9"/>
  <c r="AP395" i="8"/>
  <c r="AQ397" i="8"/>
  <c r="AN441" i="8"/>
  <c r="AP442" i="8"/>
  <c r="AO440" i="8"/>
  <c r="BT264" i="8"/>
  <c r="BU364" i="8"/>
  <c r="BT254" i="8"/>
  <c r="BP348" i="8"/>
  <c r="AI319" i="8"/>
  <c r="AQ334" i="8"/>
  <c r="AQ333" i="8" s="1"/>
  <c r="AQ351" i="8" s="1"/>
  <c r="AQ350" i="8" s="1"/>
  <c r="AM331" i="8"/>
  <c r="BO328" i="8"/>
  <c r="AN328" i="8"/>
  <c r="BT587" i="8"/>
  <c r="BM351" i="8"/>
  <c r="BM352" i="8" s="1"/>
  <c r="BL351" i="8"/>
  <c r="BL352" i="8" s="1"/>
  <c r="BL355" i="8"/>
  <c r="BJ68" i="9"/>
  <c r="BJ74" i="9" s="1"/>
  <c r="BJ272" i="9"/>
  <c r="L95" i="12" s="1"/>
  <c r="BM447" i="8"/>
  <c r="AN334" i="9"/>
  <c r="AN321" i="9" s="1"/>
  <c r="AN337" i="9"/>
  <c r="AN335" i="9" s="1"/>
  <c r="AO336" i="9"/>
  <c r="BL321" i="9"/>
  <c r="AO4" i="9"/>
  <c r="AO504" i="8"/>
  <c r="AO505" i="8"/>
  <c r="AO506" i="8" s="1"/>
  <c r="BO503" i="8"/>
  <c r="BO499" i="8"/>
  <c r="BO500" i="8"/>
  <c r="O9" i="12"/>
  <c r="BO34" i="8"/>
  <c r="AP37" i="8"/>
  <c r="AP3" i="9"/>
  <c r="AQ170" i="9" s="1"/>
  <c r="AU170" i="9" s="1"/>
  <c r="AP685" i="8"/>
  <c r="AP691" i="8"/>
  <c r="AP695" i="8"/>
  <c r="AP693" i="8"/>
  <c r="AP697" i="8"/>
  <c r="AP9" i="8"/>
  <c r="AT181" i="9"/>
  <c r="AS180" i="9"/>
  <c r="AS182" i="9" s="1"/>
  <c r="AO177" i="9"/>
  <c r="AO176" i="9"/>
  <c r="AO174" i="9"/>
  <c r="AO178" i="9"/>
  <c r="AO170" i="9"/>
  <c r="AO168" i="9" s="1"/>
  <c r="AO208" i="9"/>
  <c r="AP34" i="8"/>
  <c r="BS108" i="9"/>
  <c r="O39" i="12"/>
  <c r="O82" i="12"/>
  <c r="BM233" i="9"/>
  <c r="BM231" i="9"/>
  <c r="AP234" i="9"/>
  <c r="AT459" i="8"/>
  <c r="AU455" i="8" s="1"/>
  <c r="BP458" i="8"/>
  <c r="BP459" i="8" s="1"/>
  <c r="K93" i="12"/>
  <c r="M71" i="12"/>
  <c r="M91" i="12"/>
  <c r="BK95" i="9"/>
  <c r="N69" i="12"/>
  <c r="M84" i="12"/>
  <c r="L92" i="12"/>
  <c r="L93" i="12"/>
  <c r="AP199" i="8" l="1"/>
  <c r="AT193" i="8"/>
  <c r="AP74" i="9"/>
  <c r="AP80" i="9" s="1"/>
  <c r="AK535" i="8"/>
  <c r="AK533" i="8"/>
  <c r="AM530" i="8"/>
  <c r="AL529" i="8"/>
  <c r="AN46" i="10"/>
  <c r="AM509" i="8"/>
  <c r="AM47" i="10"/>
  <c r="AM510" i="8" s="1"/>
  <c r="AK512" i="8"/>
  <c r="AK511" i="8"/>
  <c r="BL53" i="10"/>
  <c r="BS147" i="8"/>
  <c r="BS148" i="8" s="1"/>
  <c r="BT156" i="8"/>
  <c r="BP148" i="8"/>
  <c r="BO148" i="8"/>
  <c r="AW358" i="9"/>
  <c r="AX359" i="9"/>
  <c r="AX358" i="9" s="1"/>
  <c r="BR141" i="9"/>
  <c r="BQ161" i="9"/>
  <c r="AT148" i="8"/>
  <c r="BQ302" i="8"/>
  <c r="BQ303" i="8"/>
  <c r="BU285" i="8"/>
  <c r="BU368" i="8" s="1"/>
  <c r="BT368" i="8"/>
  <c r="BQ491" i="8"/>
  <c r="BO352" i="9"/>
  <c r="AX354" i="9"/>
  <c r="BO354" i="9" s="1"/>
  <c r="BS348" i="9"/>
  <c r="BR350" i="9"/>
  <c r="BR64" i="9"/>
  <c r="BS135" i="9"/>
  <c r="BS162" i="9" s="1"/>
  <c r="BS64" i="9" s="1"/>
  <c r="BQ352" i="9"/>
  <c r="BP352" i="9"/>
  <c r="BP304" i="9" s="1"/>
  <c r="BS369" i="8"/>
  <c r="BS384" i="8"/>
  <c r="BP588" i="8"/>
  <c r="BP592" i="8" s="1"/>
  <c r="BP590" i="8" s="1"/>
  <c r="AT586" i="8"/>
  <c r="AU588" i="8"/>
  <c r="S25" i="12"/>
  <c r="BQ19" i="9"/>
  <c r="BT265" i="8"/>
  <c r="BU266" i="8"/>
  <c r="BU265" i="8" s="1"/>
  <c r="BT259" i="8"/>
  <c r="BU261" i="8"/>
  <c r="BU259" i="8" s="1"/>
  <c r="BS267" i="8"/>
  <c r="BS260" i="8"/>
  <c r="BR271" i="8"/>
  <c r="BR269" i="8"/>
  <c r="BR268" i="8"/>
  <c r="BS413" i="8"/>
  <c r="BT409" i="8"/>
  <c r="BR431" i="8"/>
  <c r="BR414" i="8"/>
  <c r="BR429" i="8"/>
  <c r="AE319" i="8"/>
  <c r="BM319" i="8" s="1"/>
  <c r="BM320" i="8" s="1"/>
  <c r="BM322" i="8" s="1"/>
  <c r="AI321" i="8"/>
  <c r="BS294" i="8"/>
  <c r="BS295" i="8" s="1"/>
  <c r="BT296" i="8"/>
  <c r="BR288" i="8"/>
  <c r="BR289" i="8" s="1"/>
  <c r="BR291" i="8"/>
  <c r="BS290" i="8"/>
  <c r="BT292" i="8"/>
  <c r="AU307" i="8"/>
  <c r="BQ306" i="8"/>
  <c r="BM3" i="9"/>
  <c r="BF68" i="9"/>
  <c r="BF74" i="9" s="1"/>
  <c r="BF80" i="9" s="1"/>
  <c r="BF272" i="9"/>
  <c r="H95" i="12" s="1"/>
  <c r="BD68" i="9"/>
  <c r="BD74" i="9" s="1"/>
  <c r="BD80" i="9" s="1"/>
  <c r="BD272" i="9"/>
  <c r="C95" i="12" s="1"/>
  <c r="BG272" i="9"/>
  <c r="I95" i="12" s="1"/>
  <c r="BG68" i="9"/>
  <c r="BG74" i="9" s="1"/>
  <c r="BG80" i="9" s="1"/>
  <c r="AQ59" i="9"/>
  <c r="L84" i="12"/>
  <c r="L82" i="12"/>
  <c r="L39" i="12"/>
  <c r="AU331" i="9"/>
  <c r="AU328" i="9"/>
  <c r="AV330" i="9"/>
  <c r="AX307" i="8"/>
  <c r="AX314" i="8"/>
  <c r="AX308" i="8"/>
  <c r="AP320" i="8"/>
  <c r="AP317" i="8"/>
  <c r="AT317" i="8"/>
  <c r="AT320" i="8"/>
  <c r="Y648" i="8"/>
  <c r="Y646" i="8"/>
  <c r="Z647" i="8"/>
  <c r="AA649" i="8"/>
  <c r="AR320" i="8"/>
  <c r="AR317" i="8"/>
  <c r="AV315" i="8"/>
  <c r="AV316" i="8"/>
  <c r="AU308" i="8"/>
  <c r="AU314" i="8"/>
  <c r="BO316" i="8"/>
  <c r="BO317" i="8" s="1"/>
  <c r="BO315" i="8"/>
  <c r="AM320" i="8"/>
  <c r="AM317" i="8"/>
  <c r="BR297" i="8"/>
  <c r="BP307" i="8"/>
  <c r="BP308" i="8"/>
  <c r="BP314" i="8"/>
  <c r="AQ316" i="8"/>
  <c r="AQ315" i="8"/>
  <c r="BO37" i="8"/>
  <c r="O3" i="12"/>
  <c r="BO697" i="8"/>
  <c r="BO9" i="8"/>
  <c r="AO4" i="8"/>
  <c r="AP339" i="8"/>
  <c r="AQ340" i="8"/>
  <c r="BP523" i="8"/>
  <c r="BP522" i="8" s="1"/>
  <c r="AV519" i="8"/>
  <c r="AU518" i="8"/>
  <c r="AL606" i="8"/>
  <c r="AL604" i="8"/>
  <c r="BU461" i="8"/>
  <c r="BU470" i="8" s="1"/>
  <c r="BT470" i="8"/>
  <c r="BS471" i="8"/>
  <c r="BS482" i="8"/>
  <c r="BR475" i="8"/>
  <c r="BR477" i="8"/>
  <c r="BS479" i="8"/>
  <c r="AM344" i="8"/>
  <c r="AM5" i="8"/>
  <c r="BO5" i="8" s="1"/>
  <c r="AM354" i="8"/>
  <c r="AN342" i="8"/>
  <c r="BN344" i="8"/>
  <c r="BN350" i="8" s="1"/>
  <c r="BN351" i="8" s="1"/>
  <c r="BN352" i="8" s="1"/>
  <c r="AL6" i="8"/>
  <c r="Z321" i="8"/>
  <c r="Z319" i="8"/>
  <c r="BK319" i="8" s="1"/>
  <c r="BK320" i="8" s="1"/>
  <c r="BM317" i="8"/>
  <c r="BL317" i="8"/>
  <c r="AE321" i="8"/>
  <c r="AA319" i="8"/>
  <c r="BL319" i="8" s="1"/>
  <c r="BL320" i="8" s="1"/>
  <c r="AA321" i="8"/>
  <c r="BN319" i="8"/>
  <c r="BN320" i="8" s="1"/>
  <c r="AU456" i="8"/>
  <c r="AU458" i="8"/>
  <c r="AC58" i="16"/>
  <c r="O20" i="10"/>
  <c r="P19" i="10"/>
  <c r="AN49" i="10"/>
  <c r="AM52" i="10"/>
  <c r="AM50" i="10"/>
  <c r="BN594" i="8"/>
  <c r="BN595" i="8" s="1"/>
  <c r="AL595" i="8"/>
  <c r="BN597" i="8"/>
  <c r="BN598" i="8" s="1"/>
  <c r="AK600" i="8"/>
  <c r="AO597" i="8"/>
  <c r="AK598" i="8"/>
  <c r="AN601" i="8"/>
  <c r="AR600" i="8"/>
  <c r="BP492" i="8"/>
  <c r="BP491" i="8"/>
  <c r="AO258" i="16"/>
  <c r="AO259" i="16" s="1"/>
  <c r="AO260" i="16" s="1"/>
  <c r="AO57" i="16"/>
  <c r="AO58" i="16" s="1"/>
  <c r="AO60" i="16"/>
  <c r="AO26" i="16"/>
  <c r="AO27" i="16" s="1"/>
  <c r="AO201" i="16"/>
  <c r="W261" i="16"/>
  <c r="W262" i="16" s="1"/>
  <c r="W61" i="16"/>
  <c r="AR16" i="16"/>
  <c r="AR18" i="16" s="1"/>
  <c r="AS17" i="16"/>
  <c r="AQ12" i="16"/>
  <c r="AR13" i="16"/>
  <c r="AP21" i="16"/>
  <c r="AP56" i="16"/>
  <c r="AP25" i="16"/>
  <c r="AA26" i="16"/>
  <c r="AA60" i="16"/>
  <c r="AA258" i="16"/>
  <c r="AA259" i="16" s="1"/>
  <c r="AA57" i="16"/>
  <c r="AA58" i="16" s="1"/>
  <c r="AP39" i="16"/>
  <c r="AA40" i="16"/>
  <c r="AP192" i="16"/>
  <c r="AP193" i="16" s="1"/>
  <c r="AP190" i="16"/>
  <c r="AQ196" i="16"/>
  <c r="AR135" i="16"/>
  <c r="AR195" i="16" s="1"/>
  <c r="AS136" i="16"/>
  <c r="AQ185" i="16"/>
  <c r="AQ183" i="16" s="1"/>
  <c r="AQ189" i="16" s="1"/>
  <c r="AQ181" i="16"/>
  <c r="AR180" i="16"/>
  <c r="AR7" i="16"/>
  <c r="AS178" i="16"/>
  <c r="AS6" i="16"/>
  <c r="AT4" i="16"/>
  <c r="AT131" i="16"/>
  <c r="AU130" i="16"/>
  <c r="AV132" i="16"/>
  <c r="AV130" i="16" s="1"/>
  <c r="AB61" i="16"/>
  <c r="AB261" i="16"/>
  <c r="AB262" i="16" s="1"/>
  <c r="X261" i="16"/>
  <c r="X262" i="16" s="1"/>
  <c r="X61" i="16"/>
  <c r="AD58" i="16"/>
  <c r="Z58" i="16"/>
  <c r="Z261" i="16"/>
  <c r="Z262" i="16" s="1"/>
  <c r="Z61" i="16"/>
  <c r="Y261" i="16"/>
  <c r="Y262" i="16" s="1"/>
  <c r="Y61" i="16"/>
  <c r="AC61" i="16"/>
  <c r="AC261" i="16"/>
  <c r="AC262" i="16" s="1"/>
  <c r="AB58" i="16"/>
  <c r="AO40" i="16"/>
  <c r="W43" i="16"/>
  <c r="AT180" i="9"/>
  <c r="AT182" i="9" s="1"/>
  <c r="AU181" i="9"/>
  <c r="AG319" i="9"/>
  <c r="AF317" i="9"/>
  <c r="AF316" i="9" s="1"/>
  <c r="AT328" i="9"/>
  <c r="AT331" i="9"/>
  <c r="BN330" i="9"/>
  <c r="AH321" i="9"/>
  <c r="AH342" i="9"/>
  <c r="AI340" i="9"/>
  <c r="BJ322" i="9"/>
  <c r="AD341" i="9"/>
  <c r="AE322" i="9"/>
  <c r="BK323" i="9"/>
  <c r="AF323" i="9"/>
  <c r="BQ269" i="9"/>
  <c r="BQ222" i="9"/>
  <c r="BQ96" i="9"/>
  <c r="BR2" i="9"/>
  <c r="BR238" i="9" s="1"/>
  <c r="BQ276" i="9"/>
  <c r="BQ205" i="9"/>
  <c r="BO395" i="8"/>
  <c r="AP396" i="8"/>
  <c r="AR397" i="8"/>
  <c r="AS397" i="8" s="1"/>
  <c r="AT397" i="8" s="1"/>
  <c r="AU397" i="8" s="1"/>
  <c r="AV397" i="8" s="1"/>
  <c r="AW397" i="8" s="1"/>
  <c r="AX397" i="8" s="1"/>
  <c r="AQ395" i="8"/>
  <c r="AQ396" i="8" s="1"/>
  <c r="AQ442" i="8"/>
  <c r="AP440" i="8"/>
  <c r="AO441" i="8"/>
  <c r="BU264" i="8"/>
  <c r="BU254" i="8"/>
  <c r="BT255" i="8"/>
  <c r="BR347" i="8"/>
  <c r="BP334" i="8"/>
  <c r="BP333" i="8" s="1"/>
  <c r="BP337" i="8" s="1"/>
  <c r="BO331" i="8"/>
  <c r="AR334" i="8"/>
  <c r="AR333" i="8" s="1"/>
  <c r="AR351" i="8" s="1"/>
  <c r="AR350" i="8" s="1"/>
  <c r="AO328" i="8"/>
  <c r="AN331" i="8"/>
  <c r="BU587" i="8"/>
  <c r="BJ95" i="9"/>
  <c r="BJ80" i="9"/>
  <c r="AP336" i="9"/>
  <c r="AO337" i="9"/>
  <c r="AO335" i="9" s="1"/>
  <c r="AO334" i="9"/>
  <c r="AO321" i="9" s="1"/>
  <c r="G182" i="12"/>
  <c r="G175" i="12" s="1"/>
  <c r="G146" i="12"/>
  <c r="G140" i="12" s="1"/>
  <c r="BO501" i="8"/>
  <c r="I182" i="12"/>
  <c r="I175" i="12" s="1"/>
  <c r="I173" i="12" s="1"/>
  <c r="AP208" i="9"/>
  <c r="AP177" i="9"/>
  <c r="AP174" i="9"/>
  <c r="AP178" i="9"/>
  <c r="AP176" i="9"/>
  <c r="AB12" i="12"/>
  <c r="AB15" i="12" s="1"/>
  <c r="O10" i="12"/>
  <c r="AP170" i="9"/>
  <c r="BO505" i="8"/>
  <c r="O60" i="12"/>
  <c r="O62" i="12" s="1"/>
  <c r="BO504" i="8"/>
  <c r="BM75" i="9"/>
  <c r="BM234" i="9"/>
  <c r="N71" i="12"/>
  <c r="BL95" i="9"/>
  <c r="N91" i="12"/>
  <c r="N84" i="12"/>
  <c r="M92" i="12"/>
  <c r="M93" i="12"/>
  <c r="AP200" i="8" l="1"/>
  <c r="AT200" i="8"/>
  <c r="BQ314" i="8"/>
  <c r="AK538" i="8"/>
  <c r="AK541" i="8" s="1"/>
  <c r="AK526" i="8"/>
  <c r="AK527" i="8" s="1"/>
  <c r="AK536" i="8"/>
  <c r="AM529" i="8"/>
  <c r="AM532" i="8" s="1"/>
  <c r="AN530" i="8"/>
  <c r="AL532" i="8"/>
  <c r="BN529" i="8"/>
  <c r="BN530" i="8" s="1"/>
  <c r="AN509" i="8"/>
  <c r="AO46" i="10"/>
  <c r="AN47" i="10"/>
  <c r="AN510" i="8" s="1"/>
  <c r="AM512" i="8"/>
  <c r="AM511" i="8"/>
  <c r="BT147" i="8"/>
  <c r="BT148" i="8" s="1"/>
  <c r="BU156" i="8"/>
  <c r="BU147" i="8" s="1"/>
  <c r="BQ304" i="9"/>
  <c r="BS350" i="9"/>
  <c r="BS304" i="9"/>
  <c r="BR161" i="9"/>
  <c r="BS141" i="9"/>
  <c r="BS161" i="9" s="1"/>
  <c r="BT384" i="8"/>
  <c r="BT369" i="8"/>
  <c r="BU292" i="8"/>
  <c r="BU290" i="8" s="1"/>
  <c r="BT290" i="8"/>
  <c r="AP441" i="8"/>
  <c r="BO440" i="8"/>
  <c r="BP354" i="9"/>
  <c r="BP356" i="9"/>
  <c r="BQ354" i="9"/>
  <c r="BM176" i="9"/>
  <c r="BM177" i="9"/>
  <c r="BM170" i="9"/>
  <c r="BM178" i="9"/>
  <c r="BM208" i="9"/>
  <c r="AU329" i="9"/>
  <c r="O84" i="12"/>
  <c r="O86" i="12" s="1"/>
  <c r="BT267" i="8"/>
  <c r="BT260" i="8"/>
  <c r="BS271" i="8"/>
  <c r="BS269" i="8"/>
  <c r="BS268" i="8"/>
  <c r="AT600" i="8"/>
  <c r="AT601" i="8" s="1"/>
  <c r="BP586" i="8"/>
  <c r="AU586" i="8"/>
  <c r="AU600" i="8" s="1"/>
  <c r="AV588" i="8"/>
  <c r="BS429" i="8"/>
  <c r="BS414" i="8"/>
  <c r="BS431" i="8"/>
  <c r="BT413" i="8"/>
  <c r="BU409" i="8"/>
  <c r="BU413" i="8" s="1"/>
  <c r="BU296" i="8"/>
  <c r="BU294" i="8" s="1"/>
  <c r="BT294" i="8"/>
  <c r="BT295" i="8" s="1"/>
  <c r="BS288" i="8"/>
  <c r="BS289" i="8" s="1"/>
  <c r="BS291" i="8"/>
  <c r="BR19" i="9"/>
  <c r="T25" i="12"/>
  <c r="BR272" i="8"/>
  <c r="BR273" i="8"/>
  <c r="BR279" i="8"/>
  <c r="BQ307" i="8"/>
  <c r="BQ308" i="8"/>
  <c r="AT321" i="8"/>
  <c r="AT319" i="8"/>
  <c r="Z648" i="8"/>
  <c r="Z646" i="8"/>
  <c r="BK646" i="8" s="1"/>
  <c r="BK647" i="8" s="1"/>
  <c r="AA647" i="8"/>
  <c r="AB649" i="8"/>
  <c r="BQ316" i="8"/>
  <c r="BQ315" i="8"/>
  <c r="AU459" i="8"/>
  <c r="AV455" i="8" s="1"/>
  <c r="BN113" i="9"/>
  <c r="BN216" i="9"/>
  <c r="AV331" i="9"/>
  <c r="AV329" i="9" s="1"/>
  <c r="AW330" i="9"/>
  <c r="AV328" i="9"/>
  <c r="AQ72" i="9"/>
  <c r="AQ62" i="9"/>
  <c r="AQ68" i="9" s="1"/>
  <c r="AX316" i="8"/>
  <c r="AX315" i="8"/>
  <c r="AP321" i="8"/>
  <c r="AP319" i="8"/>
  <c r="AM321" i="8"/>
  <c r="AM319" i="8"/>
  <c r="BR299" i="8"/>
  <c r="BR301" i="8"/>
  <c r="BS297" i="8"/>
  <c r="BP315" i="8"/>
  <c r="BP316" i="8"/>
  <c r="BP317" i="8" s="1"/>
  <c r="AQ317" i="8"/>
  <c r="AQ320" i="8"/>
  <c r="AR321" i="8"/>
  <c r="AR319" i="8"/>
  <c r="AV317" i="8"/>
  <c r="AV320" i="8"/>
  <c r="AU316" i="8"/>
  <c r="AU315" i="8"/>
  <c r="BR485" i="8"/>
  <c r="BR478" i="8"/>
  <c r="BS477" i="8"/>
  <c r="BT479" i="8"/>
  <c r="O11" i="12"/>
  <c r="O4" i="12"/>
  <c r="O8" i="12"/>
  <c r="BO339" i="8"/>
  <c r="AP4" i="8"/>
  <c r="AQ339" i="8"/>
  <c r="AR340" i="8"/>
  <c r="AV518" i="8"/>
  <c r="AW519" i="8"/>
  <c r="BN606" i="8"/>
  <c r="BN607" i="8" s="1"/>
  <c r="AL609" i="8"/>
  <c r="BU267" i="8"/>
  <c r="BU260" i="8"/>
  <c r="BU471" i="8"/>
  <c r="BU482" i="8"/>
  <c r="BT482" i="8"/>
  <c r="BT471" i="8"/>
  <c r="BS475" i="8"/>
  <c r="BR473" i="8"/>
  <c r="AM6" i="8"/>
  <c r="BO6" i="8" s="1"/>
  <c r="BO354" i="8"/>
  <c r="AM355" i="8"/>
  <c r="AN344" i="8"/>
  <c r="AN5" i="8"/>
  <c r="AO342" i="8"/>
  <c r="AN354" i="8"/>
  <c r="AN355" i="8" s="1"/>
  <c r="BK322" i="8"/>
  <c r="BK321" i="8"/>
  <c r="BM321" i="8"/>
  <c r="BL322" i="8"/>
  <c r="BL321" i="8"/>
  <c r="BN322" i="8"/>
  <c r="BN321" i="8"/>
  <c r="Q19" i="10"/>
  <c r="P20" i="10"/>
  <c r="AO49" i="10"/>
  <c r="AN52" i="10"/>
  <c r="AN50" i="10"/>
  <c r="AM53" i="10"/>
  <c r="AM594" i="8"/>
  <c r="BN600" i="8"/>
  <c r="BN601" i="8" s="1"/>
  <c r="AK601" i="8"/>
  <c r="BO597" i="8"/>
  <c r="BO598" i="8" s="1"/>
  <c r="AO600" i="8"/>
  <c r="AS597" i="8"/>
  <c r="AW597" i="8" s="1"/>
  <c r="BQ597" i="8" s="1"/>
  <c r="AR601" i="8"/>
  <c r="AO61" i="16"/>
  <c r="AO261" i="16"/>
  <c r="AO262" i="16" s="1"/>
  <c r="AO263" i="16" s="1"/>
  <c r="AO206" i="16"/>
  <c r="AO207" i="16" s="1"/>
  <c r="AO198" i="16"/>
  <c r="AO199" i="16" s="1"/>
  <c r="AO212" i="16"/>
  <c r="AO221" i="16" s="1"/>
  <c r="AO202" i="16"/>
  <c r="AS16" i="16"/>
  <c r="AS18" i="16" s="1"/>
  <c r="AT17" i="16"/>
  <c r="AQ10" i="16"/>
  <c r="AQ20" i="16"/>
  <c r="AR12" i="16"/>
  <c r="AS13" i="16"/>
  <c r="AP258" i="16"/>
  <c r="AP259" i="16" s="1"/>
  <c r="AP260" i="16" s="1"/>
  <c r="AP57" i="16"/>
  <c r="AP58" i="16" s="1"/>
  <c r="AP26" i="16"/>
  <c r="AP27" i="16" s="1"/>
  <c r="AP60" i="16"/>
  <c r="AP201" i="16"/>
  <c r="AA61" i="16"/>
  <c r="AA261" i="16"/>
  <c r="AA262" i="16" s="1"/>
  <c r="AR196" i="16"/>
  <c r="AS135" i="16"/>
  <c r="AS195" i="16" s="1"/>
  <c r="AT136" i="16"/>
  <c r="AR185" i="16"/>
  <c r="AR183" i="16" s="1"/>
  <c r="AR189" i="16" s="1"/>
  <c r="AR181" i="16"/>
  <c r="AS180" i="16"/>
  <c r="AS7" i="16"/>
  <c r="AT178" i="16"/>
  <c r="AT6" i="16"/>
  <c r="AU131" i="16"/>
  <c r="AU4" i="16"/>
  <c r="AV131" i="16"/>
  <c r="AV4" i="16"/>
  <c r="AO223" i="16"/>
  <c r="AO41" i="16"/>
  <c r="W46" i="16"/>
  <c r="AO43" i="16"/>
  <c r="AU180" i="9"/>
  <c r="AU182" i="9" s="1"/>
  <c r="AV181" i="9"/>
  <c r="AP40" i="16"/>
  <c r="AA43" i="16"/>
  <c r="AQ190" i="16"/>
  <c r="AQ192" i="16"/>
  <c r="AQ193" i="16" s="1"/>
  <c r="AH319" i="9"/>
  <c r="AG317" i="9"/>
  <c r="AG316" i="9" s="1"/>
  <c r="BN331" i="9"/>
  <c r="AT329" i="9"/>
  <c r="BN329" i="9" s="1"/>
  <c r="BN328" i="9"/>
  <c r="AI321" i="9"/>
  <c r="AI342" i="9"/>
  <c r="BJ341" i="9"/>
  <c r="BJ347" i="9" s="1"/>
  <c r="AD347" i="9"/>
  <c r="AD343" i="9"/>
  <c r="AE341" i="9"/>
  <c r="AF322" i="9"/>
  <c r="AG323" i="9"/>
  <c r="BR276" i="9"/>
  <c r="BR96" i="9"/>
  <c r="BS2" i="9"/>
  <c r="BS238" i="9" s="1"/>
  <c r="BR269" i="9"/>
  <c r="BR222" i="9"/>
  <c r="BR205" i="9"/>
  <c r="BO396" i="8"/>
  <c r="BO397" i="8"/>
  <c r="AQ440" i="8"/>
  <c r="AQ441" i="8" s="1"/>
  <c r="AR442" i="8"/>
  <c r="AS442" i="8" s="1"/>
  <c r="AT442" i="8" s="1"/>
  <c r="AU442" i="8" s="1"/>
  <c r="AV442" i="8" s="1"/>
  <c r="AW442" i="8" s="1"/>
  <c r="AX442" i="8" s="1"/>
  <c r="BU384" i="8"/>
  <c r="BU369" i="8"/>
  <c r="BU255" i="8"/>
  <c r="BS347" i="8"/>
  <c r="AS334" i="8"/>
  <c r="AS333" i="8" s="1"/>
  <c r="AS351" i="8" s="1"/>
  <c r="AS350" i="8" s="1"/>
  <c r="AP328" i="8"/>
  <c r="AO331" i="8"/>
  <c r="BM336" i="9"/>
  <c r="AQ336" i="9"/>
  <c r="AP337" i="9"/>
  <c r="AP334" i="9"/>
  <c r="I187" i="12"/>
  <c r="H203" i="12"/>
  <c r="I180" i="12"/>
  <c r="I189" i="12"/>
  <c r="BO506" i="8"/>
  <c r="O61" i="12"/>
  <c r="V6" i="12"/>
  <c r="V7" i="12" s="1"/>
  <c r="N92" i="12"/>
  <c r="N93" i="12"/>
  <c r="BU148" i="8" l="1"/>
  <c r="BO319" i="8"/>
  <c r="BO320" i="8" s="1"/>
  <c r="AQ74" i="9"/>
  <c r="AK638" i="8"/>
  <c r="AK542" i="8"/>
  <c r="AK547" i="8"/>
  <c r="AK368" i="8"/>
  <c r="AK552" i="8"/>
  <c r="AK558" i="8"/>
  <c r="AK557" i="8"/>
  <c r="AK570" i="8"/>
  <c r="AM533" i="8"/>
  <c r="AM535" i="8"/>
  <c r="AN529" i="8"/>
  <c r="AN532" i="8" s="1"/>
  <c r="AO530" i="8"/>
  <c r="AL533" i="8"/>
  <c r="AL535" i="8"/>
  <c r="BN532" i="8"/>
  <c r="BN533" i="8" s="1"/>
  <c r="AO47" i="10"/>
  <c r="AO510" i="8" s="1"/>
  <c r="AO509" i="8"/>
  <c r="AP46" i="10"/>
  <c r="AN511" i="8"/>
  <c r="AN512" i="8"/>
  <c r="BU295" i="8"/>
  <c r="BU291" i="8"/>
  <c r="BU288" i="8"/>
  <c r="BT291" i="8"/>
  <c r="BT288" i="8"/>
  <c r="BT289" i="8" s="1"/>
  <c r="BO441" i="8"/>
  <c r="BO442" i="8"/>
  <c r="BQ356" i="9"/>
  <c r="BQ305" i="9"/>
  <c r="BQ307" i="9" s="1"/>
  <c r="BQ300" i="9" s="1"/>
  <c r="BQ28" i="9" s="1"/>
  <c r="BT271" i="8"/>
  <c r="BT269" i="8"/>
  <c r="BT268" i="8"/>
  <c r="BS279" i="8"/>
  <c r="BS273" i="8"/>
  <c r="BS272" i="8"/>
  <c r="AU601" i="8"/>
  <c r="AW588" i="8"/>
  <c r="AV586" i="8"/>
  <c r="AV600" i="8" s="1"/>
  <c r="BQ317" i="8"/>
  <c r="BT429" i="8"/>
  <c r="BT431" i="8"/>
  <c r="BT414" i="8"/>
  <c r="BU414" i="8"/>
  <c r="BU431" i="8"/>
  <c r="BU429" i="8"/>
  <c r="AV456" i="8"/>
  <c r="AV458" i="8"/>
  <c r="AV459" i="8" s="1"/>
  <c r="AW455" i="8" s="1"/>
  <c r="BS19" i="9"/>
  <c r="U25" i="12"/>
  <c r="BR281" i="8"/>
  <c r="BR280" i="8"/>
  <c r="BK649" i="8"/>
  <c r="BK648" i="8"/>
  <c r="AA648" i="8"/>
  <c r="AA646" i="8"/>
  <c r="AB647" i="8"/>
  <c r="AC649" i="8"/>
  <c r="AD649" i="8" s="1"/>
  <c r="AD647" i="8" s="1"/>
  <c r="AW328" i="9"/>
  <c r="AW331" i="9"/>
  <c r="AX330" i="9"/>
  <c r="BO330" i="9" s="1"/>
  <c r="AX320" i="8"/>
  <c r="AX317" i="8"/>
  <c r="BO322" i="8"/>
  <c r="BO321" i="8"/>
  <c r="BR302" i="8"/>
  <c r="BR306" i="8"/>
  <c r="BR303" i="8"/>
  <c r="BS299" i="8"/>
  <c r="BT297" i="8"/>
  <c r="BS301" i="8"/>
  <c r="AQ319" i="8"/>
  <c r="BP319" i="8" s="1"/>
  <c r="BP320" i="8" s="1"/>
  <c r="AQ321" i="8"/>
  <c r="AV319" i="8"/>
  <c r="AV321" i="8"/>
  <c r="BR486" i="8"/>
  <c r="BR487" i="8"/>
  <c r="AU320" i="8"/>
  <c r="AU317" i="8"/>
  <c r="BS485" i="8"/>
  <c r="BS478" i="8"/>
  <c r="BU479" i="8"/>
  <c r="BU477" i="8" s="1"/>
  <c r="BT477" i="8"/>
  <c r="AL626" i="8"/>
  <c r="BN609" i="8"/>
  <c r="AL625" i="8"/>
  <c r="BU271" i="8"/>
  <c r="BU268" i="8"/>
  <c r="BU269" i="8"/>
  <c r="BO342" i="8"/>
  <c r="BO343" i="8" s="1"/>
  <c r="BO340" i="8"/>
  <c r="AQ4" i="8"/>
  <c r="BP4" i="8" s="1"/>
  <c r="AR339" i="8"/>
  <c r="AS340" i="8"/>
  <c r="AW518" i="8"/>
  <c r="AX519" i="8"/>
  <c r="AL615" i="8"/>
  <c r="AL620" i="8"/>
  <c r="AL610" i="8"/>
  <c r="BS473" i="8"/>
  <c r="BT475" i="8"/>
  <c r="BR474" i="8"/>
  <c r="BR490" i="8"/>
  <c r="BO355" i="8"/>
  <c r="AO344" i="8"/>
  <c r="AO6" i="8" s="1"/>
  <c r="AO5" i="8"/>
  <c r="AO354" i="8"/>
  <c r="AO355" i="8" s="1"/>
  <c r="AP342" i="8"/>
  <c r="AN6" i="8"/>
  <c r="Q20" i="10"/>
  <c r="R19" i="10"/>
  <c r="AP49" i="10"/>
  <c r="AO52" i="10"/>
  <c r="AO50" i="10"/>
  <c r="AN594" i="8"/>
  <c r="AN53" i="10"/>
  <c r="AN603" i="8" s="1"/>
  <c r="AM603" i="8"/>
  <c r="AM595" i="8"/>
  <c r="BO600" i="8"/>
  <c r="BO601" i="8" s="1"/>
  <c r="AO601" i="8"/>
  <c r="BP597" i="8"/>
  <c r="BQ598" i="8" s="1"/>
  <c r="AS600" i="8"/>
  <c r="AO224" i="16"/>
  <c r="AT16" i="16"/>
  <c r="AT18" i="16" s="1"/>
  <c r="AU17" i="16"/>
  <c r="AQ56" i="16"/>
  <c r="AQ25" i="16"/>
  <c r="AQ39" i="16"/>
  <c r="AQ21" i="16"/>
  <c r="AR10" i="16"/>
  <c r="AR20" i="16"/>
  <c r="AS12" i="16"/>
  <c r="AT13" i="16"/>
  <c r="AP61" i="16"/>
  <c r="AP261" i="16"/>
  <c r="AP262" i="16" s="1"/>
  <c r="AP263" i="16" s="1"/>
  <c r="AP202" i="16"/>
  <c r="AP198" i="16"/>
  <c r="AP199" i="16" s="1"/>
  <c r="AP206" i="16"/>
  <c r="AP207" i="16" s="1"/>
  <c r="AP212" i="16"/>
  <c r="AP221" i="16" s="1"/>
  <c r="AS196" i="16"/>
  <c r="AT135" i="16"/>
  <c r="AT195" i="16" s="1"/>
  <c r="AU136" i="16"/>
  <c r="AS181" i="16"/>
  <c r="AS185" i="16"/>
  <c r="AS183" i="16" s="1"/>
  <c r="AS189" i="16" s="1"/>
  <c r="AT180" i="16"/>
  <c r="AT7" i="16"/>
  <c r="AU178" i="16"/>
  <c r="AU6" i="16"/>
  <c r="AV178" i="16"/>
  <c r="AV6" i="16"/>
  <c r="AO46" i="16"/>
  <c r="W49" i="16"/>
  <c r="AV180" i="9"/>
  <c r="AV182" i="9" s="1"/>
  <c r="AW181" i="9"/>
  <c r="AP223" i="16"/>
  <c r="AP41" i="16"/>
  <c r="AQ41" i="16" s="1"/>
  <c r="AA46" i="16"/>
  <c r="AP43" i="16"/>
  <c r="AO226" i="16"/>
  <c r="AO230" i="16" s="1"/>
  <c r="AR190" i="16"/>
  <c r="AR192" i="16"/>
  <c r="AR193" i="16" s="1"/>
  <c r="AI319" i="9"/>
  <c r="AH317" i="9"/>
  <c r="AH316" i="9" s="1"/>
  <c r="BK316" i="9" s="1"/>
  <c r="AD344" i="9"/>
  <c r="BJ343" i="9"/>
  <c r="BJ344" i="9" s="1"/>
  <c r="AE343" i="9"/>
  <c r="AE347" i="9"/>
  <c r="AG322" i="9"/>
  <c r="AG341" i="9" s="1"/>
  <c r="AH323" i="9"/>
  <c r="BS276" i="9"/>
  <c r="BS96" i="9"/>
  <c r="BS269" i="9"/>
  <c r="BS222" i="9"/>
  <c r="BS205" i="9"/>
  <c r="AF341" i="9"/>
  <c r="BT347" i="8"/>
  <c r="AT334" i="8"/>
  <c r="AT333" i="8" s="1"/>
  <c r="AT351" i="8" s="1"/>
  <c r="AT350" i="8" s="1"/>
  <c r="AP331" i="8"/>
  <c r="AQ328" i="8"/>
  <c r="AU334" i="8" s="1"/>
  <c r="AU333" i="8" s="1"/>
  <c r="AU351" i="8" s="1"/>
  <c r="AU350" i="8" s="1"/>
  <c r="BM334" i="9"/>
  <c r="AP321" i="9"/>
  <c r="AP335" i="9"/>
  <c r="BM335" i="9" s="1"/>
  <c r="BM337" i="9"/>
  <c r="AQ337" i="9"/>
  <c r="AQ335" i="9" s="1"/>
  <c r="AQ334" i="9"/>
  <c r="AQ321" i="9" s="1"/>
  <c r="AR336" i="9"/>
  <c r="I190" i="12"/>
  <c r="I191" i="12" s="1"/>
  <c r="H220" i="12"/>
  <c r="H204" i="12"/>
  <c r="AO511" i="8" l="1"/>
  <c r="AO512" i="8"/>
  <c r="AK545" i="8"/>
  <c r="AK548" i="8"/>
  <c r="AK413" i="8"/>
  <c r="BN368" i="8"/>
  <c r="AK384" i="8"/>
  <c r="AK396" i="8"/>
  <c r="AO369" i="8"/>
  <c r="AK367" i="8"/>
  <c r="AK369" i="8"/>
  <c r="AK379" i="8"/>
  <c r="AK553" i="8"/>
  <c r="AK561" i="8"/>
  <c r="AK385" i="8"/>
  <c r="AK559" i="8"/>
  <c r="AM536" i="8"/>
  <c r="AM526" i="8"/>
  <c r="AM527" i="8" s="1"/>
  <c r="AM538" i="8"/>
  <c r="AM541" i="8" s="1"/>
  <c r="AN533" i="8"/>
  <c r="AN535" i="8"/>
  <c r="AP530" i="8"/>
  <c r="AO529" i="8"/>
  <c r="AO532" i="8" s="1"/>
  <c r="BN535" i="8"/>
  <c r="BN536" i="8" s="1"/>
  <c r="AL538" i="8"/>
  <c r="AL526" i="8"/>
  <c r="AL536" i="8"/>
  <c r="AP47" i="10"/>
  <c r="AP509" i="8"/>
  <c r="AQ46" i="10"/>
  <c r="BM46" i="10"/>
  <c r="BO509" i="8" s="1"/>
  <c r="BU289" i="8"/>
  <c r="AW329" i="9"/>
  <c r="BP330" i="9"/>
  <c r="BO328" i="9"/>
  <c r="BT279" i="8"/>
  <c r="BT273" i="8"/>
  <c r="BT272" i="8"/>
  <c r="BS281" i="8"/>
  <c r="BS280" i="8"/>
  <c r="AX588" i="8"/>
  <c r="AW586" i="8"/>
  <c r="AW600" i="8" s="1"/>
  <c r="AV601" i="8"/>
  <c r="AW458" i="8"/>
  <c r="AW459" i="8" s="1"/>
  <c r="AX455" i="8" s="1"/>
  <c r="AW456" i="8"/>
  <c r="AB648" i="8"/>
  <c r="AB646" i="8"/>
  <c r="AE649" i="8"/>
  <c r="AC647" i="8"/>
  <c r="AD646" i="8"/>
  <c r="AD648" i="8"/>
  <c r="BP322" i="8"/>
  <c r="BP321" i="8"/>
  <c r="AX518" i="8"/>
  <c r="BQ518" i="8" s="1"/>
  <c r="BQ519" i="8"/>
  <c r="AN595" i="8"/>
  <c r="BR307" i="8"/>
  <c r="BR314" i="8"/>
  <c r="BR308" i="8"/>
  <c r="BT301" i="8"/>
  <c r="BT299" i="8"/>
  <c r="BU297" i="8"/>
  <c r="BS306" i="8"/>
  <c r="BS303" i="8"/>
  <c r="BS302" i="8"/>
  <c r="AX328" i="9"/>
  <c r="AX331" i="9"/>
  <c r="AX321" i="8"/>
  <c r="AX319" i="8"/>
  <c r="AU319" i="8"/>
  <c r="BQ319" i="8" s="1"/>
  <c r="BQ320" i="8" s="1"/>
  <c r="AU321" i="8"/>
  <c r="BS487" i="8"/>
  <c r="BS486" i="8"/>
  <c r="AL627" i="8"/>
  <c r="BN626" i="8"/>
  <c r="F165" i="12"/>
  <c r="BN625" i="8"/>
  <c r="N101" i="12"/>
  <c r="BN638" i="8"/>
  <c r="BN610" i="8"/>
  <c r="F135" i="12"/>
  <c r="BU273" i="8"/>
  <c r="BU279" i="8"/>
  <c r="BU272" i="8"/>
  <c r="BU478" i="8"/>
  <c r="BU485" i="8"/>
  <c r="BT478" i="8"/>
  <c r="BT485" i="8"/>
  <c r="AR4" i="8"/>
  <c r="AS339" i="8"/>
  <c r="AT340" i="8"/>
  <c r="AL613" i="8"/>
  <c r="BN615" i="8"/>
  <c r="AL616" i="8"/>
  <c r="AL629" i="8"/>
  <c r="BN620" i="8"/>
  <c r="AL621" i="8"/>
  <c r="BS474" i="8"/>
  <c r="BS490" i="8"/>
  <c r="BT473" i="8"/>
  <c r="BU475" i="8"/>
  <c r="BU473" i="8" s="1"/>
  <c r="BR492" i="8"/>
  <c r="BR491" i="8"/>
  <c r="AP5" i="8"/>
  <c r="AQ342" i="8"/>
  <c r="AP344" i="8"/>
  <c r="AP354" i="8"/>
  <c r="AP355" i="8" s="1"/>
  <c r="R20" i="10"/>
  <c r="S19" i="10"/>
  <c r="BM49" i="10"/>
  <c r="AQ49" i="10"/>
  <c r="AP52" i="10"/>
  <c r="BM52" i="10" s="1"/>
  <c r="AP50" i="10"/>
  <c r="AO53" i="10"/>
  <c r="AO594" i="8"/>
  <c r="AN606" i="8"/>
  <c r="AN609" i="8" s="1"/>
  <c r="AN604" i="8"/>
  <c r="AM604" i="8"/>
  <c r="AM606" i="8"/>
  <c r="AM609" i="8" s="1"/>
  <c r="BP598" i="8"/>
  <c r="BP600" i="8"/>
  <c r="AS601" i="8"/>
  <c r="AP226" i="16"/>
  <c r="AP230" i="16" s="1"/>
  <c r="AU16" i="16"/>
  <c r="AU18" i="16" s="1"/>
  <c r="AV17" i="16"/>
  <c r="AV16" i="16" s="1"/>
  <c r="AV18" i="16" s="1"/>
  <c r="AQ258" i="16"/>
  <c r="AQ259" i="16" s="1"/>
  <c r="AQ260" i="16" s="1"/>
  <c r="AQ57" i="16"/>
  <c r="AQ58" i="16" s="1"/>
  <c r="AQ60" i="16"/>
  <c r="AQ26" i="16"/>
  <c r="AQ27" i="16" s="1"/>
  <c r="AQ201" i="16"/>
  <c r="AR25" i="16"/>
  <c r="AR56" i="16"/>
  <c r="AR39" i="16"/>
  <c r="AR21" i="16"/>
  <c r="AS10" i="16"/>
  <c r="AS20" i="16"/>
  <c r="AT12" i="16"/>
  <c r="AU13" i="16"/>
  <c r="AT196" i="16"/>
  <c r="AU135" i="16"/>
  <c r="AU195" i="16" s="1"/>
  <c r="AV136" i="16"/>
  <c r="AV135" i="16" s="1"/>
  <c r="AV195" i="16" s="1"/>
  <c r="AT185" i="16"/>
  <c r="AT183" i="16" s="1"/>
  <c r="AT189" i="16" s="1"/>
  <c r="AT181" i="16"/>
  <c r="AU180" i="16"/>
  <c r="AU7" i="16"/>
  <c r="AV180" i="16"/>
  <c r="AV7" i="16"/>
  <c r="AO49" i="16"/>
  <c r="AO233" i="16" s="1"/>
  <c r="W233" i="16"/>
  <c r="AW180" i="9"/>
  <c r="AW182" i="9" s="1"/>
  <c r="AX181" i="9"/>
  <c r="AX180" i="9" s="1"/>
  <c r="AQ40" i="16"/>
  <c r="AR41" i="16"/>
  <c r="AP46" i="16"/>
  <c r="AA49" i="16"/>
  <c r="AP224" i="16"/>
  <c r="AS190" i="16"/>
  <c r="AS192" i="16"/>
  <c r="AS193" i="16" s="1"/>
  <c r="AJ319" i="9"/>
  <c r="AI317" i="9"/>
  <c r="AI316" i="9" s="1"/>
  <c r="AE344" i="9"/>
  <c r="AG343" i="9"/>
  <c r="AG344" i="9" s="1"/>
  <c r="AG347" i="9"/>
  <c r="AH322" i="9"/>
  <c r="AI323" i="9"/>
  <c r="AF343" i="9"/>
  <c r="AF347" i="9"/>
  <c r="BU347" i="8"/>
  <c r="AQ331" i="8"/>
  <c r="BP328" i="8"/>
  <c r="BQ334" i="8" s="1"/>
  <c r="BQ333" i="8" s="1"/>
  <c r="BQ337" i="8" s="1"/>
  <c r="AR328" i="8"/>
  <c r="AV334" i="8" s="1"/>
  <c r="AV333" i="8" s="1"/>
  <c r="AV351" i="8" s="1"/>
  <c r="AV350" i="8" s="1"/>
  <c r="R200" i="12"/>
  <c r="V200" i="12" s="1"/>
  <c r="AS336" i="9"/>
  <c r="AR337" i="9"/>
  <c r="AR335" i="9" s="1"/>
  <c r="AR334" i="9"/>
  <c r="AR321" i="9" s="1"/>
  <c r="BM321" i="9"/>
  <c r="AK546" i="8" l="1"/>
  <c r="AK372" i="8"/>
  <c r="AK429" i="8"/>
  <c r="AK414" i="8"/>
  <c r="BN413" i="8"/>
  <c r="AK441" i="8"/>
  <c r="AK412" i="8"/>
  <c r="AO414" i="8"/>
  <c r="BN396" i="8"/>
  <c r="BN369" i="8"/>
  <c r="BN384" i="8"/>
  <c r="BO369" i="8"/>
  <c r="AK380" i="8"/>
  <c r="AK424" i="8"/>
  <c r="AK381" i="8"/>
  <c r="AL381" i="8" s="1"/>
  <c r="AK387" i="8"/>
  <c r="AK562" i="8"/>
  <c r="AK565" i="8"/>
  <c r="AK563" i="8"/>
  <c r="AK386" i="8"/>
  <c r="AL385" i="8"/>
  <c r="AK430" i="8"/>
  <c r="AM547" i="8"/>
  <c r="AM558" i="8"/>
  <c r="AM559" i="8" s="1"/>
  <c r="AM570" i="8"/>
  <c r="AM557" i="8"/>
  <c r="AM638" i="8"/>
  <c r="AM552" i="8"/>
  <c r="AM542" i="8"/>
  <c r="AN526" i="8"/>
  <c r="AN527" i="8" s="1"/>
  <c r="AN538" i="8"/>
  <c r="AN541" i="8" s="1"/>
  <c r="AN536" i="8"/>
  <c r="AQ530" i="8"/>
  <c r="AP529" i="8"/>
  <c r="AO535" i="8"/>
  <c r="AO533" i="8"/>
  <c r="BN538" i="8"/>
  <c r="BN539" i="8" s="1"/>
  <c r="AL541" i="8"/>
  <c r="BN526" i="8"/>
  <c r="BN527" i="8" s="1"/>
  <c r="AL527" i="8"/>
  <c r="AP510" i="8"/>
  <c r="BM47" i="10"/>
  <c r="BO510" i="8" s="1"/>
  <c r="BO512" i="8" s="1"/>
  <c r="AR46" i="10"/>
  <c r="AQ47" i="10"/>
  <c r="AQ510" i="8" s="1"/>
  <c r="AQ509" i="8"/>
  <c r="BR305" i="9"/>
  <c r="BR307" i="9" s="1"/>
  <c r="BR300" i="9" s="1"/>
  <c r="BR28" i="9" s="1"/>
  <c r="BR356" i="9"/>
  <c r="BP328" i="9"/>
  <c r="BP331" i="9"/>
  <c r="BP329" i="9" s="1"/>
  <c r="BQ330" i="9"/>
  <c r="AX329" i="9"/>
  <c r="BO329" i="9" s="1"/>
  <c r="BO331" i="9"/>
  <c r="BT280" i="8"/>
  <c r="BT281" i="8"/>
  <c r="BQ588" i="8"/>
  <c r="AX586" i="8"/>
  <c r="AW601" i="8"/>
  <c r="BQ455" i="8"/>
  <c r="AX456" i="8"/>
  <c r="AX458" i="8"/>
  <c r="BR519" i="8"/>
  <c r="BQ523" i="8"/>
  <c r="BQ522" i="8" s="1"/>
  <c r="AR8" i="20"/>
  <c r="AE647" i="8"/>
  <c r="AF649" i="8"/>
  <c r="AC646" i="8"/>
  <c r="BL646" i="8" s="1"/>
  <c r="BL647" i="8" s="1"/>
  <c r="AC648" i="8"/>
  <c r="BQ322" i="8"/>
  <c r="BR322" i="8" s="1"/>
  <c r="BS322" i="8" s="1"/>
  <c r="BT322" i="8" s="1"/>
  <c r="BU322" i="8" s="1"/>
  <c r="BQ321" i="8"/>
  <c r="BP601" i="8"/>
  <c r="BR315" i="8"/>
  <c r="BR316" i="8"/>
  <c r="BT306" i="8"/>
  <c r="BT302" i="8"/>
  <c r="BT303" i="8"/>
  <c r="BU299" i="8"/>
  <c r="BU301" i="8"/>
  <c r="BS307" i="8"/>
  <c r="BS308" i="8"/>
  <c r="BS314" i="8"/>
  <c r="BN627" i="8"/>
  <c r="BN628" i="8"/>
  <c r="F170" i="12"/>
  <c r="F141" i="12"/>
  <c r="BU280" i="8"/>
  <c r="BU281" i="8"/>
  <c r="BU487" i="8"/>
  <c r="BU486" i="8"/>
  <c r="BT486" i="8"/>
  <c r="BT487" i="8"/>
  <c r="BS492" i="8"/>
  <c r="BS491" i="8"/>
  <c r="BT474" i="8"/>
  <c r="BT490" i="8"/>
  <c r="BU474" i="8"/>
  <c r="BU490" i="8"/>
  <c r="AS4" i="8"/>
  <c r="AT339" i="8"/>
  <c r="AU340" i="8"/>
  <c r="BN613" i="8"/>
  <c r="BN614" i="8" s="1"/>
  <c r="AL614" i="8"/>
  <c r="BN616" i="8"/>
  <c r="BN617" i="8"/>
  <c r="BN618" i="8" s="1"/>
  <c r="AL633" i="8"/>
  <c r="AL631" i="8"/>
  <c r="AL630" i="8"/>
  <c r="BN629" i="8"/>
  <c r="BN622" i="8"/>
  <c r="BN621" i="8"/>
  <c r="AQ344" i="8"/>
  <c r="AR342" i="8"/>
  <c r="AQ354" i="8"/>
  <c r="AQ5" i="8"/>
  <c r="BP5" i="8" s="1"/>
  <c r="BO344" i="8"/>
  <c r="BO350" i="8" s="1"/>
  <c r="BO351" i="8" s="1"/>
  <c r="BO352" i="8" s="1"/>
  <c r="AP6" i="8"/>
  <c r="S20" i="10"/>
  <c r="D4" i="20" s="1"/>
  <c r="T19" i="10"/>
  <c r="AR49" i="10"/>
  <c r="AQ52" i="10"/>
  <c r="AQ50" i="10"/>
  <c r="AP53" i="10"/>
  <c r="AP594" i="8"/>
  <c r="BO594" i="8" s="1"/>
  <c r="BO595" i="8" s="1"/>
  <c r="BM50" i="10"/>
  <c r="AO603" i="8"/>
  <c r="AO595" i="8"/>
  <c r="AN615" i="8"/>
  <c r="AN610" i="8"/>
  <c r="AN625" i="8"/>
  <c r="AN626" i="8"/>
  <c r="AN627" i="8" s="1"/>
  <c r="AN620" i="8"/>
  <c r="AM620" i="8"/>
  <c r="AM615" i="8"/>
  <c r="AM625" i="8"/>
  <c r="AM610" i="8"/>
  <c r="AM626" i="8"/>
  <c r="BR597" i="8"/>
  <c r="AX182" i="9"/>
  <c r="AQ261" i="16"/>
  <c r="AQ262" i="16" s="1"/>
  <c r="AQ263" i="16" s="1"/>
  <c r="AQ61" i="16"/>
  <c r="AQ198" i="16"/>
  <c r="AQ199" i="16" s="1"/>
  <c r="AQ206" i="16"/>
  <c r="AQ207" i="16" s="1"/>
  <c r="AQ212" i="16"/>
  <c r="AQ221" i="16" s="1"/>
  <c r="AQ202" i="16"/>
  <c r="AR201" i="16"/>
  <c r="AR60" i="16"/>
  <c r="AR26" i="16"/>
  <c r="AR27" i="16" s="1"/>
  <c r="AR258" i="16"/>
  <c r="AR259" i="16" s="1"/>
  <c r="AR260" i="16" s="1"/>
  <c r="AR57" i="16"/>
  <c r="AR58" i="16" s="1"/>
  <c r="AS56" i="16"/>
  <c r="AS21" i="16"/>
  <c r="AS25" i="16"/>
  <c r="AS39" i="16"/>
  <c r="AT10" i="16"/>
  <c r="AT20" i="16"/>
  <c r="AU12" i="16"/>
  <c r="AV13" i="16"/>
  <c r="AV12" i="16" s="1"/>
  <c r="AU196" i="16"/>
  <c r="AV196" i="16"/>
  <c r="AU185" i="16"/>
  <c r="AU183" i="16" s="1"/>
  <c r="AU189" i="16" s="1"/>
  <c r="AU181" i="16"/>
  <c r="AV185" i="16"/>
  <c r="AV183" i="16" s="1"/>
  <c r="AV189" i="16" s="1"/>
  <c r="AV181" i="16"/>
  <c r="AQ43" i="16"/>
  <c r="AQ46" i="16" s="1"/>
  <c r="AQ49" i="16" s="1"/>
  <c r="AQ223" i="16"/>
  <c r="AR40" i="16"/>
  <c r="AS41" i="16"/>
  <c r="AP49" i="16"/>
  <c r="AP233" i="16" s="1"/>
  <c r="AA233" i="16"/>
  <c r="AT190" i="16"/>
  <c r="AT192" i="16"/>
  <c r="AT193" i="16" s="1"/>
  <c r="AK319" i="9"/>
  <c r="AJ317" i="9"/>
  <c r="AJ316" i="9" s="1"/>
  <c r="BK322" i="9"/>
  <c r="AH341" i="9"/>
  <c r="AI322" i="9"/>
  <c r="AI341" i="9" s="1"/>
  <c r="AJ323" i="9"/>
  <c r="AF344" i="9"/>
  <c r="BP331" i="8"/>
  <c r="AR331" i="8"/>
  <c r="AS328" i="8"/>
  <c r="AW334" i="8" s="1"/>
  <c r="AW333" i="8" s="1"/>
  <c r="AW351" i="8" s="1"/>
  <c r="AW350" i="8" s="1"/>
  <c r="AS337" i="9"/>
  <c r="AT336" i="9"/>
  <c r="AU336" i="9" s="1"/>
  <c r="AS334" i="9"/>
  <c r="AS321" i="9" s="1"/>
  <c r="AX459" i="8" l="1"/>
  <c r="BQ458" i="8"/>
  <c r="AK374" i="8"/>
  <c r="AK373" i="8"/>
  <c r="AK417" i="8"/>
  <c r="AK419" i="8" s="1"/>
  <c r="BN429" i="8"/>
  <c r="BO414" i="8"/>
  <c r="BN414" i="8"/>
  <c r="BN405" i="8"/>
  <c r="BN404" i="8" s="1"/>
  <c r="BN441" i="8"/>
  <c r="AK426" i="8"/>
  <c r="AL426" i="8" s="1"/>
  <c r="AK425" i="8"/>
  <c r="AL379" i="8"/>
  <c r="AM381" i="8"/>
  <c r="AK388" i="8"/>
  <c r="AK389" i="8"/>
  <c r="AK573" i="8"/>
  <c r="AK567" i="8"/>
  <c r="AK566" i="8"/>
  <c r="AM385" i="8"/>
  <c r="BN385" i="8"/>
  <c r="BN386" i="8" s="1"/>
  <c r="AL386" i="8"/>
  <c r="AK431" i="8"/>
  <c r="AK432" i="8"/>
  <c r="BN430" i="8"/>
  <c r="BN431" i="8" s="1"/>
  <c r="AM548" i="8"/>
  <c r="AM545" i="8"/>
  <c r="AM546" i="8" s="1"/>
  <c r="AM553" i="8"/>
  <c r="AM561" i="8"/>
  <c r="AN570" i="8"/>
  <c r="AN638" i="8"/>
  <c r="AN547" i="8"/>
  <c r="AN542" i="8"/>
  <c r="AN557" i="8"/>
  <c r="AN552" i="8"/>
  <c r="AN558" i="8"/>
  <c r="AN559" i="8" s="1"/>
  <c r="AR530" i="8"/>
  <c r="AQ529" i="8"/>
  <c r="AQ532" i="8" s="1"/>
  <c r="BO529" i="8"/>
  <c r="BO530" i="8" s="1"/>
  <c r="AP532" i="8"/>
  <c r="AO538" i="8"/>
  <c r="AO541" i="8" s="1"/>
  <c r="AO526" i="8"/>
  <c r="AO527" i="8" s="1"/>
  <c r="AO536" i="8"/>
  <c r="AL558" i="8"/>
  <c r="AL542" i="8"/>
  <c r="BN541" i="8"/>
  <c r="AL547" i="8"/>
  <c r="AL570" i="8"/>
  <c r="AL638" i="8"/>
  <c r="AL552" i="8"/>
  <c r="AL557" i="8"/>
  <c r="AP512" i="8"/>
  <c r="AP511" i="8"/>
  <c r="AR47" i="10"/>
  <c r="AR509" i="8"/>
  <c r="AS46" i="10"/>
  <c r="AQ512" i="8"/>
  <c r="AQ511" i="8"/>
  <c r="BQ459" i="8"/>
  <c r="BR455" i="8" s="1"/>
  <c r="BR458" i="8" s="1"/>
  <c r="BR459" i="8" s="1"/>
  <c r="BS455" i="8" s="1"/>
  <c r="BS458" i="8" s="1"/>
  <c r="BS459" i="8" s="1"/>
  <c r="BT455" i="8" s="1"/>
  <c r="BT458" i="8" s="1"/>
  <c r="BT459" i="8" s="1"/>
  <c r="BU455" i="8" s="1"/>
  <c r="BU458" i="8" s="1"/>
  <c r="BU459" i="8" s="1"/>
  <c r="BL649" i="8"/>
  <c r="BL648" i="8"/>
  <c r="AP603" i="8"/>
  <c r="BM53" i="10"/>
  <c r="BQ331" i="9"/>
  <c r="BQ329" i="9" s="1"/>
  <c r="BQ328" i="9"/>
  <c r="BR330" i="9"/>
  <c r="BS356" i="9"/>
  <c r="BS305" i="9"/>
  <c r="BS307" i="9" s="1"/>
  <c r="BS300" i="9" s="1"/>
  <c r="BS28" i="9" s="1"/>
  <c r="BR588" i="8"/>
  <c r="BQ592" i="8"/>
  <c r="BQ590" i="8" s="1"/>
  <c r="AX600" i="8"/>
  <c r="BQ586" i="8"/>
  <c r="BR518" i="8"/>
  <c r="BS519" i="8"/>
  <c r="AE646" i="8"/>
  <c r="AE648" i="8"/>
  <c r="AF647" i="8"/>
  <c r="AG649" i="8"/>
  <c r="BR317" i="8"/>
  <c r="BR320" i="8"/>
  <c r="BT308" i="8"/>
  <c r="BT307" i="8"/>
  <c r="BT314" i="8"/>
  <c r="BU302" i="8"/>
  <c r="BU303" i="8"/>
  <c r="BU306" i="8"/>
  <c r="BS316" i="8"/>
  <c r="BS315" i="8"/>
  <c r="BO113" i="9"/>
  <c r="BT492" i="8"/>
  <c r="BT491" i="8"/>
  <c r="BU492" i="8"/>
  <c r="BU491" i="8"/>
  <c r="AT4" i="8"/>
  <c r="BP339" i="8"/>
  <c r="AU339" i="8"/>
  <c r="AU4" i="8" s="1"/>
  <c r="BQ4" i="8" s="1"/>
  <c r="AV340" i="8"/>
  <c r="AL635" i="8"/>
  <c r="AL641" i="8"/>
  <c r="BN633" i="8"/>
  <c r="AL634" i="8"/>
  <c r="BN630" i="8"/>
  <c r="BN631" i="8"/>
  <c r="AQ6" i="8"/>
  <c r="BP6" i="8" s="1"/>
  <c r="AS342" i="8"/>
  <c r="AR354" i="8"/>
  <c r="AR355" i="8" s="1"/>
  <c r="AR5" i="8"/>
  <c r="AR344" i="8"/>
  <c r="BP354" i="8"/>
  <c r="AQ355" i="8"/>
  <c r="D43" i="20"/>
  <c r="D40" i="20"/>
  <c r="D37" i="20"/>
  <c r="D49" i="20"/>
  <c r="D46" i="20"/>
  <c r="T20" i="10"/>
  <c r="E4" i="20" s="1"/>
  <c r="U19" i="10"/>
  <c r="AS49" i="10"/>
  <c r="AR52" i="10"/>
  <c r="AR50" i="10"/>
  <c r="AQ53" i="10"/>
  <c r="AQ594" i="8"/>
  <c r="AO606" i="8"/>
  <c r="AO604" i="8"/>
  <c r="AN616" i="8"/>
  <c r="AN613" i="8"/>
  <c r="AN614" i="8" s="1"/>
  <c r="AN621" i="8"/>
  <c r="AN629" i="8"/>
  <c r="AN633" i="8" s="1"/>
  <c r="AM629" i="8"/>
  <c r="AM633" i="8" s="1"/>
  <c r="AM621" i="8"/>
  <c r="AM616" i="8"/>
  <c r="AM613" i="8"/>
  <c r="AM614" i="8" s="1"/>
  <c r="BS597" i="8"/>
  <c r="AP595" i="8"/>
  <c r="AM627" i="8"/>
  <c r="AQ226" i="16"/>
  <c r="AQ230" i="16" s="1"/>
  <c r="AQ233" i="16" s="1"/>
  <c r="AR212" i="16"/>
  <c r="AR221" i="16" s="1"/>
  <c r="AR202" i="16"/>
  <c r="AR198" i="16"/>
  <c r="AR199" i="16" s="1"/>
  <c r="AR206" i="16"/>
  <c r="AR207" i="16" s="1"/>
  <c r="AR261" i="16"/>
  <c r="AR262" i="16" s="1"/>
  <c r="AR263" i="16" s="1"/>
  <c r="AR61" i="16"/>
  <c r="AS258" i="16"/>
  <c r="AS259" i="16" s="1"/>
  <c r="AS260" i="16" s="1"/>
  <c r="AS57" i="16"/>
  <c r="AS58" i="16" s="1"/>
  <c r="AS201" i="16"/>
  <c r="AS26" i="16"/>
  <c r="AS27" i="16" s="1"/>
  <c r="AS60" i="16"/>
  <c r="AT39" i="16"/>
  <c r="AT21" i="16"/>
  <c r="AT25" i="16"/>
  <c r="AT56" i="16"/>
  <c r="AU10" i="16"/>
  <c r="AU20" i="16"/>
  <c r="AV10" i="16"/>
  <c r="AV20" i="16"/>
  <c r="AR43" i="16"/>
  <c r="AR46" i="16" s="1"/>
  <c r="AR49" i="16" s="1"/>
  <c r="AR223" i="16"/>
  <c r="AS40" i="16"/>
  <c r="AT41" i="16"/>
  <c r="AQ224" i="16"/>
  <c r="AU190" i="16"/>
  <c r="AU192" i="16"/>
  <c r="AU193" i="16" s="1"/>
  <c r="AV190" i="16"/>
  <c r="AV192" i="16"/>
  <c r="AV193" i="16" s="1"/>
  <c r="AV336" i="9"/>
  <c r="AU337" i="9"/>
  <c r="AU334" i="9"/>
  <c r="AK317" i="9"/>
  <c r="AK316" i="9" s="1"/>
  <c r="AL319" i="9"/>
  <c r="BK341" i="9"/>
  <c r="BK347" i="9" s="1"/>
  <c r="AH347" i="9"/>
  <c r="AH343" i="9"/>
  <c r="AI347" i="9"/>
  <c r="AI343" i="9"/>
  <c r="AJ322" i="9"/>
  <c r="BL322" i="9" s="1"/>
  <c r="AK323" i="9"/>
  <c r="AS331" i="8"/>
  <c r="AT328" i="8"/>
  <c r="AT334" i="9"/>
  <c r="AT337" i="9"/>
  <c r="BN336" i="9"/>
  <c r="AS335" i="9"/>
  <c r="AK376" i="8" l="1"/>
  <c r="AK391" i="8"/>
  <c r="AK375" i="8"/>
  <c r="AK420" i="8"/>
  <c r="AK421" i="8"/>
  <c r="AK436" i="8"/>
  <c r="AL424" i="8"/>
  <c r="AM426" i="8"/>
  <c r="AL380" i="8"/>
  <c r="AL387" i="8"/>
  <c r="BN379" i="8"/>
  <c r="AM379" i="8"/>
  <c r="AN381" i="8"/>
  <c r="AK575" i="8"/>
  <c r="AK574" i="8"/>
  <c r="AM386" i="8"/>
  <c r="AN385" i="8"/>
  <c r="AK434" i="8"/>
  <c r="AK433" i="8"/>
  <c r="AM565" i="8"/>
  <c r="AM563" i="8"/>
  <c r="AM562" i="8"/>
  <c r="AN545" i="8"/>
  <c r="AN546" i="8" s="1"/>
  <c r="AN548" i="8"/>
  <c r="AN561" i="8"/>
  <c r="AN553" i="8"/>
  <c r="AR529" i="8"/>
  <c r="AR532" i="8" s="1"/>
  <c r="AS530" i="8"/>
  <c r="AQ535" i="8"/>
  <c r="AQ533" i="8"/>
  <c r="AP533" i="8"/>
  <c r="BO532" i="8"/>
  <c r="BO533" i="8" s="1"/>
  <c r="AP535" i="8"/>
  <c r="AO557" i="8"/>
  <c r="AO542" i="8"/>
  <c r="AO570" i="8"/>
  <c r="AO547" i="8"/>
  <c r="AO638" i="8"/>
  <c r="AO558" i="8"/>
  <c r="AO559" i="8" s="1"/>
  <c r="AO552" i="8"/>
  <c r="BN558" i="8"/>
  <c r="AL559" i="8"/>
  <c r="BN579" i="8"/>
  <c r="BN580" i="8" s="1"/>
  <c r="BN542" i="8"/>
  <c r="BN570" i="8"/>
  <c r="J101" i="12"/>
  <c r="K101" i="12" s="1"/>
  <c r="O101" i="12" s="1"/>
  <c r="BN557" i="8"/>
  <c r="BN547" i="8"/>
  <c r="AL548" i="8"/>
  <c r="AL545" i="8"/>
  <c r="AL553" i="8"/>
  <c r="AL561" i="8"/>
  <c r="BN552" i="8"/>
  <c r="AS47" i="10"/>
  <c r="AS510" i="8" s="1"/>
  <c r="AT46" i="10"/>
  <c r="AS509" i="8"/>
  <c r="AR510" i="8"/>
  <c r="AP606" i="8"/>
  <c r="AP604" i="8"/>
  <c r="BO603" i="8"/>
  <c r="BO604" i="8" s="1"/>
  <c r="BP113" i="9"/>
  <c r="BQ113" i="9" s="1"/>
  <c r="BR113" i="9" s="1"/>
  <c r="BS113" i="9" s="1"/>
  <c r="BR331" i="9"/>
  <c r="BR329" i="9" s="1"/>
  <c r="BS330" i="9"/>
  <c r="BR328" i="9"/>
  <c r="AU335" i="9"/>
  <c r="BR586" i="8"/>
  <c r="BR600" i="8" s="1"/>
  <c r="BS588" i="8"/>
  <c r="BQ600" i="8"/>
  <c r="BQ601" i="8" s="1"/>
  <c r="AX601" i="8"/>
  <c r="BS518" i="8"/>
  <c r="BT519" i="8"/>
  <c r="AF648" i="8"/>
  <c r="AF646" i="8"/>
  <c r="AG647" i="8"/>
  <c r="AH649" i="8"/>
  <c r="AI649" i="8" s="1"/>
  <c r="AT8" i="20"/>
  <c r="AU8" i="20"/>
  <c r="BR321" i="8"/>
  <c r="BR319" i="8"/>
  <c r="BT316" i="8"/>
  <c r="BT315" i="8"/>
  <c r="BU307" i="8"/>
  <c r="BU314" i="8"/>
  <c r="BU308" i="8"/>
  <c r="BS317" i="8"/>
  <c r="BS320" i="8"/>
  <c r="BP342" i="8"/>
  <c r="BP340" i="8"/>
  <c r="AV339" i="8"/>
  <c r="AV4" i="8" s="1"/>
  <c r="AW340" i="8"/>
  <c r="BN641" i="8"/>
  <c r="AL642" i="8"/>
  <c r="AL643" i="8"/>
  <c r="BN634" i="8"/>
  <c r="BN635" i="8"/>
  <c r="AT342" i="8"/>
  <c r="AS344" i="8"/>
  <c r="AS6" i="8" s="1"/>
  <c r="AS5" i="8"/>
  <c r="AS354" i="8"/>
  <c r="AS355" i="8" s="1"/>
  <c r="BP355" i="8"/>
  <c r="AR6" i="8"/>
  <c r="AT331" i="8"/>
  <c r="AU328" i="8"/>
  <c r="BQ328" i="8" s="1"/>
  <c r="AX334" i="8"/>
  <c r="AX333" i="8" s="1"/>
  <c r="AX351" i="8" s="1"/>
  <c r="AX350" i="8" s="1"/>
  <c r="E40" i="20"/>
  <c r="E49" i="20"/>
  <c r="E37" i="20"/>
  <c r="E46" i="20"/>
  <c r="E43" i="20"/>
  <c r="V19" i="10"/>
  <c r="U20" i="10"/>
  <c r="F4" i="20" s="1"/>
  <c r="AS52" i="10"/>
  <c r="AT49" i="10"/>
  <c r="AS50" i="10"/>
  <c r="AR53" i="10"/>
  <c r="AR603" i="8" s="1"/>
  <c r="AR594" i="8"/>
  <c r="AQ603" i="8"/>
  <c r="AQ595" i="8"/>
  <c r="AO609" i="8"/>
  <c r="AN635" i="8"/>
  <c r="AN641" i="8"/>
  <c r="AN634" i="8"/>
  <c r="AN630" i="8"/>
  <c r="AN631" i="8"/>
  <c r="AM630" i="8"/>
  <c r="AM631" i="8"/>
  <c r="AM635" i="8"/>
  <c r="AM634" i="8"/>
  <c r="AM641" i="8"/>
  <c r="BT597" i="8"/>
  <c r="D34" i="20"/>
  <c r="D7" i="20" s="1"/>
  <c r="D8" i="20" s="1"/>
  <c r="AT335" i="9"/>
  <c r="BN335" i="9" s="1"/>
  <c r="BN337" i="9"/>
  <c r="AR226" i="16"/>
  <c r="AR230" i="16" s="1"/>
  <c r="AR233" i="16" s="1"/>
  <c r="AS206" i="16"/>
  <c r="AS207" i="16" s="1"/>
  <c r="AS202" i="16"/>
  <c r="AS198" i="16"/>
  <c r="AS199" i="16" s="1"/>
  <c r="AS212" i="16"/>
  <c r="AS221" i="16" s="1"/>
  <c r="AS261" i="16"/>
  <c r="AS262" i="16" s="1"/>
  <c r="AS263" i="16" s="1"/>
  <c r="AS61" i="16"/>
  <c r="AT201" i="16"/>
  <c r="AT60" i="16"/>
  <c r="AT26" i="16"/>
  <c r="AT27" i="16" s="1"/>
  <c r="AT258" i="16"/>
  <c r="AT259" i="16" s="1"/>
  <c r="AT260" i="16" s="1"/>
  <c r="AT57" i="16"/>
  <c r="AT58" i="16" s="1"/>
  <c r="AU39" i="16"/>
  <c r="AU56" i="16"/>
  <c r="AU21" i="16"/>
  <c r="AU25" i="16"/>
  <c r="AV21" i="16"/>
  <c r="AV39" i="16"/>
  <c r="AV56" i="16"/>
  <c r="AV25" i="16"/>
  <c r="AS43" i="16"/>
  <c r="AS46" i="16" s="1"/>
  <c r="AS49" i="16" s="1"/>
  <c r="AS223" i="16"/>
  <c r="AT40" i="16"/>
  <c r="AU41" i="16"/>
  <c r="AW336" i="9"/>
  <c r="AV334" i="9"/>
  <c r="AV337" i="9"/>
  <c r="AV335" i="9" s="1"/>
  <c r="AR224" i="16"/>
  <c r="AL317" i="9"/>
  <c r="AL316" i="9" s="1"/>
  <c r="BL316" i="9" s="1"/>
  <c r="AM319" i="9"/>
  <c r="BL319" i="9"/>
  <c r="BL317" i="9" s="1"/>
  <c r="BK343" i="9"/>
  <c r="BK344" i="9" s="1"/>
  <c r="AH344" i="9"/>
  <c r="AI344" i="9"/>
  <c r="AJ344" i="9" s="1"/>
  <c r="AK322" i="9"/>
  <c r="AL323" i="9"/>
  <c r="BN334" i="9"/>
  <c r="AK377" i="8" l="1"/>
  <c r="AL376" i="8"/>
  <c r="AK393" i="8"/>
  <c r="AK399" i="8"/>
  <c r="AK392" i="8"/>
  <c r="AK422" i="8"/>
  <c r="AL421" i="8"/>
  <c r="AK438" i="8"/>
  <c r="AK444" i="8"/>
  <c r="AK446" i="8" s="1"/>
  <c r="AK447" i="8" s="1"/>
  <c r="AL432" i="8"/>
  <c r="AL425" i="8"/>
  <c r="BN424" i="8"/>
  <c r="AN426" i="8"/>
  <c r="AM424" i="8"/>
  <c r="BN387" i="8"/>
  <c r="AL389" i="8"/>
  <c r="AL388" i="8"/>
  <c r="BN381" i="8"/>
  <c r="BN380" i="8"/>
  <c r="AM380" i="8"/>
  <c r="AM387" i="8"/>
  <c r="AO381" i="8"/>
  <c r="AN379" i="8"/>
  <c r="AM567" i="8"/>
  <c r="AM573" i="8"/>
  <c r="AM566" i="8"/>
  <c r="AN565" i="8"/>
  <c r="AN563" i="8"/>
  <c r="AN562" i="8"/>
  <c r="AR535" i="8"/>
  <c r="AR533" i="8"/>
  <c r="AS529" i="8"/>
  <c r="AT530" i="8"/>
  <c r="AQ536" i="8"/>
  <c r="AQ526" i="8"/>
  <c r="AQ527" i="8" s="1"/>
  <c r="AQ538" i="8"/>
  <c r="AQ541" i="8" s="1"/>
  <c r="AP538" i="8"/>
  <c r="AP536" i="8"/>
  <c r="AP526" i="8"/>
  <c r="BO535" i="8"/>
  <c r="BO536" i="8" s="1"/>
  <c r="AO545" i="8"/>
  <c r="AO546" i="8" s="1"/>
  <c r="AO548" i="8"/>
  <c r="AO561" i="8"/>
  <c r="AO553" i="8"/>
  <c r="BN560" i="8"/>
  <c r="BN559" i="8"/>
  <c r="BN548" i="8"/>
  <c r="BN549" i="8"/>
  <c r="BN550" i="8" s="1"/>
  <c r="BN545" i="8"/>
  <c r="BN546" i="8" s="1"/>
  <c r="AL546" i="8"/>
  <c r="AL565" i="8"/>
  <c r="AL562" i="8"/>
  <c r="BN561" i="8"/>
  <c r="AL563" i="8"/>
  <c r="BN553" i="8"/>
  <c r="BN554" i="8"/>
  <c r="AU46" i="10"/>
  <c r="AT509" i="8"/>
  <c r="BN46" i="10"/>
  <c r="AT47" i="10"/>
  <c r="AR512" i="8"/>
  <c r="AR511" i="8"/>
  <c r="AN386" i="8"/>
  <c r="AO385" i="8"/>
  <c r="AP385" i="8" s="1"/>
  <c r="AS512" i="8"/>
  <c r="AS511" i="8"/>
  <c r="AP609" i="8"/>
  <c r="BO609" i="8" s="1"/>
  <c r="BO606" i="8"/>
  <c r="BO607" i="8" s="1"/>
  <c r="AU49" i="10"/>
  <c r="AU50" i="10" s="1"/>
  <c r="BS328" i="9"/>
  <c r="BS331" i="9"/>
  <c r="BS329" i="9" s="1"/>
  <c r="BO216" i="9"/>
  <c r="BR601" i="8"/>
  <c r="BS586" i="8"/>
  <c r="BS600" i="8" s="1"/>
  <c r="BS601" i="8" s="1"/>
  <c r="BT588" i="8"/>
  <c r="BT518" i="8"/>
  <c r="BU519" i="8"/>
  <c r="BU518" i="8" s="1"/>
  <c r="AG646" i="8"/>
  <c r="AG648" i="8"/>
  <c r="AJ649" i="8"/>
  <c r="AH647" i="8"/>
  <c r="AI647" i="8"/>
  <c r="BR328" i="8"/>
  <c r="BR334" i="8"/>
  <c r="BR333" i="8" s="1"/>
  <c r="BR351" i="8" s="1"/>
  <c r="BQ331" i="8"/>
  <c r="BT320" i="8"/>
  <c r="BT317" i="8"/>
  <c r="BU315" i="8"/>
  <c r="BU316" i="8"/>
  <c r="BS319" i="8"/>
  <c r="BS321" i="8"/>
  <c r="N102" i="12"/>
  <c r="BN642" i="8"/>
  <c r="BN643" i="8"/>
  <c r="F183" i="12" s="1"/>
  <c r="F176" i="12" s="1"/>
  <c r="BN644" i="8"/>
  <c r="BP343" i="8"/>
  <c r="AW339" i="8"/>
  <c r="AW4" i="8" s="1"/>
  <c r="AX340" i="8"/>
  <c r="AX339" i="8" s="1"/>
  <c r="AT5" i="8"/>
  <c r="AT354" i="8"/>
  <c r="AT355" i="8" s="1"/>
  <c r="AT344" i="8"/>
  <c r="AU342" i="8"/>
  <c r="AU331" i="8"/>
  <c r="AV328" i="8"/>
  <c r="W19" i="10"/>
  <c r="V20" i="10"/>
  <c r="G4" i="20" s="1"/>
  <c r="F40" i="20"/>
  <c r="F43" i="20"/>
  <c r="F37" i="20"/>
  <c r="F46" i="20"/>
  <c r="F49" i="20"/>
  <c r="BN49" i="10"/>
  <c r="BO49" i="10" s="1"/>
  <c r="AT52" i="10"/>
  <c r="BN52" i="10" s="1"/>
  <c r="AT50" i="10"/>
  <c r="AS594" i="8"/>
  <c r="AS53" i="10"/>
  <c r="AR604" i="8"/>
  <c r="AR606" i="8"/>
  <c r="AR609" i="8" s="1"/>
  <c r="AR595" i="8"/>
  <c r="AQ604" i="8"/>
  <c r="AQ606" i="8"/>
  <c r="AQ609" i="8" s="1"/>
  <c r="AO610" i="8"/>
  <c r="AO626" i="8"/>
  <c r="AO625" i="8"/>
  <c r="AO620" i="8"/>
  <c r="AO615" i="8"/>
  <c r="AN642" i="8"/>
  <c r="AN643" i="8"/>
  <c r="AM642" i="8"/>
  <c r="AM643" i="8"/>
  <c r="BU597" i="8"/>
  <c r="E34" i="20"/>
  <c r="E7" i="20" s="1"/>
  <c r="E8" i="20" s="1"/>
  <c r="AS226" i="16"/>
  <c r="AS230" i="16" s="1"/>
  <c r="AS233" i="16" s="1"/>
  <c r="AT198" i="16"/>
  <c r="AT199" i="16" s="1"/>
  <c r="AT206" i="16"/>
  <c r="AT207" i="16" s="1"/>
  <c r="AT202" i="16"/>
  <c r="AT212" i="16"/>
  <c r="AT221" i="16" s="1"/>
  <c r="AT261" i="16"/>
  <c r="AT262" i="16" s="1"/>
  <c r="AT263" i="16" s="1"/>
  <c r="AT61" i="16"/>
  <c r="AU258" i="16"/>
  <c r="AU259" i="16" s="1"/>
  <c r="AU260" i="16" s="1"/>
  <c r="AU57" i="16"/>
  <c r="AU58" i="16" s="1"/>
  <c r="AU201" i="16"/>
  <c r="AU26" i="16"/>
  <c r="AU27" i="16" s="1"/>
  <c r="AU60" i="16"/>
  <c r="AV258" i="16"/>
  <c r="AV259" i="16" s="1"/>
  <c r="AV57" i="16"/>
  <c r="AV201" i="16"/>
  <c r="AV60" i="16"/>
  <c r="AV26" i="16"/>
  <c r="AT43" i="16"/>
  <c r="AT46" i="16" s="1"/>
  <c r="AT49" i="16" s="1"/>
  <c r="AT223" i="16"/>
  <c r="AU40" i="16"/>
  <c r="AV41" i="16"/>
  <c r="AV40" i="16" s="1"/>
  <c r="AX336" i="9"/>
  <c r="BO336" i="9" s="1"/>
  <c r="BP336" i="9" s="1"/>
  <c r="AW334" i="9"/>
  <c r="AW337" i="9"/>
  <c r="AS224" i="16"/>
  <c r="AN319" i="9"/>
  <c r="AM317" i="9"/>
  <c r="AM316" i="9" s="1"/>
  <c r="AJ343" i="9"/>
  <c r="AK344" i="9"/>
  <c r="AL344" i="9" s="1"/>
  <c r="AL322" i="9"/>
  <c r="AM323" i="9"/>
  <c r="BL323" i="9"/>
  <c r="AM376" i="8" l="1"/>
  <c r="AL377" i="8"/>
  <c r="AL374" i="8"/>
  <c r="AK400" i="8"/>
  <c r="AK401" i="8"/>
  <c r="AK402" i="8" s="1"/>
  <c r="AL422" i="8"/>
  <c r="AM421" i="8"/>
  <c r="AL419" i="8"/>
  <c r="AL434" i="8"/>
  <c r="BN432" i="8"/>
  <c r="AL433" i="8"/>
  <c r="BN426" i="8"/>
  <c r="BN425" i="8"/>
  <c r="AO426" i="8"/>
  <c r="AN424" i="8"/>
  <c r="AM425" i="8"/>
  <c r="AM432" i="8"/>
  <c r="BN388" i="8"/>
  <c r="BN389" i="8"/>
  <c r="AM388" i="8"/>
  <c r="AM389" i="8"/>
  <c r="AO379" i="8"/>
  <c r="AP381" i="8"/>
  <c r="AN387" i="8"/>
  <c r="AN380" i="8"/>
  <c r="AM574" i="8"/>
  <c r="AM575" i="8"/>
  <c r="AN567" i="8"/>
  <c r="AN573" i="8"/>
  <c r="AN566" i="8"/>
  <c r="AR536" i="8"/>
  <c r="AR538" i="8"/>
  <c r="AR541" i="8" s="1"/>
  <c r="AR526" i="8"/>
  <c r="AR527" i="8" s="1"/>
  <c r="AU530" i="8"/>
  <c r="AT529" i="8"/>
  <c r="AQ558" i="8"/>
  <c r="AQ559" i="8" s="1"/>
  <c r="AQ638" i="8"/>
  <c r="AQ552" i="8"/>
  <c r="AQ547" i="8"/>
  <c r="AQ542" i="8"/>
  <c r="AQ570" i="8"/>
  <c r="AQ557" i="8"/>
  <c r="BO538" i="8"/>
  <c r="BO539" i="8" s="1"/>
  <c r="AP541" i="8"/>
  <c r="BO526" i="8"/>
  <c r="BO527" i="8" s="1"/>
  <c r="AP527" i="8"/>
  <c r="AO563" i="8"/>
  <c r="AO565" i="8"/>
  <c r="AO562" i="8"/>
  <c r="BN565" i="8"/>
  <c r="AL567" i="8"/>
  <c r="AL566" i="8"/>
  <c r="AL573" i="8"/>
  <c r="BN562" i="8"/>
  <c r="BN563" i="8"/>
  <c r="AU47" i="10"/>
  <c r="AU510" i="8" s="1"/>
  <c r="AV46" i="10"/>
  <c r="AU509" i="8"/>
  <c r="BP509" i="8"/>
  <c r="BO46" i="10"/>
  <c r="BN47" i="10"/>
  <c r="BP510" i="8" s="1"/>
  <c r="BP512" i="8" s="1"/>
  <c r="AT510" i="8"/>
  <c r="BO385" i="8"/>
  <c r="BO386" i="8" s="1"/>
  <c r="AQ385" i="8"/>
  <c r="AO386" i="8"/>
  <c r="AS532" i="8"/>
  <c r="AP386" i="8"/>
  <c r="AP610" i="8"/>
  <c r="AP615" i="8"/>
  <c r="BO615" i="8" s="1"/>
  <c r="AP625" i="8"/>
  <c r="AP620" i="8"/>
  <c r="BO620" i="8" s="1"/>
  <c r="AP626" i="8"/>
  <c r="BO626" i="8" s="1"/>
  <c r="AV49" i="10"/>
  <c r="AU52" i="10"/>
  <c r="AU594" i="8"/>
  <c r="AU595" i="8" s="1"/>
  <c r="AU53" i="10"/>
  <c r="AU603" i="8" s="1"/>
  <c r="BQ336" i="9"/>
  <c r="BP337" i="9"/>
  <c r="BP335" i="9" s="1"/>
  <c r="BP334" i="9"/>
  <c r="BP321" i="9" s="1"/>
  <c r="AW335" i="9"/>
  <c r="BU588" i="8"/>
  <c r="BU586" i="8" s="1"/>
  <c r="BU600" i="8" s="1"/>
  <c r="BT586" i="8"/>
  <c r="BT600" i="8" s="1"/>
  <c r="BT601" i="8" s="1"/>
  <c r="N103" i="12"/>
  <c r="P102" i="12"/>
  <c r="AJ647" i="8"/>
  <c r="AK649" i="8"/>
  <c r="AH648" i="8"/>
  <c r="AH646" i="8"/>
  <c r="BM646" i="8" s="1"/>
  <c r="BM647" i="8" s="1"/>
  <c r="AI648" i="8"/>
  <c r="AI646" i="8"/>
  <c r="BS328" i="8"/>
  <c r="BR331" i="8"/>
  <c r="BS334" i="8"/>
  <c r="BS333" i="8" s="1"/>
  <c r="BS351" i="8" s="1"/>
  <c r="AX4" i="8"/>
  <c r="BQ339" i="8"/>
  <c r="BT321" i="8"/>
  <c r="BT319" i="8"/>
  <c r="BU320" i="8"/>
  <c r="BU317" i="8"/>
  <c r="BP344" i="8"/>
  <c r="BP350" i="8" s="1"/>
  <c r="AT6" i="8"/>
  <c r="AU344" i="8"/>
  <c r="AU5" i="8"/>
  <c r="BQ5" i="8" s="1"/>
  <c r="AU354" i="8"/>
  <c r="AV342" i="8"/>
  <c r="AV331" i="8"/>
  <c r="AW328" i="8"/>
  <c r="AT224" i="16"/>
  <c r="W20" i="10"/>
  <c r="H4" i="20" s="1"/>
  <c r="X19" i="10"/>
  <c r="G49" i="20"/>
  <c r="AN49" i="20" s="1"/>
  <c r="G37" i="20"/>
  <c r="G43" i="20"/>
  <c r="AN43" i="20" s="1"/>
  <c r="G40" i="20"/>
  <c r="AN40" i="20" s="1"/>
  <c r="G46" i="20"/>
  <c r="AN46" i="20" s="1"/>
  <c r="BP49" i="10"/>
  <c r="BO52" i="10"/>
  <c r="BO50" i="10"/>
  <c r="AT53" i="10"/>
  <c r="AT594" i="8"/>
  <c r="BN50" i="10"/>
  <c r="AS595" i="8"/>
  <c r="AS603" i="8"/>
  <c r="AR615" i="8"/>
  <c r="AR610" i="8"/>
  <c r="AR626" i="8"/>
  <c r="AR625" i="8"/>
  <c r="AR620" i="8"/>
  <c r="AQ625" i="8"/>
  <c r="AQ610" i="8"/>
  <c r="AQ626" i="8"/>
  <c r="AQ615" i="8"/>
  <c r="AQ620" i="8"/>
  <c r="BO625" i="8"/>
  <c r="G135" i="12"/>
  <c r="G132" i="12" s="1"/>
  <c r="BO610" i="8"/>
  <c r="BO638" i="8"/>
  <c r="G165" i="12"/>
  <c r="AO627" i="8"/>
  <c r="AO621" i="8"/>
  <c r="AO629" i="8"/>
  <c r="AO633" i="8" s="1"/>
  <c r="AO613" i="8"/>
  <c r="AO616" i="8"/>
  <c r="F34" i="20"/>
  <c r="F7" i="20" s="1"/>
  <c r="F8" i="20" s="1"/>
  <c r="AU198" i="16"/>
  <c r="AU199" i="16" s="1"/>
  <c r="AU212" i="16"/>
  <c r="AU221" i="16" s="1"/>
  <c r="AU206" i="16"/>
  <c r="AU207" i="16" s="1"/>
  <c r="AU202" i="16"/>
  <c r="AU261" i="16"/>
  <c r="AU262" i="16" s="1"/>
  <c r="AU61" i="16"/>
  <c r="AV212" i="16"/>
  <c r="AV221" i="16" s="1"/>
  <c r="AV198" i="16"/>
  <c r="AV199" i="16" s="1"/>
  <c r="AV202" i="16"/>
  <c r="AV206" i="16"/>
  <c r="AV207" i="16" s="1"/>
  <c r="AV261" i="16"/>
  <c r="AV262" i="16" s="1"/>
  <c r="AV61" i="16"/>
  <c r="AU43" i="16"/>
  <c r="AU46" i="16" s="1"/>
  <c r="AU49" i="16" s="1"/>
  <c r="AU223" i="16"/>
  <c r="AV43" i="16"/>
  <c r="AV46" i="16" s="1"/>
  <c r="AV49" i="16" s="1"/>
  <c r="AV223" i="16"/>
  <c r="AX334" i="9"/>
  <c r="AX337" i="9"/>
  <c r="AT226" i="16"/>
  <c r="AT230" i="16" s="1"/>
  <c r="AT233" i="16" s="1"/>
  <c r="AV260" i="16"/>
  <c r="AV58" i="16"/>
  <c r="AV27" i="16"/>
  <c r="AO319" i="9"/>
  <c r="AN317" i="9"/>
  <c r="AN316" i="9" s="1"/>
  <c r="BL343" i="9"/>
  <c r="BL344" i="9" s="1"/>
  <c r="AJ341" i="9"/>
  <c r="AK343" i="9"/>
  <c r="AK341" i="9" s="1"/>
  <c r="AK347" i="9" s="1"/>
  <c r="AM322" i="9"/>
  <c r="BM322" i="9" s="1"/>
  <c r="AN323" i="9"/>
  <c r="AM344" i="9"/>
  <c r="AL343" i="9"/>
  <c r="AL341" i="9" s="1"/>
  <c r="AL347" i="9" s="1"/>
  <c r="AT532" i="8" l="1"/>
  <c r="BP529" i="8"/>
  <c r="BP530" i="8" s="1"/>
  <c r="AM374" i="8"/>
  <c r="AN376" i="8"/>
  <c r="AM377" i="8"/>
  <c r="AL375" i="8"/>
  <c r="BN374" i="8"/>
  <c r="AL372" i="8"/>
  <c r="BN372" i="8" s="1"/>
  <c r="BN373" i="8" s="1"/>
  <c r="AL391" i="8"/>
  <c r="AN421" i="8"/>
  <c r="AM419" i="8"/>
  <c r="AM422" i="8"/>
  <c r="AL420" i="8"/>
  <c r="AL417" i="8"/>
  <c r="BN417" i="8" s="1"/>
  <c r="BN418" i="8" s="1"/>
  <c r="BN419" i="8"/>
  <c r="AL436" i="8"/>
  <c r="BN433" i="8"/>
  <c r="BN434" i="8"/>
  <c r="AP426" i="8"/>
  <c r="AO424" i="8"/>
  <c r="AN432" i="8"/>
  <c r="AN425" i="8"/>
  <c r="AM433" i="8"/>
  <c r="AM434" i="8"/>
  <c r="AO380" i="8"/>
  <c r="AO387" i="8"/>
  <c r="AQ381" i="8"/>
  <c r="AP379" i="8"/>
  <c r="AN388" i="8"/>
  <c r="AN389" i="8"/>
  <c r="AN575" i="8"/>
  <c r="AN574" i="8"/>
  <c r="AR542" i="8"/>
  <c r="AR547" i="8"/>
  <c r="AR557" i="8"/>
  <c r="AR638" i="8"/>
  <c r="AR552" i="8"/>
  <c r="AR558" i="8"/>
  <c r="AR559" i="8" s="1"/>
  <c r="AV530" i="8"/>
  <c r="AU529" i="8"/>
  <c r="AU532" i="8" s="1"/>
  <c r="AQ561" i="8"/>
  <c r="AQ565" i="8" s="1"/>
  <c r="AQ553" i="8"/>
  <c r="AQ545" i="8"/>
  <c r="AQ546" i="8" s="1"/>
  <c r="AQ548" i="8"/>
  <c r="AP638" i="8"/>
  <c r="BO541" i="8"/>
  <c r="AP542" i="8"/>
  <c r="AP570" i="8"/>
  <c r="AP557" i="8"/>
  <c r="AP552" i="8"/>
  <c r="AP547" i="8"/>
  <c r="AP558" i="8"/>
  <c r="AO567" i="8"/>
  <c r="AO566" i="8"/>
  <c r="AO573" i="8"/>
  <c r="AE150" i="9"/>
  <c r="BN566" i="8"/>
  <c r="BN567" i="8"/>
  <c r="BN564" i="8"/>
  <c r="BN573" i="8"/>
  <c r="AL574" i="8"/>
  <c r="AL575" i="8"/>
  <c r="AU512" i="8"/>
  <c r="AU511" i="8"/>
  <c r="AV509" i="8"/>
  <c r="AW46" i="10"/>
  <c r="AV47" i="10"/>
  <c r="AV510" i="8" s="1"/>
  <c r="BQ509" i="8"/>
  <c r="BP46" i="10"/>
  <c r="BO47" i="10"/>
  <c r="BQ510" i="8" s="1"/>
  <c r="BQ512" i="8" s="1"/>
  <c r="AT511" i="8"/>
  <c r="AT512" i="8"/>
  <c r="AR385" i="8"/>
  <c r="AQ386" i="8"/>
  <c r="AS533" i="8"/>
  <c r="AS535" i="8"/>
  <c r="AP616" i="8"/>
  <c r="AP613" i="8"/>
  <c r="AP629" i="8"/>
  <c r="BO629" i="8" s="1"/>
  <c r="AP621" i="8"/>
  <c r="AP627" i="8"/>
  <c r="AT603" i="8"/>
  <c r="BN53" i="10"/>
  <c r="AV52" i="10"/>
  <c r="AW49" i="10"/>
  <c r="AW50" i="10" s="1"/>
  <c r="AV50" i="10"/>
  <c r="AU604" i="8"/>
  <c r="AU606" i="8"/>
  <c r="AX335" i="9"/>
  <c r="BO335" i="9" s="1"/>
  <c r="BO337" i="9"/>
  <c r="BQ334" i="9"/>
  <c r="BQ321" i="9" s="1"/>
  <c r="BR336" i="9"/>
  <c r="BQ337" i="9"/>
  <c r="BQ335" i="9" s="1"/>
  <c r="BO334" i="9"/>
  <c r="BU601" i="8"/>
  <c r="AJ646" i="8"/>
  <c r="AJ648" i="8"/>
  <c r="AL649" i="8"/>
  <c r="AK647" i="8"/>
  <c r="BM649" i="8"/>
  <c r="BM648" i="8"/>
  <c r="BT334" i="8"/>
  <c r="BT333" i="8" s="1"/>
  <c r="BT351" i="8" s="1"/>
  <c r="BS331" i="8"/>
  <c r="BT328" i="8"/>
  <c r="BQ342" i="8"/>
  <c r="BQ340" i="8"/>
  <c r="BR340" i="8" s="1"/>
  <c r="AU6" i="8"/>
  <c r="BQ6" i="8" s="1"/>
  <c r="AU355" i="8"/>
  <c r="BQ354" i="8"/>
  <c r="BQ355" i="8" s="1"/>
  <c r="BU321" i="8"/>
  <c r="BU319" i="8"/>
  <c r="BP351" i="8"/>
  <c r="BP352" i="8" s="1"/>
  <c r="AV344" i="8"/>
  <c r="AW342" i="8"/>
  <c r="AV354" i="8"/>
  <c r="AV355" i="8" s="1"/>
  <c r="AV5" i="8"/>
  <c r="AW331" i="8"/>
  <c r="AX328" i="8"/>
  <c r="AX331" i="8" s="1"/>
  <c r="AV224" i="16"/>
  <c r="H40" i="20"/>
  <c r="H37" i="20"/>
  <c r="H43" i="20"/>
  <c r="H49" i="20"/>
  <c r="H46" i="20"/>
  <c r="Y19" i="10"/>
  <c r="X20" i="10"/>
  <c r="I4" i="20" s="1"/>
  <c r="G34" i="20"/>
  <c r="G7" i="20" s="1"/>
  <c r="G8" i="20" s="1"/>
  <c r="AN37" i="20"/>
  <c r="AN34" i="20" s="1"/>
  <c r="AN7" i="20" s="1"/>
  <c r="AN8" i="20" s="1"/>
  <c r="BQ49" i="10"/>
  <c r="BP52" i="10"/>
  <c r="BP50" i="10"/>
  <c r="BO53" i="10"/>
  <c r="BP594" i="8"/>
  <c r="AT595" i="8"/>
  <c r="AS606" i="8"/>
  <c r="AS604" i="8"/>
  <c r="AR613" i="8"/>
  <c r="AR616" i="8"/>
  <c r="AR627" i="8"/>
  <c r="AR629" i="8"/>
  <c r="AR621" i="8"/>
  <c r="AQ627" i="8"/>
  <c r="AQ616" i="8"/>
  <c r="AQ613" i="8"/>
  <c r="AQ629" i="8"/>
  <c r="AQ621" i="8"/>
  <c r="G162" i="12"/>
  <c r="G170" i="12"/>
  <c r="BO628" i="8"/>
  <c r="BO627" i="8"/>
  <c r="BO622" i="8"/>
  <c r="BO621" i="8"/>
  <c r="AO631" i="8"/>
  <c r="AO630" i="8"/>
  <c r="BO616" i="8"/>
  <c r="BO617" i="8"/>
  <c r="BO618" i="8" s="1"/>
  <c r="AO635" i="8"/>
  <c r="AO634" i="8"/>
  <c r="AO641" i="8"/>
  <c r="AO614" i="8"/>
  <c r="AU226" i="16"/>
  <c r="AU230" i="16" s="1"/>
  <c r="AU233" i="16" s="1"/>
  <c r="AU224" i="16"/>
  <c r="AU263" i="16"/>
  <c r="AV263" i="16"/>
  <c r="AV226" i="16"/>
  <c r="AV230" i="16" s="1"/>
  <c r="AV233" i="16" s="1"/>
  <c r="AP319" i="9"/>
  <c r="AO317" i="9"/>
  <c r="AO316" i="9" s="1"/>
  <c r="BP344" i="9"/>
  <c r="BP343" i="9" s="1"/>
  <c r="BP341" i="9" s="1"/>
  <c r="BL341" i="9"/>
  <c r="BL347" i="9" s="1"/>
  <c r="AJ347" i="9"/>
  <c r="AN322" i="9"/>
  <c r="AO323" i="9"/>
  <c r="AN344" i="9"/>
  <c r="AM343" i="9"/>
  <c r="AQ219" i="8"/>
  <c r="AQ224" i="8" s="1"/>
  <c r="BP217" i="8"/>
  <c r="AR386" i="8" l="1"/>
  <c r="AS385" i="8"/>
  <c r="AT385" i="8" s="1"/>
  <c r="AT386" i="8" s="1"/>
  <c r="BP532" i="8"/>
  <c r="BP533" i="8" s="1"/>
  <c r="AT533" i="8"/>
  <c r="AT535" i="8"/>
  <c r="AM375" i="8"/>
  <c r="AM372" i="8"/>
  <c r="AM391" i="8"/>
  <c r="AO376" i="8"/>
  <c r="AN374" i="8"/>
  <c r="AN377" i="8"/>
  <c r="BN376" i="8"/>
  <c r="BN377" i="8" s="1"/>
  <c r="BN375" i="8"/>
  <c r="AL399" i="8"/>
  <c r="BN391" i="8"/>
  <c r="AL392" i="8"/>
  <c r="AL393" i="8"/>
  <c r="AN422" i="8"/>
  <c r="AN419" i="8"/>
  <c r="AO421" i="8"/>
  <c r="AM436" i="8"/>
  <c r="AM420" i="8"/>
  <c r="AM417" i="8"/>
  <c r="BN420" i="8"/>
  <c r="BN421" i="8"/>
  <c r="BN422" i="8" s="1"/>
  <c r="AL437" i="8"/>
  <c r="AL444" i="8"/>
  <c r="BN436" i="8"/>
  <c r="AL438" i="8"/>
  <c r="AQ426" i="8"/>
  <c r="AP424" i="8"/>
  <c r="AO432" i="8"/>
  <c r="AO425" i="8"/>
  <c r="AN433" i="8"/>
  <c r="AN434" i="8"/>
  <c r="AO388" i="8"/>
  <c r="AO389" i="8"/>
  <c r="AR381" i="8"/>
  <c r="AQ379" i="8"/>
  <c r="BO379" i="8"/>
  <c r="AP380" i="8"/>
  <c r="AP387" i="8"/>
  <c r="AR548" i="8"/>
  <c r="AR545" i="8"/>
  <c r="AR546" i="8" s="1"/>
  <c r="AR553" i="8"/>
  <c r="AR561" i="8"/>
  <c r="AR565" i="8" s="1"/>
  <c r="AV529" i="8"/>
  <c r="AV532" i="8" s="1"/>
  <c r="AW530" i="8"/>
  <c r="AU535" i="8"/>
  <c r="AU533" i="8"/>
  <c r="AQ562" i="8"/>
  <c r="AQ563" i="8"/>
  <c r="AQ573" i="8"/>
  <c r="AQ566" i="8"/>
  <c r="AQ567" i="8"/>
  <c r="BO557" i="8"/>
  <c r="BO542" i="8"/>
  <c r="BO570" i="8"/>
  <c r="BO579" i="8"/>
  <c r="BO580" i="8" s="1"/>
  <c r="BO552" i="8"/>
  <c r="AP553" i="8"/>
  <c r="AP561" i="8"/>
  <c r="AP548" i="8"/>
  <c r="BO547" i="8"/>
  <c r="AP545" i="8"/>
  <c r="AP559" i="8"/>
  <c r="BO558" i="8"/>
  <c r="AO575" i="8"/>
  <c r="AO574" i="8"/>
  <c r="G195" i="12"/>
  <c r="G196" i="12" s="1"/>
  <c r="J102" i="12"/>
  <c r="BN574" i="8"/>
  <c r="BN575" i="8"/>
  <c r="BN581" i="8" s="1"/>
  <c r="AW509" i="8"/>
  <c r="AX46" i="10"/>
  <c r="AW47" i="10"/>
  <c r="AW510" i="8" s="1"/>
  <c r="AV512" i="8"/>
  <c r="AV511" i="8"/>
  <c r="BP47" i="10"/>
  <c r="BR510" i="8" s="1"/>
  <c r="BR512" i="8" s="1"/>
  <c r="BQ46" i="10"/>
  <c r="BR509" i="8"/>
  <c r="AS526" i="8"/>
  <c r="AS527" i="8" s="1"/>
  <c r="AS536" i="8"/>
  <c r="AS538" i="8"/>
  <c r="AS541" i="8" s="1"/>
  <c r="AT606" i="8"/>
  <c r="AT604" i="8"/>
  <c r="BP603" i="8"/>
  <c r="BP604" i="8" s="1"/>
  <c r="AP633" i="8"/>
  <c r="AP630" i="8"/>
  <c r="AP631" i="8"/>
  <c r="AP614" i="8"/>
  <c r="BO613" i="8"/>
  <c r="BO614" i="8" s="1"/>
  <c r="AW594" i="8"/>
  <c r="AW595" i="8" s="1"/>
  <c r="AW53" i="10"/>
  <c r="AW603" i="8" s="1"/>
  <c r="AW52" i="10"/>
  <c r="AX49" i="10"/>
  <c r="AV594" i="8"/>
  <c r="AV53" i="10"/>
  <c r="AV603" i="8" s="1"/>
  <c r="AU609" i="8"/>
  <c r="BR334" i="9"/>
  <c r="BR321" i="9" s="1"/>
  <c r="BS336" i="9"/>
  <c r="BR337" i="9"/>
  <c r="BR335" i="9" s="1"/>
  <c r="AM649" i="8"/>
  <c r="AL647" i="8"/>
  <c r="AK646" i="8"/>
  <c r="AK648" i="8"/>
  <c r="BU328" i="8"/>
  <c r="BU331" i="8" s="1"/>
  <c r="BU334" i="8"/>
  <c r="BU333" i="8" s="1"/>
  <c r="BU351" i="8" s="1"/>
  <c r="BT331" i="8"/>
  <c r="BQ343" i="8"/>
  <c r="BR343" i="8" s="1"/>
  <c r="BS340" i="8"/>
  <c r="BR252" i="8"/>
  <c r="BR253" i="8" s="1"/>
  <c r="BR339" i="8"/>
  <c r="AV6" i="8"/>
  <c r="BP595" i="8"/>
  <c r="AW344" i="8"/>
  <c r="AX342" i="8"/>
  <c r="AW354" i="8"/>
  <c r="AW355" i="8" s="1"/>
  <c r="AW5" i="8"/>
  <c r="AR633" i="8"/>
  <c r="Y20" i="10"/>
  <c r="J4" i="20" s="1"/>
  <c r="Z19" i="10"/>
  <c r="I43" i="20"/>
  <c r="I49" i="20"/>
  <c r="I46" i="20"/>
  <c r="I37" i="20"/>
  <c r="I40" i="20"/>
  <c r="BR49" i="10"/>
  <c r="BR50" i="10" s="1"/>
  <c r="BQ52" i="10"/>
  <c r="BQ50" i="10"/>
  <c r="BP53" i="10"/>
  <c r="BR603" i="8" s="1"/>
  <c r="BR594" i="8"/>
  <c r="AR614" i="8"/>
  <c r="AR630" i="8"/>
  <c r="AR631" i="8"/>
  <c r="AQ614" i="8"/>
  <c r="AQ631" i="8"/>
  <c r="AQ630" i="8"/>
  <c r="AQ633" i="8"/>
  <c r="K162" i="12"/>
  <c r="BO631" i="8"/>
  <c r="BO630" i="8"/>
  <c r="AO643" i="8"/>
  <c r="AO642" i="8"/>
  <c r="H34" i="20"/>
  <c r="H7" i="20" s="1"/>
  <c r="H8" i="20" s="1"/>
  <c r="AS609" i="8"/>
  <c r="BM319" i="9"/>
  <c r="BM317" i="9" s="1"/>
  <c r="AQ319" i="9"/>
  <c r="AP317" i="9"/>
  <c r="AP316" i="9" s="1"/>
  <c r="BM316" i="9" s="1"/>
  <c r="AO322" i="9"/>
  <c r="AP323" i="9"/>
  <c r="AO344" i="9"/>
  <c r="AP344" i="9" s="1"/>
  <c r="AN343" i="9"/>
  <c r="AN341" i="9" s="1"/>
  <c r="AN347" i="9" s="1"/>
  <c r="AM341" i="9"/>
  <c r="BM343" i="9"/>
  <c r="BM344" i="9" s="1"/>
  <c r="BQ344" i="9" s="1"/>
  <c r="BQ343" i="9" s="1"/>
  <c r="BQ341" i="9" s="1"/>
  <c r="AQ221" i="8"/>
  <c r="AQ220" i="8"/>
  <c r="AQ226" i="8"/>
  <c r="BN19" i="9"/>
  <c r="BP79" i="8"/>
  <c r="P25" i="12" s="1"/>
  <c r="AU385" i="8" l="1"/>
  <c r="BP385" i="8"/>
  <c r="BP386" i="8" s="1"/>
  <c r="AS386" i="8"/>
  <c r="AV535" i="8"/>
  <c r="AV538" i="8" s="1"/>
  <c r="AV541" i="8" s="1"/>
  <c r="AV533" i="8"/>
  <c r="AT536" i="8"/>
  <c r="AT538" i="8"/>
  <c r="AT526" i="8"/>
  <c r="BP535" i="8"/>
  <c r="BP536" i="8" s="1"/>
  <c r="AM399" i="8"/>
  <c r="AM393" i="8"/>
  <c r="AM392" i="8"/>
  <c r="AP376" i="8"/>
  <c r="AO377" i="8"/>
  <c r="AO374" i="8"/>
  <c r="AN391" i="8"/>
  <c r="AN372" i="8"/>
  <c r="AN375" i="8"/>
  <c r="AL400" i="8"/>
  <c r="AL401" i="8"/>
  <c r="AL402" i="8" s="1"/>
  <c r="BN399" i="8"/>
  <c r="BN393" i="8"/>
  <c r="BN392" i="8"/>
  <c r="AN417" i="8"/>
  <c r="AN436" i="8"/>
  <c r="AN420" i="8"/>
  <c r="AP421" i="8"/>
  <c r="AO422" i="8"/>
  <c r="AO419" i="8"/>
  <c r="AM444" i="8"/>
  <c r="AM437" i="8"/>
  <c r="AM438" i="8"/>
  <c r="AL445" i="8"/>
  <c r="BN444" i="8"/>
  <c r="AL446" i="8"/>
  <c r="AL447" i="8" s="1"/>
  <c r="BN437" i="8"/>
  <c r="BN438" i="8"/>
  <c r="AQ424" i="8"/>
  <c r="AR426" i="8"/>
  <c r="BO424" i="8"/>
  <c r="AP432" i="8"/>
  <c r="AP425" i="8"/>
  <c r="AO433" i="8"/>
  <c r="AO434" i="8"/>
  <c r="AR379" i="8"/>
  <c r="AS381" i="8"/>
  <c r="AQ387" i="8"/>
  <c r="AQ380" i="8"/>
  <c r="BO381" i="8"/>
  <c r="BO380" i="8"/>
  <c r="AP388" i="8"/>
  <c r="AP389" i="8"/>
  <c r="BO387" i="8"/>
  <c r="AR567" i="8"/>
  <c r="AR566" i="8"/>
  <c r="AR562" i="8"/>
  <c r="AR563" i="8"/>
  <c r="AX530" i="8"/>
  <c r="AX529" i="8" s="1"/>
  <c r="AX532" i="8" s="1"/>
  <c r="AW529" i="8"/>
  <c r="AU526" i="8"/>
  <c r="AU527" i="8" s="1"/>
  <c r="AU538" i="8"/>
  <c r="AU541" i="8" s="1"/>
  <c r="AU536" i="8"/>
  <c r="AQ575" i="8"/>
  <c r="AQ574" i="8"/>
  <c r="BO554" i="8"/>
  <c r="BO553" i="8"/>
  <c r="AP563" i="8"/>
  <c r="AP562" i="8"/>
  <c r="BO561" i="8"/>
  <c r="AP565" i="8"/>
  <c r="BO549" i="8"/>
  <c r="BO550" i="8" s="1"/>
  <c r="BO548" i="8"/>
  <c r="BO545" i="8"/>
  <c r="BO546" i="8" s="1"/>
  <c r="AP546" i="8"/>
  <c r="BO559" i="8"/>
  <c r="BO560" i="8"/>
  <c r="H196" i="12"/>
  <c r="I196" i="12"/>
  <c r="I197" i="12" s="1"/>
  <c r="I198" i="12" s="1"/>
  <c r="G198" i="12"/>
  <c r="H198" i="12" s="1"/>
  <c r="J103" i="12"/>
  <c r="K102" i="12"/>
  <c r="O102" i="12" s="1"/>
  <c r="P101" i="12" s="1"/>
  <c r="AX509" i="8"/>
  <c r="AX47" i="10"/>
  <c r="AX510" i="8" s="1"/>
  <c r="AW511" i="8"/>
  <c r="AW512" i="8"/>
  <c r="BR46" i="10"/>
  <c r="BQ47" i="10"/>
  <c r="BS510" i="8" s="1"/>
  <c r="BS512" i="8" s="1"/>
  <c r="BS509" i="8"/>
  <c r="AS547" i="8"/>
  <c r="AS542" i="8"/>
  <c r="AS558" i="8"/>
  <c r="AS559" i="8" s="1"/>
  <c r="AS552" i="8"/>
  <c r="AS638" i="8"/>
  <c r="AS557" i="8"/>
  <c r="AU386" i="8"/>
  <c r="AV385" i="8"/>
  <c r="AW385" i="8" s="1"/>
  <c r="AT609" i="8"/>
  <c r="BP606" i="8"/>
  <c r="BP607" i="8" s="1"/>
  <c r="BO633" i="8"/>
  <c r="AP634" i="8"/>
  <c r="AP635" i="8"/>
  <c r="AP641" i="8"/>
  <c r="AW604" i="8"/>
  <c r="AW606" i="8"/>
  <c r="AW609" i="8" s="1"/>
  <c r="AV595" i="8"/>
  <c r="AV604" i="8"/>
  <c r="AV606" i="8"/>
  <c r="AV609" i="8" s="1"/>
  <c r="AU610" i="8"/>
  <c r="AU625" i="8"/>
  <c r="AU620" i="8"/>
  <c r="AU615" i="8"/>
  <c r="AU626" i="8"/>
  <c r="AU627" i="8" s="1"/>
  <c r="AX52" i="10"/>
  <c r="AX50" i="10"/>
  <c r="BS337" i="9"/>
  <c r="BS335" i="9" s="1"/>
  <c r="BS334" i="9"/>
  <c r="BS321" i="9" s="1"/>
  <c r="AM647" i="8"/>
  <c r="AN649" i="8"/>
  <c r="AL648" i="8"/>
  <c r="AL646" i="8"/>
  <c r="BN646" i="8" s="1"/>
  <c r="BN647" i="8" s="1"/>
  <c r="BT340" i="8"/>
  <c r="BS252" i="8"/>
  <c r="BS253" i="8" s="1"/>
  <c r="BS339" i="8"/>
  <c r="BR4" i="8"/>
  <c r="BS343" i="8"/>
  <c r="BT343" i="8" s="1"/>
  <c r="BU343" i="8" s="1"/>
  <c r="BR342" i="8"/>
  <c r="AW6" i="8"/>
  <c r="AR635" i="8"/>
  <c r="AR634" i="8"/>
  <c r="AR641" i="8"/>
  <c r="AX354" i="8"/>
  <c r="AX355" i="8" s="1"/>
  <c r="AX5" i="8"/>
  <c r="AX344" i="8"/>
  <c r="J43" i="20"/>
  <c r="J46" i="20"/>
  <c r="J49" i="20"/>
  <c r="J37" i="20"/>
  <c r="J40" i="20"/>
  <c r="Z20" i="10"/>
  <c r="K4" i="20" s="1"/>
  <c r="AA19" i="10"/>
  <c r="BR52" i="10"/>
  <c r="BS49" i="10"/>
  <c r="BR53" i="10"/>
  <c r="BT603" i="8" s="1"/>
  <c r="BT594" i="8"/>
  <c r="BQ53" i="10"/>
  <c r="BS603" i="8" s="1"/>
  <c r="BS604" i="8" s="1"/>
  <c r="BS594" i="8"/>
  <c r="BS595" i="8" s="1"/>
  <c r="AQ635" i="8"/>
  <c r="AQ634" i="8"/>
  <c r="AQ641" i="8"/>
  <c r="AS625" i="8"/>
  <c r="AS620" i="8"/>
  <c r="AS626" i="8"/>
  <c r="AS615" i="8"/>
  <c r="AS610" i="8"/>
  <c r="I34" i="20"/>
  <c r="I7" i="20" s="1"/>
  <c r="I8" i="20" s="1"/>
  <c r="AR319" i="9"/>
  <c r="AQ317" i="9"/>
  <c r="AQ316" i="9" s="1"/>
  <c r="AP322" i="9"/>
  <c r="BM323" i="9"/>
  <c r="AQ323" i="9"/>
  <c r="AQ344" i="9"/>
  <c r="AO343" i="9"/>
  <c r="AO341" i="9" s="1"/>
  <c r="AO347" i="9" s="1"/>
  <c r="AP343" i="9"/>
  <c r="AP341" i="9" s="1"/>
  <c r="AM347" i="9"/>
  <c r="BM341" i="9"/>
  <c r="BM347" i="9" s="1"/>
  <c r="AQ233" i="8"/>
  <c r="AQ225" i="8"/>
  <c r="AQ66" i="8"/>
  <c r="AQ68" i="8" s="1"/>
  <c r="AQ67" i="8"/>
  <c r="AQ23" i="9"/>
  <c r="AQ24" i="9" s="1"/>
  <c r="AV526" i="8" l="1"/>
  <c r="AV536" i="8"/>
  <c r="BP609" i="8"/>
  <c r="BC609" i="8"/>
  <c r="AT541" i="8"/>
  <c r="BC541" i="8" s="1"/>
  <c r="BP538" i="8"/>
  <c r="BP539" i="8" s="1"/>
  <c r="AT527" i="8"/>
  <c r="BP526" i="8"/>
  <c r="BP527" i="8" s="1"/>
  <c r="AM401" i="8"/>
  <c r="AM402" i="8" s="1"/>
  <c r="AM400" i="8"/>
  <c r="AP374" i="8"/>
  <c r="AQ376" i="8"/>
  <c r="AP377" i="8"/>
  <c r="AO372" i="8"/>
  <c r="AO375" i="8"/>
  <c r="AO391" i="8"/>
  <c r="AN393" i="8"/>
  <c r="AN392" i="8"/>
  <c r="AN399" i="8"/>
  <c r="BN400" i="8"/>
  <c r="BN401" i="8"/>
  <c r="AN438" i="8"/>
  <c r="AN444" i="8"/>
  <c r="AN437" i="8"/>
  <c r="AQ421" i="8"/>
  <c r="AP422" i="8"/>
  <c r="AP419" i="8"/>
  <c r="AO420" i="8"/>
  <c r="AO436" i="8"/>
  <c r="AO417" i="8"/>
  <c r="AM445" i="8"/>
  <c r="AM446" i="8"/>
  <c r="AM447" i="8" s="1"/>
  <c r="BN446" i="8"/>
  <c r="BN447" i="8" s="1"/>
  <c r="BN445" i="8"/>
  <c r="AQ425" i="8"/>
  <c r="AQ432" i="8"/>
  <c r="AR424" i="8"/>
  <c r="AS426" i="8"/>
  <c r="BO425" i="8"/>
  <c r="BO426" i="8"/>
  <c r="AP434" i="8"/>
  <c r="AP433" i="8"/>
  <c r="BO432" i="8"/>
  <c r="AR380" i="8"/>
  <c r="AR387" i="8"/>
  <c r="AS379" i="8"/>
  <c r="AT381" i="8"/>
  <c r="AQ388" i="8"/>
  <c r="AQ389" i="8"/>
  <c r="BO389" i="8"/>
  <c r="BO388" i="8"/>
  <c r="AX535" i="8"/>
  <c r="AX533" i="8"/>
  <c r="BQ529" i="8"/>
  <c r="AW532" i="8"/>
  <c r="AU558" i="8"/>
  <c r="AU559" i="8" s="1"/>
  <c r="AU638" i="8"/>
  <c r="AU547" i="8"/>
  <c r="AU552" i="8"/>
  <c r="AU557" i="8"/>
  <c r="AU542" i="8"/>
  <c r="BO562" i="8"/>
  <c r="BO563" i="8"/>
  <c r="BO565" i="8"/>
  <c r="AP566" i="8"/>
  <c r="AP567" i="8"/>
  <c r="AP573" i="8"/>
  <c r="Q101" i="12"/>
  <c r="Q102" i="12"/>
  <c r="AX511" i="8"/>
  <c r="AX512" i="8"/>
  <c r="BR47" i="10"/>
  <c r="BT510" i="8" s="1"/>
  <c r="BT512" i="8" s="1"/>
  <c r="BS46" i="10"/>
  <c r="BT509" i="8"/>
  <c r="AS545" i="8"/>
  <c r="AS546" i="8" s="1"/>
  <c r="AS548" i="8"/>
  <c r="AS561" i="8"/>
  <c r="AS565" i="8" s="1"/>
  <c r="AS553" i="8"/>
  <c r="AX385" i="8"/>
  <c r="AV386" i="8"/>
  <c r="AW386" i="8"/>
  <c r="AV527" i="8"/>
  <c r="AV547" i="8"/>
  <c r="AV557" i="8"/>
  <c r="AV552" i="8"/>
  <c r="AV558" i="8"/>
  <c r="AV638" i="8"/>
  <c r="AV542" i="8"/>
  <c r="AT626" i="8"/>
  <c r="BC626" i="8" s="1"/>
  <c r="AT615" i="8"/>
  <c r="BC615" i="8" s="1"/>
  <c r="AT625" i="8"/>
  <c r="AT610" i="8"/>
  <c r="AT620" i="8"/>
  <c r="BO634" i="8"/>
  <c r="BO635" i="8"/>
  <c r="BO641" i="8"/>
  <c r="AP642" i="8"/>
  <c r="AP643" i="8"/>
  <c r="AQ235" i="8"/>
  <c r="AQ236" i="8" s="1"/>
  <c r="AQ238" i="8"/>
  <c r="AQ243" i="8" s="1"/>
  <c r="AW610" i="8"/>
  <c r="AW620" i="8"/>
  <c r="AW625" i="8"/>
  <c r="AW615" i="8"/>
  <c r="AW626" i="8"/>
  <c r="AW627" i="8" s="1"/>
  <c r="AV610" i="8"/>
  <c r="AV626" i="8"/>
  <c r="AV627" i="8" s="1"/>
  <c r="AV615" i="8"/>
  <c r="AV625" i="8"/>
  <c r="AV620" i="8"/>
  <c r="AU621" i="8"/>
  <c r="AU629" i="8"/>
  <c r="AU633" i="8" s="1"/>
  <c r="AU616" i="8"/>
  <c r="AU613" i="8"/>
  <c r="AU614" i="8" s="1"/>
  <c r="AX53" i="10"/>
  <c r="AX603" i="8" s="1"/>
  <c r="AX594" i="8"/>
  <c r="BN648" i="8"/>
  <c r="BN649" i="8"/>
  <c r="AM648" i="8"/>
  <c r="AM646" i="8"/>
  <c r="AN647" i="8"/>
  <c r="BU340" i="8"/>
  <c r="BU252" i="8" s="1"/>
  <c r="BT252" i="8"/>
  <c r="BT253" i="8" s="1"/>
  <c r="BS4" i="8"/>
  <c r="BT339" i="8"/>
  <c r="BR344" i="8"/>
  <c r="BR6" i="8" s="1"/>
  <c r="BR354" i="8"/>
  <c r="BR355" i="8" s="1"/>
  <c r="BR5" i="8"/>
  <c r="BS342" i="8"/>
  <c r="AO649" i="8"/>
  <c r="AX6" i="8"/>
  <c r="BQ344" i="8"/>
  <c r="BQ350" i="8" s="1"/>
  <c r="AR643" i="8"/>
  <c r="AR642" i="8"/>
  <c r="K40" i="20"/>
  <c r="AO40" i="20" s="1"/>
  <c r="K43" i="20"/>
  <c r="AO43" i="20" s="1"/>
  <c r="K37" i="20"/>
  <c r="K46" i="20"/>
  <c r="AO46" i="20" s="1"/>
  <c r="K49" i="20"/>
  <c r="AO49" i="20" s="1"/>
  <c r="AA20" i="10"/>
  <c r="L4" i="20" s="1"/>
  <c r="AB19" i="10"/>
  <c r="AQ642" i="8"/>
  <c r="AQ643" i="8"/>
  <c r="AS621" i="8"/>
  <c r="AS629" i="8"/>
  <c r="AS627" i="8"/>
  <c r="AS613" i="8"/>
  <c r="AS616" i="8"/>
  <c r="H165" i="12"/>
  <c r="H170" i="12" s="1"/>
  <c r="BP638" i="8"/>
  <c r="BP610" i="8"/>
  <c r="BP625" i="8"/>
  <c r="J34" i="20"/>
  <c r="J7" i="20" s="1"/>
  <c r="J8" i="20" s="1"/>
  <c r="BT604" i="8"/>
  <c r="BT595" i="8"/>
  <c r="BS52" i="10"/>
  <c r="BS50" i="10"/>
  <c r="AS319" i="9"/>
  <c r="AR317" i="9"/>
  <c r="AR316" i="9" s="1"/>
  <c r="AQ322" i="9"/>
  <c r="BN322" i="9" s="1"/>
  <c r="AR323" i="9"/>
  <c r="AR344" i="9"/>
  <c r="AQ343" i="9"/>
  <c r="AP347" i="9"/>
  <c r="AQ234" i="8"/>
  <c r="AQ122" i="8"/>
  <c r="AQ123" i="8" s="1"/>
  <c r="AQ116" i="8"/>
  <c r="AQ117" i="8" s="1"/>
  <c r="BP620" i="8" l="1"/>
  <c r="BC620" i="8"/>
  <c r="AT552" i="8"/>
  <c r="BC552" i="8" s="1"/>
  <c r="AT557" i="8"/>
  <c r="AT638" i="8"/>
  <c r="AT558" i="8"/>
  <c r="BC558" i="8" s="1"/>
  <c r="AT547" i="8"/>
  <c r="BC547" i="8" s="1"/>
  <c r="BP541" i="8"/>
  <c r="AT542" i="8"/>
  <c r="AP375" i="8"/>
  <c r="AP372" i="8"/>
  <c r="BO372" i="8" s="1"/>
  <c r="BO373" i="8" s="1"/>
  <c r="AP391" i="8"/>
  <c r="BO374" i="8"/>
  <c r="AQ374" i="8"/>
  <c r="AQ377" i="8"/>
  <c r="AR376" i="8"/>
  <c r="AO392" i="8"/>
  <c r="AO399" i="8"/>
  <c r="AO393" i="8"/>
  <c r="AN400" i="8"/>
  <c r="AN401" i="8"/>
  <c r="AN402" i="8" s="1"/>
  <c r="AN446" i="8"/>
  <c r="AN447" i="8" s="1"/>
  <c r="AN445" i="8"/>
  <c r="AR421" i="8"/>
  <c r="AQ419" i="8"/>
  <c r="AQ422" i="8"/>
  <c r="AP436" i="8"/>
  <c r="AP420" i="8"/>
  <c r="BO419" i="8"/>
  <c r="AP417" i="8"/>
  <c r="BO417" i="8" s="1"/>
  <c r="BO418" i="8" s="1"/>
  <c r="AO438" i="8"/>
  <c r="AO437" i="8"/>
  <c r="AO444" i="8"/>
  <c r="AQ434" i="8"/>
  <c r="AQ433" i="8"/>
  <c r="AR432" i="8"/>
  <c r="AR425" i="8"/>
  <c r="AT426" i="8"/>
  <c r="AS424" i="8"/>
  <c r="BO434" i="8"/>
  <c r="BO433" i="8"/>
  <c r="AR389" i="8"/>
  <c r="AR388" i="8"/>
  <c r="AS387" i="8"/>
  <c r="AS380" i="8"/>
  <c r="AU381" i="8"/>
  <c r="AT379" i="8"/>
  <c r="AX536" i="8"/>
  <c r="AX538" i="8"/>
  <c r="AX541" i="8" s="1"/>
  <c r="AX526" i="8"/>
  <c r="AX527" i="8" s="1"/>
  <c r="BQ530" i="8"/>
  <c r="BR529" i="8"/>
  <c r="AW535" i="8"/>
  <c r="AW533" i="8"/>
  <c r="BQ532" i="8"/>
  <c r="BQ533" i="8" s="1"/>
  <c r="AU545" i="8"/>
  <c r="AU546" i="8" s="1"/>
  <c r="AU548" i="8"/>
  <c r="AU553" i="8"/>
  <c r="AU561" i="8"/>
  <c r="BO567" i="8"/>
  <c r="BO564" i="8"/>
  <c r="BO566" i="8"/>
  <c r="AP574" i="8"/>
  <c r="BO573" i="8"/>
  <c r="AP575" i="8"/>
  <c r="BS47" i="10"/>
  <c r="BU510" i="8" s="1"/>
  <c r="BU512" i="8" s="1"/>
  <c r="BU509" i="8"/>
  <c r="AS567" i="8"/>
  <c r="AS566" i="8"/>
  <c r="AS562" i="8"/>
  <c r="AS563" i="8"/>
  <c r="AX386" i="8"/>
  <c r="BQ385" i="8"/>
  <c r="AV545" i="8"/>
  <c r="AV548" i="8"/>
  <c r="AV553" i="8"/>
  <c r="AV561" i="8"/>
  <c r="AV565" i="8" s="1"/>
  <c r="AV559" i="8"/>
  <c r="AT613" i="8"/>
  <c r="AT616" i="8"/>
  <c r="AT621" i="8"/>
  <c r="AT629" i="8"/>
  <c r="AT627" i="8"/>
  <c r="BP626" i="8"/>
  <c r="BP615" i="8"/>
  <c r="BO643" i="8"/>
  <c r="BO642" i="8"/>
  <c r="BO644" i="8"/>
  <c r="AW621" i="8"/>
  <c r="AW629" i="8"/>
  <c r="AW631" i="8" s="1"/>
  <c r="AW616" i="8"/>
  <c r="AW613" i="8"/>
  <c r="AW614" i="8" s="1"/>
  <c r="AV616" i="8"/>
  <c r="AV613" i="8"/>
  <c r="AV614" i="8" s="1"/>
  <c r="AV621" i="8"/>
  <c r="AV629" i="8"/>
  <c r="AV633" i="8" s="1"/>
  <c r="AU630" i="8"/>
  <c r="AU631" i="8"/>
  <c r="AU634" i="8"/>
  <c r="AU635" i="8"/>
  <c r="AU641" i="8"/>
  <c r="BQ603" i="8"/>
  <c r="AX604" i="8"/>
  <c r="AX606" i="8"/>
  <c r="BQ594" i="8"/>
  <c r="AX595" i="8"/>
  <c r="AN648" i="8"/>
  <c r="AN646" i="8"/>
  <c r="BU339" i="8"/>
  <c r="BU4" i="8" s="1"/>
  <c r="BT4" i="8"/>
  <c r="BT342" i="8"/>
  <c r="BS354" i="8"/>
  <c r="BS355" i="8" s="1"/>
  <c r="BS344" i="8"/>
  <c r="BS6" i="8" s="1"/>
  <c r="BS5" i="8"/>
  <c r="AP649" i="8"/>
  <c r="AO647" i="8"/>
  <c r="BR350" i="8"/>
  <c r="BS350" i="8" s="1"/>
  <c r="BT350" i="8" s="1"/>
  <c r="BU350" i="8" s="1"/>
  <c r="BQ351" i="8"/>
  <c r="BQ352" i="8" s="1"/>
  <c r="BU253" i="8"/>
  <c r="AQ240" i="8"/>
  <c r="AQ241" i="8" s="1"/>
  <c r="AQ239" i="8"/>
  <c r="AS633" i="8"/>
  <c r="K34" i="20"/>
  <c r="K7" i="20" s="1"/>
  <c r="K8" i="20" s="1"/>
  <c r="AO37" i="20"/>
  <c r="AO34" i="20" s="1"/>
  <c r="AO7" i="20" s="1"/>
  <c r="AO8" i="20" s="1"/>
  <c r="L40" i="20"/>
  <c r="L46" i="20"/>
  <c r="L43" i="20"/>
  <c r="L49" i="20"/>
  <c r="L37" i="20"/>
  <c r="AC19" i="10"/>
  <c r="AB20" i="10"/>
  <c r="M4" i="20" s="1"/>
  <c r="BP622" i="8"/>
  <c r="BP621" i="8"/>
  <c r="AS630" i="8"/>
  <c r="AS631" i="8"/>
  <c r="AS614" i="8"/>
  <c r="BS53" i="10"/>
  <c r="BU603" i="8" s="1"/>
  <c r="BU604" i="8" s="1"/>
  <c r="BU594" i="8"/>
  <c r="BU595" i="8" s="1"/>
  <c r="AT319" i="9"/>
  <c r="AU319" i="9" s="1"/>
  <c r="AS317" i="9"/>
  <c r="AS316" i="9" s="1"/>
  <c r="AR322" i="9"/>
  <c r="AS323" i="9"/>
  <c r="AS344" i="9"/>
  <c r="AR343" i="9"/>
  <c r="AR341" i="9" s="1"/>
  <c r="BN343" i="9"/>
  <c r="BN344" i="9" s="1"/>
  <c r="BR344" i="9" s="1"/>
  <c r="BR343" i="9" s="1"/>
  <c r="BR341" i="9" s="1"/>
  <c r="AQ341" i="9"/>
  <c r="BP629" i="8" l="1"/>
  <c r="BC629" i="8"/>
  <c r="BP552" i="8"/>
  <c r="AT553" i="8"/>
  <c r="AT561" i="8"/>
  <c r="BC561" i="8" s="1"/>
  <c r="AT559" i="8"/>
  <c r="BP558" i="8"/>
  <c r="BP547" i="8"/>
  <c r="AT545" i="8"/>
  <c r="AT548" i="8"/>
  <c r="BP557" i="8"/>
  <c r="BP579" i="8"/>
  <c r="BP580" i="8" s="1"/>
  <c r="BP542" i="8"/>
  <c r="BO391" i="8"/>
  <c r="AP392" i="8"/>
  <c r="AP399" i="8"/>
  <c r="AP393" i="8"/>
  <c r="BO376" i="8"/>
  <c r="BO377" i="8" s="1"/>
  <c r="BO375" i="8"/>
  <c r="AQ375" i="8"/>
  <c r="AQ391" i="8"/>
  <c r="AQ372" i="8"/>
  <c r="AR377" i="8"/>
  <c r="AR374" i="8"/>
  <c r="AS376" i="8"/>
  <c r="AO401" i="8"/>
  <c r="AO402" i="8" s="1"/>
  <c r="AO400" i="8"/>
  <c r="AS421" i="8"/>
  <c r="AR422" i="8"/>
  <c r="AR419" i="8"/>
  <c r="AQ436" i="8"/>
  <c r="AQ417" i="8"/>
  <c r="AQ420" i="8"/>
  <c r="BO436" i="8"/>
  <c r="AP437" i="8"/>
  <c r="AP438" i="8"/>
  <c r="AP444" i="8"/>
  <c r="BO421" i="8"/>
  <c r="BO422" i="8" s="1"/>
  <c r="BO420" i="8"/>
  <c r="AO445" i="8"/>
  <c r="AO446" i="8"/>
  <c r="AO447" i="8" s="1"/>
  <c r="AR434" i="8"/>
  <c r="AR433" i="8"/>
  <c r="AT424" i="8"/>
  <c r="AU426" i="8"/>
  <c r="AS425" i="8"/>
  <c r="AS432" i="8"/>
  <c r="AS388" i="8"/>
  <c r="AS389" i="8"/>
  <c r="AV381" i="8"/>
  <c r="AU379" i="8"/>
  <c r="BP379" i="8"/>
  <c r="AT380" i="8"/>
  <c r="AT387" i="8"/>
  <c r="AX557" i="8"/>
  <c r="AX547" i="8"/>
  <c r="AX638" i="8"/>
  <c r="AX542" i="8"/>
  <c r="AX552" i="8"/>
  <c r="AX558" i="8"/>
  <c r="AX559" i="8" s="1"/>
  <c r="BS529" i="8"/>
  <c r="BR532" i="8"/>
  <c r="AW536" i="8"/>
  <c r="AW526" i="8"/>
  <c r="AW538" i="8"/>
  <c r="BQ535" i="8"/>
  <c r="BQ536" i="8" s="1"/>
  <c r="AU565" i="8"/>
  <c r="AU563" i="8"/>
  <c r="AU562" i="8"/>
  <c r="BO575" i="8"/>
  <c r="BO581" i="8" s="1"/>
  <c r="BO574" i="8"/>
  <c r="BQ386" i="8"/>
  <c r="BR385" i="8"/>
  <c r="AV546" i="8"/>
  <c r="AV567" i="8"/>
  <c r="AV566" i="8"/>
  <c r="AV563" i="8"/>
  <c r="AV562" i="8"/>
  <c r="AW630" i="8"/>
  <c r="AW633" i="8"/>
  <c r="AT633" i="8"/>
  <c r="BC633" i="8" s="1"/>
  <c r="AT630" i="8"/>
  <c r="AT631" i="8"/>
  <c r="AT614" i="8"/>
  <c r="BP613" i="8"/>
  <c r="BP614" i="8" s="1"/>
  <c r="BP628" i="8"/>
  <c r="BP627" i="8"/>
  <c r="BP617" i="8"/>
  <c r="BP618" i="8" s="1"/>
  <c r="BP616" i="8"/>
  <c r="G183" i="12"/>
  <c r="G176" i="12" s="1"/>
  <c r="G173" i="12" s="1"/>
  <c r="G147" i="12"/>
  <c r="G141" i="12" s="1"/>
  <c r="G138" i="12" s="1"/>
  <c r="AV634" i="8"/>
  <c r="AV641" i="8"/>
  <c r="AV635" i="8"/>
  <c r="AV630" i="8"/>
  <c r="AV631" i="8"/>
  <c r="AU642" i="8"/>
  <c r="AU643" i="8"/>
  <c r="BQ604" i="8"/>
  <c r="BR604" i="8"/>
  <c r="BQ595" i="8"/>
  <c r="BR595" i="8"/>
  <c r="BQ606" i="8"/>
  <c r="BQ607" i="8" s="1"/>
  <c r="BR607" i="8" s="1"/>
  <c r="AX609" i="8"/>
  <c r="AP647" i="8"/>
  <c r="AQ649" i="8"/>
  <c r="BT5" i="8"/>
  <c r="BT354" i="8"/>
  <c r="BT355" i="8" s="1"/>
  <c r="BU342" i="8"/>
  <c r="BT344" i="8"/>
  <c r="BT6" i="8" s="1"/>
  <c r="AO646" i="8"/>
  <c r="AO648" i="8"/>
  <c r="AU317" i="9"/>
  <c r="AU316" i="9" s="1"/>
  <c r="AV319" i="9"/>
  <c r="AQ245" i="8"/>
  <c r="AQ246" i="8" s="1"/>
  <c r="AQ244" i="8"/>
  <c r="AS635" i="8"/>
  <c r="AS634" i="8"/>
  <c r="AS641" i="8"/>
  <c r="AC20" i="10"/>
  <c r="N4" i="20" s="1"/>
  <c r="AD19" i="10"/>
  <c r="M40" i="20"/>
  <c r="M37" i="20"/>
  <c r="M46" i="20"/>
  <c r="M49" i="20"/>
  <c r="M43" i="20"/>
  <c r="BP630" i="8"/>
  <c r="BP631" i="8"/>
  <c r="L34" i="20"/>
  <c r="L7" i="20" s="1"/>
  <c r="L8" i="20" s="1"/>
  <c r="AR347" i="9"/>
  <c r="BN319" i="9"/>
  <c r="AT317" i="9"/>
  <c r="AT316" i="9" s="1"/>
  <c r="BN316" i="9" s="1"/>
  <c r="AS343" i="9"/>
  <c r="AS341" i="9" s="1"/>
  <c r="AT344" i="9"/>
  <c r="AU344" i="9" s="1"/>
  <c r="AS322" i="9"/>
  <c r="AT323" i="9"/>
  <c r="AU323" i="9" s="1"/>
  <c r="AQ347" i="9"/>
  <c r="BN341" i="9"/>
  <c r="AQ185" i="9"/>
  <c r="AQ186" i="9" s="1"/>
  <c r="AQ154" i="9"/>
  <c r="AT634" i="8" l="1"/>
  <c r="AT635" i="8"/>
  <c r="AW634" i="8"/>
  <c r="AW641" i="8"/>
  <c r="AW635" i="8"/>
  <c r="BP553" i="8"/>
  <c r="BP554" i="8"/>
  <c r="BP561" i="8"/>
  <c r="AT563" i="8"/>
  <c r="AT562" i="8"/>
  <c r="AT565" i="8"/>
  <c r="BC565" i="8" s="1"/>
  <c r="BP560" i="8"/>
  <c r="BP559" i="8"/>
  <c r="BP549" i="8"/>
  <c r="BP550" i="8" s="1"/>
  <c r="BP548" i="8"/>
  <c r="AT546" i="8"/>
  <c r="BP545" i="8"/>
  <c r="BP546" i="8" s="1"/>
  <c r="BR386" i="8"/>
  <c r="BS385" i="8"/>
  <c r="BS386" i="8" s="1"/>
  <c r="BO392" i="8"/>
  <c r="BO393" i="8"/>
  <c r="AP400" i="8"/>
  <c r="BO399" i="8"/>
  <c r="AP401" i="8"/>
  <c r="AP402" i="8" s="1"/>
  <c r="AQ393" i="8"/>
  <c r="AQ399" i="8"/>
  <c r="AQ392" i="8"/>
  <c r="AR391" i="8"/>
  <c r="AR375" i="8"/>
  <c r="AR372" i="8"/>
  <c r="AT376" i="8"/>
  <c r="AS374" i="8"/>
  <c r="AS377" i="8"/>
  <c r="AT421" i="8"/>
  <c r="AS419" i="8"/>
  <c r="AS422" i="8"/>
  <c r="AR420" i="8"/>
  <c r="AR436" i="8"/>
  <c r="AR417" i="8"/>
  <c r="AQ444" i="8"/>
  <c r="AQ437" i="8"/>
  <c r="AQ438" i="8"/>
  <c r="BO438" i="8"/>
  <c r="BO437" i="8"/>
  <c r="BO444" i="8"/>
  <c r="AP446" i="8"/>
  <c r="AP447" i="8" s="1"/>
  <c r="AP445" i="8"/>
  <c r="BP424" i="8"/>
  <c r="AT432" i="8"/>
  <c r="AT425" i="8"/>
  <c r="AU424" i="8"/>
  <c r="AV426" i="8"/>
  <c r="AS434" i="8"/>
  <c r="AS433" i="8"/>
  <c r="AW381" i="8"/>
  <c r="AV379" i="8"/>
  <c r="AU387" i="8"/>
  <c r="AU380" i="8"/>
  <c r="BP381" i="8"/>
  <c r="BP380" i="8"/>
  <c r="BP387" i="8"/>
  <c r="AT388" i="8"/>
  <c r="AT389" i="8"/>
  <c r="AX545" i="8"/>
  <c r="AX546" i="8" s="1"/>
  <c r="AX548" i="8"/>
  <c r="AX553" i="8"/>
  <c r="AX561" i="8"/>
  <c r="BT529" i="8"/>
  <c r="BS532" i="8"/>
  <c r="BR535" i="8"/>
  <c r="BR533" i="8"/>
  <c r="BQ526" i="8"/>
  <c r="BQ527" i="8" s="1"/>
  <c r="AW527" i="8"/>
  <c r="AW541" i="8"/>
  <c r="BQ538" i="8"/>
  <c r="BQ539" i="8" s="1"/>
  <c r="BR539" i="8" s="1"/>
  <c r="BS539" i="8" s="1"/>
  <c r="BT539" i="8" s="1"/>
  <c r="BU539" i="8" s="1"/>
  <c r="AU567" i="8"/>
  <c r="AU566" i="8"/>
  <c r="AT641" i="8"/>
  <c r="BP633" i="8"/>
  <c r="AP648" i="8"/>
  <c r="AP646" i="8"/>
  <c r="BO646" i="8" s="1"/>
  <c r="BO647" i="8" s="1"/>
  <c r="AT642" i="8"/>
  <c r="K173" i="12"/>
  <c r="G189" i="12"/>
  <c r="G180" i="12"/>
  <c r="G203" i="12"/>
  <c r="G187" i="12"/>
  <c r="G144" i="12"/>
  <c r="G152" i="12"/>
  <c r="G154" i="12" s="1"/>
  <c r="H138" i="12"/>
  <c r="AV642" i="8"/>
  <c r="AV643" i="8"/>
  <c r="BR606" i="8"/>
  <c r="BR609" i="8" s="1"/>
  <c r="BS607" i="8"/>
  <c r="AX626" i="8"/>
  <c r="AX620" i="8"/>
  <c r="AX625" i="8"/>
  <c r="AX615" i="8"/>
  <c r="AX610" i="8"/>
  <c r="BQ609" i="8"/>
  <c r="AQ647" i="8"/>
  <c r="AR649" i="8"/>
  <c r="AR647" i="8" s="1"/>
  <c r="BU5" i="8"/>
  <c r="BU354" i="8"/>
  <c r="BU355" i="8" s="1"/>
  <c r="BU344" i="8"/>
  <c r="BU6" i="8" s="1"/>
  <c r="AW319" i="9"/>
  <c r="AV317" i="9"/>
  <c r="AV316" i="9" s="1"/>
  <c r="AV323" i="9"/>
  <c r="AS642" i="8"/>
  <c r="AS643" i="8"/>
  <c r="M34" i="20"/>
  <c r="M7" i="20" s="1"/>
  <c r="M8" i="20" s="1"/>
  <c r="N49" i="20"/>
  <c r="N37" i="20"/>
  <c r="N46" i="20"/>
  <c r="N43" i="20"/>
  <c r="N40" i="20"/>
  <c r="AD20" i="10"/>
  <c r="O4" i="20" s="1"/>
  <c r="AE19" i="10"/>
  <c r="AU343" i="9"/>
  <c r="AT343" i="9"/>
  <c r="AT341" i="9" s="1"/>
  <c r="AV344" i="9"/>
  <c r="AW344" i="9" s="1"/>
  <c r="AW343" i="9" s="1"/>
  <c r="AW341" i="9" s="1"/>
  <c r="BN347" i="9"/>
  <c r="AS347" i="9"/>
  <c r="BN317" i="9"/>
  <c r="BN323" i="9"/>
  <c r="BT385" i="8" l="1"/>
  <c r="BP641" i="8"/>
  <c r="BC641" i="8"/>
  <c r="AT643" i="8"/>
  <c r="BC643" i="8" s="1"/>
  <c r="BP635" i="8"/>
  <c r="BP634" i="8"/>
  <c r="AW643" i="8"/>
  <c r="AW642" i="8"/>
  <c r="BP563" i="8"/>
  <c r="BP562" i="8"/>
  <c r="AT567" i="8"/>
  <c r="AT566" i="8"/>
  <c r="BP565" i="8"/>
  <c r="BO401" i="8"/>
  <c r="BO400" i="8"/>
  <c r="AQ401" i="8"/>
  <c r="AQ402" i="8" s="1"/>
  <c r="AQ400" i="8"/>
  <c r="AR392" i="8"/>
  <c r="AR393" i="8"/>
  <c r="AU376" i="8"/>
  <c r="AT377" i="8"/>
  <c r="AT374" i="8"/>
  <c r="AS375" i="8"/>
  <c r="AS372" i="8"/>
  <c r="AS391" i="8"/>
  <c r="AU421" i="8"/>
  <c r="AT422" i="8"/>
  <c r="AT419" i="8"/>
  <c r="AS436" i="8"/>
  <c r="AS417" i="8"/>
  <c r="AS420" i="8"/>
  <c r="AR437" i="8"/>
  <c r="AR438" i="8"/>
  <c r="AQ445" i="8"/>
  <c r="AQ446" i="8"/>
  <c r="AQ447" i="8" s="1"/>
  <c r="BO445" i="8"/>
  <c r="BO446" i="8"/>
  <c r="BO447" i="8" s="1"/>
  <c r="BP425" i="8"/>
  <c r="BP426" i="8"/>
  <c r="AT434" i="8"/>
  <c r="AT433" i="8"/>
  <c r="BP432" i="8"/>
  <c r="AU425" i="8"/>
  <c r="AU432" i="8"/>
  <c r="AW426" i="8"/>
  <c r="AV424" i="8"/>
  <c r="AX381" i="8"/>
  <c r="AX379" i="8" s="1"/>
  <c r="AW379" i="8"/>
  <c r="AV387" i="8"/>
  <c r="AV380" i="8"/>
  <c r="AU389" i="8"/>
  <c r="AU388" i="8"/>
  <c r="BP389" i="8"/>
  <c r="BP388" i="8"/>
  <c r="AX562" i="8"/>
  <c r="AX563" i="8"/>
  <c r="AX565" i="8"/>
  <c r="BT532" i="8"/>
  <c r="BU529" i="8"/>
  <c r="BU532" i="8" s="1"/>
  <c r="BS533" i="8"/>
  <c r="BS535" i="8"/>
  <c r="BR526" i="8"/>
  <c r="BR527" i="8" s="1"/>
  <c r="BR536" i="8"/>
  <c r="BR538" i="8"/>
  <c r="BR541" i="8" s="1"/>
  <c r="AW542" i="8"/>
  <c r="BQ541" i="8"/>
  <c r="AW552" i="8"/>
  <c r="AW557" i="8"/>
  <c r="AW547" i="8"/>
  <c r="AW558" i="8"/>
  <c r="AW638" i="8"/>
  <c r="BT386" i="8"/>
  <c r="BU385" i="8"/>
  <c r="BU386" i="8" s="1"/>
  <c r="G190" i="12"/>
  <c r="G191" i="12" s="1"/>
  <c r="D234" i="12" s="1"/>
  <c r="G220" i="12"/>
  <c r="G204" i="12"/>
  <c r="G155" i="12"/>
  <c r="J131" i="12" s="1"/>
  <c r="H154" i="12"/>
  <c r="BR625" i="8"/>
  <c r="BR638" i="8"/>
  <c r="BR610" i="8"/>
  <c r="BS606" i="8"/>
  <c r="BS609" i="8" s="1"/>
  <c r="BT607" i="8"/>
  <c r="AX627" i="8"/>
  <c r="BQ626" i="8"/>
  <c r="BQ620" i="8"/>
  <c r="AX621" i="8"/>
  <c r="AX629" i="8"/>
  <c r="BQ615" i="8"/>
  <c r="AX616" i="8"/>
  <c r="AX613" i="8"/>
  <c r="BQ625" i="8"/>
  <c r="BQ638" i="8"/>
  <c r="BQ610" i="8"/>
  <c r="AU341" i="9"/>
  <c r="BO343" i="9"/>
  <c r="BO344" i="9" s="1"/>
  <c r="BS344" i="9" s="1"/>
  <c r="BS343" i="9" s="1"/>
  <c r="BS341" i="9" s="1"/>
  <c r="AQ648" i="8"/>
  <c r="AQ646" i="8"/>
  <c r="AS649" i="8"/>
  <c r="AR646" i="8"/>
  <c r="AR648" i="8"/>
  <c r="BO649" i="8"/>
  <c r="BO648" i="8"/>
  <c r="AX319" i="9"/>
  <c r="AW317" i="9"/>
  <c r="AW316" i="9" s="1"/>
  <c r="AW323" i="9"/>
  <c r="BP642" i="8"/>
  <c r="BP643" i="8"/>
  <c r="H183" i="12" s="1"/>
  <c r="H176" i="12" s="1"/>
  <c r="N34" i="20"/>
  <c r="N7" i="20" s="1"/>
  <c r="N8" i="20" s="1"/>
  <c r="O43" i="20"/>
  <c r="AP43" i="20" s="1"/>
  <c r="O49" i="20"/>
  <c r="AP49" i="20" s="1"/>
  <c r="O40" i="20"/>
  <c r="AP40" i="20" s="1"/>
  <c r="O46" i="20"/>
  <c r="AP46" i="20" s="1"/>
  <c r="O37" i="20"/>
  <c r="AE20" i="10"/>
  <c r="P4" i="20" s="1"/>
  <c r="AF19" i="10"/>
  <c r="AV343" i="9"/>
  <c r="AV341" i="9" s="1"/>
  <c r="AX344" i="9"/>
  <c r="AX343" i="9" s="1"/>
  <c r="AX341" i="9" s="1"/>
  <c r="BP566" i="8" l="1"/>
  <c r="BP564" i="8"/>
  <c r="BP567" i="8"/>
  <c r="AU377" i="8"/>
  <c r="AV376" i="8"/>
  <c r="AU374" i="8"/>
  <c r="AT391" i="8"/>
  <c r="BP374" i="8"/>
  <c r="AT375" i="8"/>
  <c r="AT372" i="8"/>
  <c r="BP372" i="8" s="1"/>
  <c r="BP373" i="8" s="1"/>
  <c r="AS392" i="8"/>
  <c r="AS393" i="8"/>
  <c r="AU419" i="8"/>
  <c r="AV421" i="8"/>
  <c r="AU422" i="8"/>
  <c r="BP419" i="8"/>
  <c r="AT417" i="8"/>
  <c r="BP417" i="8" s="1"/>
  <c r="BP418" i="8" s="1"/>
  <c r="AT436" i="8"/>
  <c r="AT420" i="8"/>
  <c r="AS437" i="8"/>
  <c r="AS438" i="8"/>
  <c r="BP433" i="8"/>
  <c r="BP434" i="8"/>
  <c r="AU433" i="8"/>
  <c r="AU434" i="8"/>
  <c r="AW424" i="8"/>
  <c r="AX426" i="8"/>
  <c r="AX424" i="8" s="1"/>
  <c r="AV432" i="8"/>
  <c r="AV425" i="8"/>
  <c r="AX387" i="8"/>
  <c r="AX380" i="8"/>
  <c r="AW380" i="8"/>
  <c r="AW387" i="8"/>
  <c r="BQ379" i="8"/>
  <c r="AV389" i="8"/>
  <c r="AV388" i="8"/>
  <c r="AX567" i="8"/>
  <c r="AX566" i="8"/>
  <c r="BT535" i="8"/>
  <c r="BT533" i="8"/>
  <c r="BU535" i="8"/>
  <c r="BU533" i="8"/>
  <c r="BS536" i="8"/>
  <c r="BS526" i="8"/>
  <c r="BS527" i="8" s="1"/>
  <c r="BS538" i="8"/>
  <c r="BS541" i="8" s="1"/>
  <c r="BR557" i="8"/>
  <c r="BR542" i="8"/>
  <c r="BQ579" i="8"/>
  <c r="BQ580" i="8" s="1"/>
  <c r="BQ557" i="8"/>
  <c r="BQ542" i="8"/>
  <c r="AW553" i="8"/>
  <c r="AW561" i="8"/>
  <c r="BQ552" i="8"/>
  <c r="AW545" i="8"/>
  <c r="AW565" i="8"/>
  <c r="AW548" i="8"/>
  <c r="BQ547" i="8"/>
  <c r="AW559" i="8"/>
  <c r="BQ558" i="8"/>
  <c r="Q200" i="12"/>
  <c r="K190" i="12"/>
  <c r="T200" i="12" s="1"/>
  <c r="BO341" i="9"/>
  <c r="BS638" i="8"/>
  <c r="BS625" i="8"/>
  <c r="BS610" i="8"/>
  <c r="BT606" i="8"/>
  <c r="BT609" i="8" s="1"/>
  <c r="BU607" i="8"/>
  <c r="BU606" i="8" s="1"/>
  <c r="BU609" i="8" s="1"/>
  <c r="BQ627" i="8"/>
  <c r="BQ628" i="8"/>
  <c r="BR628" i="8" s="1"/>
  <c r="BQ621" i="8"/>
  <c r="BQ622" i="8"/>
  <c r="BR622" i="8" s="1"/>
  <c r="BQ629" i="8"/>
  <c r="AX630" i="8"/>
  <c r="AX631" i="8"/>
  <c r="AX633" i="8"/>
  <c r="BQ616" i="8"/>
  <c r="BQ617" i="8"/>
  <c r="AX614" i="8"/>
  <c r="BQ613" i="8"/>
  <c r="BQ614" i="8" s="1"/>
  <c r="AX317" i="9"/>
  <c r="AX316" i="9" s="1"/>
  <c r="BO316" i="9" s="1"/>
  <c r="BO319" i="9"/>
  <c r="AS647" i="8"/>
  <c r="AT649" i="8"/>
  <c r="AX323" i="9"/>
  <c r="P40" i="20"/>
  <c r="P49" i="20"/>
  <c r="P46" i="20"/>
  <c r="P37" i="20"/>
  <c r="P43" i="20"/>
  <c r="AF20" i="10"/>
  <c r="Q4" i="20" s="1"/>
  <c r="AG19" i="10"/>
  <c r="O34" i="20"/>
  <c r="O7" i="20" s="1"/>
  <c r="O8" i="20" s="1"/>
  <c r="AP37" i="20"/>
  <c r="AP34" i="20" s="1"/>
  <c r="AP7" i="20" s="1"/>
  <c r="AP8" i="20" s="1"/>
  <c r="AQ230" i="9"/>
  <c r="AV374" i="8" l="1"/>
  <c r="AW376" i="8"/>
  <c r="AV377" i="8"/>
  <c r="AU391" i="8"/>
  <c r="AU375" i="8"/>
  <c r="AU372" i="8"/>
  <c r="BP391" i="8"/>
  <c r="AT393" i="8"/>
  <c r="AT392" i="8"/>
  <c r="BP375" i="8"/>
  <c r="BP376" i="8"/>
  <c r="BP377" i="8" s="1"/>
  <c r="AU436" i="8"/>
  <c r="AU420" i="8"/>
  <c r="AU417" i="8"/>
  <c r="AW421" i="8"/>
  <c r="AV422" i="8"/>
  <c r="AV419" i="8"/>
  <c r="BP420" i="8"/>
  <c r="BP421" i="8"/>
  <c r="BP422" i="8" s="1"/>
  <c r="BP436" i="8"/>
  <c r="AT437" i="8"/>
  <c r="AT438" i="8"/>
  <c r="AW432" i="8"/>
  <c r="AW425" i="8"/>
  <c r="BQ424" i="8"/>
  <c r="AX425" i="8"/>
  <c r="AX432" i="8"/>
  <c r="AV433" i="8"/>
  <c r="AV434" i="8"/>
  <c r="AX389" i="8"/>
  <c r="AX388" i="8"/>
  <c r="AW389" i="8"/>
  <c r="AW388" i="8"/>
  <c r="BQ387" i="8"/>
  <c r="BQ381" i="8"/>
  <c r="BR381" i="8" s="1"/>
  <c r="BQ380" i="8"/>
  <c r="BT536" i="8"/>
  <c r="BT526" i="8"/>
  <c r="BT527" i="8" s="1"/>
  <c r="BT538" i="8"/>
  <c r="BT541" i="8" s="1"/>
  <c r="BU538" i="8"/>
  <c r="BU541" i="8" s="1"/>
  <c r="BU536" i="8"/>
  <c r="BU526" i="8"/>
  <c r="BS542" i="8"/>
  <c r="BS557" i="8"/>
  <c r="AW562" i="8"/>
  <c r="AW563" i="8"/>
  <c r="BQ561" i="8"/>
  <c r="BQ554" i="8"/>
  <c r="BR554" i="8" s="1"/>
  <c r="BQ553" i="8"/>
  <c r="AW546" i="8"/>
  <c r="BQ545" i="8"/>
  <c r="BQ546" i="8" s="1"/>
  <c r="AW567" i="8"/>
  <c r="BQ565" i="8"/>
  <c r="AW566" i="8"/>
  <c r="BQ549" i="8"/>
  <c r="BQ548" i="8"/>
  <c r="BQ560" i="8"/>
  <c r="BR560" i="8" s="1"/>
  <c r="BQ559" i="8"/>
  <c r="BT638" i="8"/>
  <c r="BT610" i="8"/>
  <c r="BT625" i="8"/>
  <c r="BU625" i="8"/>
  <c r="BU638" i="8"/>
  <c r="BU610" i="8"/>
  <c r="BR626" i="8"/>
  <c r="BR627" i="8" s="1"/>
  <c r="BS628" i="8"/>
  <c r="BS622" i="8"/>
  <c r="BR620" i="8"/>
  <c r="BQ630" i="8"/>
  <c r="BQ631" i="8"/>
  <c r="BQ633" i="8"/>
  <c r="AX634" i="8"/>
  <c r="AX635" i="8"/>
  <c r="AX641" i="8"/>
  <c r="BR617" i="8"/>
  <c r="BQ618" i="8"/>
  <c r="BP319" i="9"/>
  <c r="BO317" i="9"/>
  <c r="BO323" i="9"/>
  <c r="BP323" i="9" s="1"/>
  <c r="AS646" i="8"/>
  <c r="AS648" i="8"/>
  <c r="AT647" i="8"/>
  <c r="AU649" i="8"/>
  <c r="P34" i="20"/>
  <c r="P7" i="20" s="1"/>
  <c r="P8" i="20" s="1"/>
  <c r="Q46" i="20"/>
  <c r="Q49" i="20"/>
  <c r="Q43" i="20"/>
  <c r="Q37" i="20"/>
  <c r="Q40" i="20"/>
  <c r="AH19" i="10"/>
  <c r="AG20" i="10"/>
  <c r="R4" i="20" s="1"/>
  <c r="AQ233" i="9"/>
  <c r="AQ75" i="9" s="1"/>
  <c r="AQ80" i="9" s="1"/>
  <c r="BU527" i="8" l="1"/>
  <c r="AV372" i="8"/>
  <c r="AV391" i="8"/>
  <c r="AV375" i="8"/>
  <c r="AW377" i="8"/>
  <c r="AX376" i="8"/>
  <c r="AW374" i="8"/>
  <c r="AU392" i="8"/>
  <c r="AU393" i="8"/>
  <c r="BP392" i="8"/>
  <c r="BP393" i="8"/>
  <c r="AU438" i="8"/>
  <c r="AU437" i="8"/>
  <c r="AW419" i="8"/>
  <c r="AW422" i="8"/>
  <c r="AX421" i="8"/>
  <c r="AV420" i="8"/>
  <c r="AV417" i="8"/>
  <c r="AV436" i="8"/>
  <c r="BP437" i="8"/>
  <c r="BP438" i="8"/>
  <c r="BQ432" i="8"/>
  <c r="AW433" i="8"/>
  <c r="AW434" i="8"/>
  <c r="BQ426" i="8"/>
  <c r="BR426" i="8" s="1"/>
  <c r="BQ425" i="8"/>
  <c r="AX434" i="8"/>
  <c r="AX433" i="8"/>
  <c r="BQ388" i="8"/>
  <c r="BQ389" i="8"/>
  <c r="BS381" i="8"/>
  <c r="BR379" i="8"/>
  <c r="BT557" i="8"/>
  <c r="BT542" i="8"/>
  <c r="BU557" i="8"/>
  <c r="BU542" i="8"/>
  <c r="BQ563" i="8"/>
  <c r="BQ562" i="8"/>
  <c r="BS554" i="8"/>
  <c r="BR552" i="8"/>
  <c r="BQ564" i="8"/>
  <c r="BQ566" i="8"/>
  <c r="BQ567" i="8"/>
  <c r="BR549" i="8"/>
  <c r="BQ550" i="8"/>
  <c r="BR558" i="8"/>
  <c r="BR559" i="8" s="1"/>
  <c r="BS560" i="8"/>
  <c r="BS626" i="8"/>
  <c r="BS627" i="8" s="1"/>
  <c r="BT628" i="8"/>
  <c r="BS620" i="8"/>
  <c r="BT622" i="8"/>
  <c r="BR629" i="8"/>
  <c r="BR621" i="8"/>
  <c r="BQ634" i="8"/>
  <c r="BQ635" i="8"/>
  <c r="BQ641" i="8"/>
  <c r="AX642" i="8"/>
  <c r="AX643" i="8"/>
  <c r="BS617" i="8"/>
  <c r="BR615" i="8"/>
  <c r="AT646" i="8"/>
  <c r="BP646" i="8" s="1"/>
  <c r="BP647" i="8" s="1"/>
  <c r="AT648" i="8"/>
  <c r="BP317" i="9"/>
  <c r="BP316" i="9" s="1"/>
  <c r="BQ319" i="9"/>
  <c r="BQ323" i="9"/>
  <c r="AV649" i="8"/>
  <c r="AU647" i="8"/>
  <c r="AH20" i="10"/>
  <c r="S4" i="20" s="1"/>
  <c r="AI19" i="10"/>
  <c r="R40" i="20"/>
  <c r="R46" i="20"/>
  <c r="R37" i="20"/>
  <c r="R49" i="20"/>
  <c r="R43" i="20"/>
  <c r="Q34" i="20"/>
  <c r="Q7" i="20" s="1"/>
  <c r="Q8" i="20" s="1"/>
  <c r="AQ234" i="9"/>
  <c r="AV392" i="8" l="1"/>
  <c r="AV393" i="8"/>
  <c r="AX374" i="8"/>
  <c r="AX377" i="8"/>
  <c r="AW391" i="8"/>
  <c r="AW375" i="8"/>
  <c r="AW372" i="8"/>
  <c r="AW420" i="8"/>
  <c r="AW417" i="8"/>
  <c r="AW436" i="8"/>
  <c r="AX419" i="8"/>
  <c r="AX422" i="8"/>
  <c r="AV437" i="8"/>
  <c r="AV438" i="8"/>
  <c r="BQ434" i="8"/>
  <c r="BQ433" i="8"/>
  <c r="BR424" i="8"/>
  <c r="BS426" i="8"/>
  <c r="BS379" i="8"/>
  <c r="BT381" i="8"/>
  <c r="BR380" i="8"/>
  <c r="BR387" i="8"/>
  <c r="BT554" i="8"/>
  <c r="BS552" i="8"/>
  <c r="BR561" i="8"/>
  <c r="BR553" i="8"/>
  <c r="BR547" i="8"/>
  <c r="BS549" i="8"/>
  <c r="BT560" i="8"/>
  <c r="BS558" i="8"/>
  <c r="BS559" i="8" s="1"/>
  <c r="BT626" i="8"/>
  <c r="BT627" i="8" s="1"/>
  <c r="BU628" i="8"/>
  <c r="BU626" i="8" s="1"/>
  <c r="BU627" i="8" s="1"/>
  <c r="BS629" i="8"/>
  <c r="BS621" i="8"/>
  <c r="BU622" i="8"/>
  <c r="BU620" i="8" s="1"/>
  <c r="BT620" i="8"/>
  <c r="BR631" i="8"/>
  <c r="BR630" i="8"/>
  <c r="BQ642" i="8"/>
  <c r="BQ643" i="8"/>
  <c r="BS615" i="8"/>
  <c r="BT617" i="8"/>
  <c r="BR633" i="8"/>
  <c r="BR616" i="8"/>
  <c r="BR613" i="8"/>
  <c r="BR614" i="8" s="1"/>
  <c r="BP648" i="8"/>
  <c r="BP649" i="8"/>
  <c r="BR319" i="9"/>
  <c r="BQ317" i="9"/>
  <c r="BQ316" i="9" s="1"/>
  <c r="BR323" i="9"/>
  <c r="BQ322" i="9"/>
  <c r="BQ347" i="9" s="1"/>
  <c r="AV647" i="8"/>
  <c r="AW649" i="8"/>
  <c r="AU646" i="8"/>
  <c r="AU648" i="8"/>
  <c r="S46" i="20"/>
  <c r="AQ46" i="20" s="1"/>
  <c r="S49" i="20"/>
  <c r="AQ49" i="20" s="1"/>
  <c r="S40" i="20"/>
  <c r="AQ40" i="20" s="1"/>
  <c r="S37" i="20"/>
  <c r="AQ37" i="20" s="1"/>
  <c r="AQ34" i="20" s="1"/>
  <c r="AQ7" i="20" s="1"/>
  <c r="AQ8" i="20" s="1"/>
  <c r="S43" i="20"/>
  <c r="AQ43" i="20" s="1"/>
  <c r="AJ19" i="10"/>
  <c r="AI20" i="10"/>
  <c r="T4" i="20" s="1"/>
  <c r="R34" i="20"/>
  <c r="R7" i="20" s="1"/>
  <c r="R8" i="20" s="1"/>
  <c r="AP116" i="8"/>
  <c r="AP117" i="8" s="1"/>
  <c r="AP71" i="8"/>
  <c r="AP82" i="8"/>
  <c r="AP66" i="8"/>
  <c r="AP68" i="8" s="1"/>
  <c r="AP62" i="8"/>
  <c r="AP54" i="8"/>
  <c r="BO57" i="8"/>
  <c r="AP84" i="8"/>
  <c r="AP131" i="8"/>
  <c r="AP5" i="9"/>
  <c r="AP75" i="8"/>
  <c r="AP59" i="8"/>
  <c r="BQ374" i="8" l="1"/>
  <c r="AX372" i="8"/>
  <c r="BQ372" i="8" s="1"/>
  <c r="BQ373" i="8" s="1"/>
  <c r="AX391" i="8"/>
  <c r="AX375" i="8"/>
  <c r="AW393" i="8"/>
  <c r="AW392" i="8"/>
  <c r="AW437" i="8"/>
  <c r="AW438" i="8"/>
  <c r="BQ419" i="8"/>
  <c r="AX420" i="8"/>
  <c r="AX417" i="8"/>
  <c r="BQ417" i="8" s="1"/>
  <c r="BQ418" i="8" s="1"/>
  <c r="AX436" i="8"/>
  <c r="BR425" i="8"/>
  <c r="BR432" i="8"/>
  <c r="BS424" i="8"/>
  <c r="BT426" i="8"/>
  <c r="BS387" i="8"/>
  <c r="BS380" i="8"/>
  <c r="BU381" i="8"/>
  <c r="BU379" i="8" s="1"/>
  <c r="BT379" i="8"/>
  <c r="BR389" i="8"/>
  <c r="BR388" i="8"/>
  <c r="BT552" i="8"/>
  <c r="BU554" i="8"/>
  <c r="BU552" i="8" s="1"/>
  <c r="BS561" i="8"/>
  <c r="BS553" i="8"/>
  <c r="BR562" i="8"/>
  <c r="BR563" i="8"/>
  <c r="BR545" i="8"/>
  <c r="BR546" i="8" s="1"/>
  <c r="BR548" i="8"/>
  <c r="BR565" i="8"/>
  <c r="BS547" i="8"/>
  <c r="BT549" i="8"/>
  <c r="BU560" i="8"/>
  <c r="BU558" i="8" s="1"/>
  <c r="BT558" i="8"/>
  <c r="BT559" i="8" s="1"/>
  <c r="BS630" i="8"/>
  <c r="BS631" i="8"/>
  <c r="BU629" i="8"/>
  <c r="BU621" i="8"/>
  <c r="BT621" i="8"/>
  <c r="BT629" i="8"/>
  <c r="BS633" i="8"/>
  <c r="BS616" i="8"/>
  <c r="BS613" i="8"/>
  <c r="BS614" i="8" s="1"/>
  <c r="BT615" i="8"/>
  <c r="BU617" i="8"/>
  <c r="BU615" i="8" s="1"/>
  <c r="BR641" i="8"/>
  <c r="BR635" i="8"/>
  <c r="BR634" i="8"/>
  <c r="BR317" i="9"/>
  <c r="BR316" i="9" s="1"/>
  <c r="BS319" i="9"/>
  <c r="BS317" i="9" s="1"/>
  <c r="BS316" i="9" s="1"/>
  <c r="BS323" i="9"/>
  <c r="BS322" i="9" s="1"/>
  <c r="BR322" i="9"/>
  <c r="AV648" i="8"/>
  <c r="AV646" i="8"/>
  <c r="AW647" i="8"/>
  <c r="AX649" i="8"/>
  <c r="AX647" i="8" s="1"/>
  <c r="AP4" i="9"/>
  <c r="BM4" i="9" s="1"/>
  <c r="AP55" i="8"/>
  <c r="AK19" i="10"/>
  <c r="AJ20" i="10"/>
  <c r="U4" i="20" s="1"/>
  <c r="T46" i="20"/>
  <c r="T49" i="20"/>
  <c r="T43" i="20"/>
  <c r="T37" i="20"/>
  <c r="T40" i="20"/>
  <c r="S34" i="20"/>
  <c r="S7" i="20" s="1"/>
  <c r="S8" i="20" s="1"/>
  <c r="BO131" i="8"/>
  <c r="BO71" i="8"/>
  <c r="BO62" i="8"/>
  <c r="BO122" i="8"/>
  <c r="BO123" i="8" s="1"/>
  <c r="BM5" i="9"/>
  <c r="BM261" i="9" s="1"/>
  <c r="AP9" i="9"/>
  <c r="AP24" i="9"/>
  <c r="BO58" i="8"/>
  <c r="BO54" i="8"/>
  <c r="BO55" i="8" s="1"/>
  <c r="BO84" i="8"/>
  <c r="AP12" i="9"/>
  <c r="BO82" i="8"/>
  <c r="BO66" i="8"/>
  <c r="BO116" i="8"/>
  <c r="BO90" i="8"/>
  <c r="BO75" i="8"/>
  <c r="AP7" i="9"/>
  <c r="BO59" i="8"/>
  <c r="BU559" i="8" l="1"/>
  <c r="BQ376" i="8"/>
  <c r="BQ375" i="8"/>
  <c r="BQ391" i="8"/>
  <c r="AX393" i="8"/>
  <c r="AX392" i="8"/>
  <c r="BQ421" i="8"/>
  <c r="BQ420" i="8"/>
  <c r="BQ436" i="8"/>
  <c r="AX438" i="8"/>
  <c r="AX437" i="8"/>
  <c r="BR433" i="8"/>
  <c r="BR434" i="8"/>
  <c r="BS432" i="8"/>
  <c r="BS425" i="8"/>
  <c r="BU426" i="8"/>
  <c r="BU424" i="8" s="1"/>
  <c r="BT424" i="8"/>
  <c r="BS389" i="8"/>
  <c r="BS388" i="8"/>
  <c r="BU387" i="8"/>
  <c r="BU380" i="8"/>
  <c r="BT387" i="8"/>
  <c r="BT380" i="8"/>
  <c r="BT561" i="8"/>
  <c r="BT553" i="8"/>
  <c r="BU561" i="8"/>
  <c r="BU553" i="8"/>
  <c r="BS563" i="8"/>
  <c r="BS562" i="8"/>
  <c r="BS565" i="8"/>
  <c r="BR567" i="8"/>
  <c r="BR566" i="8"/>
  <c r="BS545" i="8"/>
  <c r="BS546" i="8" s="1"/>
  <c r="BS548" i="8"/>
  <c r="BU549" i="8"/>
  <c r="BU547" i="8" s="1"/>
  <c r="BT547" i="8"/>
  <c r="BS347" i="9"/>
  <c r="BU631" i="8"/>
  <c r="BU630" i="8"/>
  <c r="BT630" i="8"/>
  <c r="BT631" i="8"/>
  <c r="BS641" i="8"/>
  <c r="BS635" i="8"/>
  <c r="BS634" i="8"/>
  <c r="BT613" i="8"/>
  <c r="BT614" i="8" s="1"/>
  <c r="BT633" i="8"/>
  <c r="BT616" i="8"/>
  <c r="BU616" i="8"/>
  <c r="BU633" i="8"/>
  <c r="BU613" i="8"/>
  <c r="BR642" i="8"/>
  <c r="BR643" i="8"/>
  <c r="BR347" i="9"/>
  <c r="AW648" i="8"/>
  <c r="AW646" i="8"/>
  <c r="AX648" i="8"/>
  <c r="AX646" i="8"/>
  <c r="AQ172" i="9"/>
  <c r="AU172" i="9" s="1"/>
  <c r="AQ171" i="9"/>
  <c r="AU171" i="9" s="1"/>
  <c r="BM49" i="9"/>
  <c r="BM12" i="9"/>
  <c r="BM6" i="9"/>
  <c r="BM24" i="9"/>
  <c r="BM18" i="9"/>
  <c r="BM54" i="9" s="1"/>
  <c r="BM53" i="9" s="1"/>
  <c r="BM52" i="9" s="1"/>
  <c r="AL19" i="10"/>
  <c r="AK20" i="10"/>
  <c r="V4" i="20" s="1"/>
  <c r="U37" i="20"/>
  <c r="U40" i="20"/>
  <c r="U49" i="20"/>
  <c r="U43" i="20"/>
  <c r="U46" i="20"/>
  <c r="T34" i="20"/>
  <c r="T7" i="20" s="1"/>
  <c r="T8" i="20" s="1"/>
  <c r="BM9" i="9"/>
  <c r="BM14" i="9"/>
  <c r="O14" i="12"/>
  <c r="BM16" i="9"/>
  <c r="AP171" i="9"/>
  <c r="AP172" i="9"/>
  <c r="BM7" i="9"/>
  <c r="O17" i="12" s="1"/>
  <c r="BQ377" i="8" l="1"/>
  <c r="BR376" i="8"/>
  <c r="BQ393" i="8"/>
  <c r="BQ392" i="8"/>
  <c r="BR421" i="8"/>
  <c r="BQ422" i="8"/>
  <c r="BQ438" i="8"/>
  <c r="BQ437" i="8"/>
  <c r="BS433" i="8"/>
  <c r="BS434" i="8"/>
  <c r="BU425" i="8"/>
  <c r="BU432" i="8"/>
  <c r="BT432" i="8"/>
  <c r="BT425" i="8"/>
  <c r="BU389" i="8"/>
  <c r="BU388" i="8"/>
  <c r="BT388" i="8"/>
  <c r="BT389" i="8"/>
  <c r="BT563" i="8"/>
  <c r="BT562" i="8"/>
  <c r="BT565" i="8"/>
  <c r="BU562" i="8"/>
  <c r="BU563" i="8"/>
  <c r="BU565" i="8"/>
  <c r="BS566" i="8"/>
  <c r="BS567" i="8"/>
  <c r="BU548" i="8"/>
  <c r="BU545" i="8"/>
  <c r="BT548" i="8"/>
  <c r="BT545" i="8"/>
  <c r="BT546" i="8" s="1"/>
  <c r="BU614" i="8"/>
  <c r="BS642" i="8"/>
  <c r="BS643" i="8"/>
  <c r="BT641" i="8"/>
  <c r="BT635" i="8"/>
  <c r="BT634" i="8"/>
  <c r="BU641" i="8"/>
  <c r="BU635" i="8"/>
  <c r="BU634" i="8"/>
  <c r="BQ646" i="8"/>
  <c r="BQ647" i="8" s="1"/>
  <c r="AQ168" i="9"/>
  <c r="BM185" i="9"/>
  <c r="Q4" i="21"/>
  <c r="O53" i="12"/>
  <c r="O49" i="12"/>
  <c r="O15" i="12"/>
  <c r="O22" i="12"/>
  <c r="O19" i="12"/>
  <c r="U34" i="20"/>
  <c r="U7" i="20" s="1"/>
  <c r="U8" i="20" s="1"/>
  <c r="AM19" i="10"/>
  <c r="AL20" i="10"/>
  <c r="W4" i="20" s="1"/>
  <c r="V49" i="20"/>
  <c r="V46" i="20"/>
  <c r="V43" i="20"/>
  <c r="V37" i="20"/>
  <c r="V40" i="20"/>
  <c r="AP168" i="9"/>
  <c r="BM119" i="9"/>
  <c r="AQ192" i="9"/>
  <c r="AP192" i="9"/>
  <c r="AP190" i="9"/>
  <c r="AQ190" i="9"/>
  <c r="BS376" i="8" l="1"/>
  <c r="BR374" i="8"/>
  <c r="BR419" i="8"/>
  <c r="BS421" i="8"/>
  <c r="BR422" i="8"/>
  <c r="BU434" i="8"/>
  <c r="BU433" i="8"/>
  <c r="BT433" i="8"/>
  <c r="BT434" i="8"/>
  <c r="BT567" i="8"/>
  <c r="BT566" i="8"/>
  <c r="BU567" i="8"/>
  <c r="BU566" i="8"/>
  <c r="BU546" i="8"/>
  <c r="BM148" i="9"/>
  <c r="BM146" i="9" s="1"/>
  <c r="BM145" i="9" s="1"/>
  <c r="BM116" i="9"/>
  <c r="BT642" i="8"/>
  <c r="BT643" i="8"/>
  <c r="BU643" i="8"/>
  <c r="BU642" i="8"/>
  <c r="BQ649" i="8"/>
  <c r="BR649" i="8" s="1"/>
  <c r="BQ648" i="8"/>
  <c r="Q11" i="21"/>
  <c r="F5" i="21" s="1"/>
  <c r="Q8" i="21"/>
  <c r="F4" i="21" s="1"/>
  <c r="AN19" i="10"/>
  <c r="AM20" i="10"/>
  <c r="X4" i="20" s="1"/>
  <c r="W49" i="20"/>
  <c r="W43" i="20"/>
  <c r="W37" i="20"/>
  <c r="W40" i="20"/>
  <c r="W46" i="20"/>
  <c r="V34" i="20"/>
  <c r="V7" i="20" s="1"/>
  <c r="V8" i="20" s="1"/>
  <c r="BM171" i="9"/>
  <c r="AQ188" i="9"/>
  <c r="BM172" i="9"/>
  <c r="AP188" i="9"/>
  <c r="BT376" i="8" l="1"/>
  <c r="BS374" i="8"/>
  <c r="BR391" i="8"/>
  <c r="BR372" i="8"/>
  <c r="BR373" i="8" s="1"/>
  <c r="BR375" i="8"/>
  <c r="BR436" i="8"/>
  <c r="BR420" i="8"/>
  <c r="BR417" i="8"/>
  <c r="BS422" i="8"/>
  <c r="BT421" i="8"/>
  <c r="BS419" i="8"/>
  <c r="BS649" i="8"/>
  <c r="BR647" i="8"/>
  <c r="AO19" i="10"/>
  <c r="AN20" i="10"/>
  <c r="Y4" i="20" s="1"/>
  <c r="X37" i="20"/>
  <c r="X49" i="20"/>
  <c r="X40" i="20"/>
  <c r="X43" i="20"/>
  <c r="X46" i="20"/>
  <c r="W34" i="20"/>
  <c r="W7" i="20" s="1"/>
  <c r="W8" i="20" s="1"/>
  <c r="AQ187" i="9"/>
  <c r="AQ284" i="9"/>
  <c r="BM168" i="9"/>
  <c r="O80" i="12" s="1"/>
  <c r="BT374" i="8" l="1"/>
  <c r="BU376" i="8"/>
  <c r="BU374" i="8" s="1"/>
  <c r="BS391" i="8"/>
  <c r="BS375" i="8"/>
  <c r="BS372" i="8"/>
  <c r="BS373" i="8" s="1"/>
  <c r="BR392" i="8"/>
  <c r="BR393" i="8"/>
  <c r="BR437" i="8"/>
  <c r="BR438" i="8"/>
  <c r="BT422" i="8"/>
  <c r="BT419" i="8"/>
  <c r="BU421" i="8"/>
  <c r="BS420" i="8"/>
  <c r="BS436" i="8"/>
  <c r="BS417" i="8"/>
  <c r="BT649" i="8"/>
  <c r="BS647" i="8"/>
  <c r="BR648" i="8"/>
  <c r="BR646" i="8"/>
  <c r="AO20" i="10"/>
  <c r="Z4" i="20" s="1"/>
  <c r="AP19" i="10"/>
  <c r="Y40" i="20"/>
  <c r="Y43" i="20"/>
  <c r="Y37" i="20"/>
  <c r="Y46" i="20"/>
  <c r="Y49" i="20"/>
  <c r="X34" i="20"/>
  <c r="X7" i="20" s="1"/>
  <c r="X8" i="20" s="1"/>
  <c r="AP187" i="9"/>
  <c r="AP272" i="9"/>
  <c r="AQ272" i="9"/>
  <c r="BM65" i="9"/>
  <c r="BM68" i="9" s="1"/>
  <c r="BM74" i="9" s="1"/>
  <c r="BM95" i="9" s="1"/>
  <c r="O79" i="12"/>
  <c r="BM174" i="9"/>
  <c r="AR282" i="9"/>
  <c r="AQ285" i="9"/>
  <c r="BM98" i="9"/>
  <c r="BM155" i="9" s="1"/>
  <c r="BM153" i="9" s="1"/>
  <c r="BM154" i="9" s="1"/>
  <c r="AP284" i="9"/>
  <c r="AQ274" i="9"/>
  <c r="BT372" i="8" l="1"/>
  <c r="BT373" i="8" s="1"/>
  <c r="BT391" i="8"/>
  <c r="BT375" i="8"/>
  <c r="BU375" i="8"/>
  <c r="BU391" i="8"/>
  <c r="BU372" i="8"/>
  <c r="BS392" i="8"/>
  <c r="BS393" i="8"/>
  <c r="BT420" i="8"/>
  <c r="BT436" i="8"/>
  <c r="BT417" i="8"/>
  <c r="BU422" i="8"/>
  <c r="BU419" i="8"/>
  <c r="BS438" i="8"/>
  <c r="BS437" i="8"/>
  <c r="BU649" i="8"/>
  <c r="BU647" i="8" s="1"/>
  <c r="BT647" i="8"/>
  <c r="BS648" i="8"/>
  <c r="BS646" i="8"/>
  <c r="Z43" i="20"/>
  <c r="Z40" i="20"/>
  <c r="Z46" i="20"/>
  <c r="Z49" i="20"/>
  <c r="Z37" i="20"/>
  <c r="AP20" i="10"/>
  <c r="AA4" i="20" s="1"/>
  <c r="AQ19" i="10"/>
  <c r="Y34" i="20"/>
  <c r="Y7" i="20" s="1"/>
  <c r="Y8" i="20" s="1"/>
  <c r="AQ282" i="9"/>
  <c r="AP285" i="9"/>
  <c r="BM272" i="9"/>
  <c r="O95" i="12" s="1"/>
  <c r="AP274" i="9"/>
  <c r="AP115" i="9"/>
  <c r="BM97" i="9"/>
  <c r="BM81" i="9"/>
  <c r="BM80" i="9" s="1"/>
  <c r="G206" i="12"/>
  <c r="BM284" i="9"/>
  <c r="BU373" i="8" l="1"/>
  <c r="BT393" i="8"/>
  <c r="BT392" i="8"/>
  <c r="BU392" i="8"/>
  <c r="BU393" i="8"/>
  <c r="BT438" i="8"/>
  <c r="BT437" i="8"/>
  <c r="BU420" i="8"/>
  <c r="BU436" i="8"/>
  <c r="BU417" i="8"/>
  <c r="BU648" i="8"/>
  <c r="BU646" i="8"/>
  <c r="BT646" i="8"/>
  <c r="BT648" i="8"/>
  <c r="Z34" i="20"/>
  <c r="Z7" i="20" s="1"/>
  <c r="Z8" i="20" s="1"/>
  <c r="AA40" i="20"/>
  <c r="AS40" i="20" s="1"/>
  <c r="AA37" i="20"/>
  <c r="AA43" i="20"/>
  <c r="AS43" i="20" s="1"/>
  <c r="AA46" i="20"/>
  <c r="AS46" i="20" s="1"/>
  <c r="AA49" i="20"/>
  <c r="AS49" i="20" s="1"/>
  <c r="AR19" i="10"/>
  <c r="AQ20" i="10"/>
  <c r="AB4" i="20" s="1"/>
  <c r="BN282" i="9"/>
  <c r="BM285" i="9"/>
  <c r="BM115" i="9"/>
  <c r="G207" i="12"/>
  <c r="H206" i="12"/>
  <c r="G210" i="12"/>
  <c r="O73" i="12"/>
  <c r="BU438" i="8" l="1"/>
  <c r="BU437" i="8"/>
  <c r="AA34" i="20"/>
  <c r="AA7" i="20" s="1"/>
  <c r="AA8" i="20" s="1"/>
  <c r="AS37" i="20"/>
  <c r="AS34" i="20" s="1"/>
  <c r="AS7" i="20" s="1"/>
  <c r="AS8" i="20" s="1"/>
  <c r="AR20" i="10"/>
  <c r="AC4" i="20" s="1"/>
  <c r="AS19" i="10"/>
  <c r="AB49" i="20"/>
  <c r="AB43" i="20"/>
  <c r="AB40" i="20"/>
  <c r="AB37" i="20"/>
  <c r="AB46" i="20"/>
  <c r="H207" i="12"/>
  <c r="H210" i="12"/>
  <c r="BM186" i="9"/>
  <c r="O70" i="12"/>
  <c r="BM274" i="9"/>
  <c r="G219" i="12"/>
  <c r="G218" i="12" s="1"/>
  <c r="G211" i="12"/>
  <c r="G208" i="12"/>
  <c r="AC40" i="20" l="1"/>
  <c r="AC49" i="20"/>
  <c r="AC37" i="20"/>
  <c r="AC43" i="20"/>
  <c r="AC46" i="20"/>
  <c r="AT19" i="10"/>
  <c r="AS20" i="10"/>
  <c r="AD4" i="20" s="1"/>
  <c r="AB34" i="20"/>
  <c r="AB7" i="20" s="1"/>
  <c r="AB8" i="20" s="1"/>
  <c r="H208" i="12"/>
  <c r="H211" i="12"/>
  <c r="H219" i="12"/>
  <c r="H218" i="12" s="1"/>
  <c r="O90" i="12"/>
  <c r="O71" i="12"/>
  <c r="O76" i="12"/>
  <c r="G192" i="12"/>
  <c r="AT20" i="10" l="1"/>
  <c r="AE4" i="20" s="1"/>
  <c r="AU19" i="10"/>
  <c r="AD49" i="20"/>
  <c r="AD43" i="20"/>
  <c r="AD40" i="20"/>
  <c r="AD46" i="20"/>
  <c r="AD37" i="20"/>
  <c r="AC34" i="20"/>
  <c r="AC7" i="20" s="1"/>
  <c r="AC8" i="20" s="1"/>
  <c r="I192" i="12"/>
  <c r="O93" i="12"/>
  <c r="O92" i="12"/>
  <c r="AQ161" i="8"/>
  <c r="AQ192" i="8"/>
  <c r="AQ179" i="8" l="1"/>
  <c r="AQ163" i="8"/>
  <c r="AD34" i="20"/>
  <c r="AD7" i="20" s="1"/>
  <c r="AD8" i="20" s="1"/>
  <c r="AQ199" i="8"/>
  <c r="AQ193" i="8"/>
  <c r="AE46" i="20"/>
  <c r="AE49" i="20"/>
  <c r="AE43" i="20"/>
  <c r="AE37" i="20"/>
  <c r="AE40" i="20"/>
  <c r="AV19" i="10"/>
  <c r="AU20" i="10"/>
  <c r="AQ162" i="8"/>
  <c r="AQ187" i="8"/>
  <c r="AQ153" i="8"/>
  <c r="AQ154" i="8"/>
  <c r="BO197" i="8"/>
  <c r="BO198" i="8" s="1"/>
  <c r="BO190" i="8"/>
  <c r="BO191" i="8" s="1"/>
  <c r="AU199" i="8" l="1"/>
  <c r="AU192" i="8" s="1"/>
  <c r="AQ200" i="8"/>
  <c r="AE34" i="20"/>
  <c r="AE7" i="20" s="1"/>
  <c r="AE8" i="20" s="1"/>
  <c r="AV20" i="10"/>
  <c r="AW19" i="10"/>
  <c r="BO188" i="8"/>
  <c r="BO189" i="8" s="1"/>
  <c r="BO195" i="8"/>
  <c r="BO196" i="8" s="1"/>
  <c r="BO192" i="8"/>
  <c r="BO193" i="8" s="1"/>
  <c r="AX199" i="8"/>
  <c r="AX192" i="8" s="1"/>
  <c r="AW20" i="10" l="1"/>
  <c r="AX19" i="10"/>
  <c r="AX20" i="10" s="1"/>
  <c r="AX195" i="8"/>
  <c r="BO199" i="8"/>
  <c r="BO200" i="8" s="1"/>
  <c r="AX188" i="8" l="1"/>
  <c r="BQ188" i="8" s="1"/>
  <c r="BQ195" i="8"/>
  <c r="BP195" i="8"/>
  <c r="BP188" i="8" l="1"/>
  <c r="BQ196" i="8"/>
  <c r="BP196" i="8"/>
  <c r="BP189" i="8" l="1"/>
  <c r="BQ189" i="8"/>
  <c r="BR195" i="8"/>
  <c r="BR188" i="8" l="1"/>
  <c r="BR189" i="8" s="1"/>
  <c r="BS195" i="8"/>
  <c r="BT195" i="8" l="1"/>
  <c r="BS188" i="8"/>
  <c r="BS189" i="8" s="1"/>
  <c r="BT188" i="8" l="1"/>
  <c r="BT189" i="8" s="1"/>
  <c r="BU195" i="8"/>
  <c r="BU188" i="8" s="1"/>
  <c r="BU189" i="8" l="1"/>
  <c r="BP197" i="8" l="1"/>
  <c r="AU197" i="8"/>
  <c r="AU190" i="8" l="1"/>
  <c r="BP198" i="8"/>
  <c r="BP190" i="8"/>
  <c r="BP191" i="8" s="1"/>
  <c r="AV197" i="8"/>
  <c r="AU186" i="8" l="1"/>
  <c r="AV190" i="8"/>
  <c r="AW197" i="8"/>
  <c r="AX197" i="8"/>
  <c r="AX190" i="8" s="1"/>
  <c r="AX186" i="8" s="1"/>
  <c r="AX187" i="8" s="1"/>
  <c r="AU187" i="8" l="1"/>
  <c r="AW190" i="8"/>
  <c r="BQ190" i="8" s="1"/>
  <c r="BQ191" i="8" s="1"/>
  <c r="BQ197" i="8"/>
  <c r="AR5" i="9"/>
  <c r="BR197" i="8" l="1"/>
  <c r="BQ198" i="8"/>
  <c r="AS162" i="8"/>
  <c r="AS5" i="9"/>
  <c r="AS145" i="8"/>
  <c r="AS216" i="8"/>
  <c r="AS8" i="9"/>
  <c r="AS13" i="9"/>
  <c r="AS11" i="9" s="1"/>
  <c r="AR145" i="8"/>
  <c r="AR216" i="8"/>
  <c r="AR13" i="9"/>
  <c r="AR11" i="9" s="1"/>
  <c r="AR12" i="9" s="1"/>
  <c r="AR8" i="9"/>
  <c r="AR162" i="8"/>
  <c r="BR190" i="8" l="1"/>
  <c r="BR191" i="8" s="1"/>
  <c r="BS197" i="8"/>
  <c r="AS12" i="9"/>
  <c r="AS21" i="9"/>
  <c r="AS56" i="9" s="1"/>
  <c r="AS9" i="9"/>
  <c r="AR21" i="9"/>
  <c r="AR56" i="9" s="1"/>
  <c r="AR9" i="9"/>
  <c r="AR36" i="8"/>
  <c r="AR204" i="8"/>
  <c r="AS204" i="8"/>
  <c r="AS205" i="8" s="1"/>
  <c r="AR141" i="8"/>
  <c r="AR142" i="8" s="1"/>
  <c r="AS82" i="8"/>
  <c r="AS84" i="8"/>
  <c r="AS58" i="8"/>
  <c r="AS75" i="8"/>
  <c r="AS219" i="8"/>
  <c r="AS224" i="8" s="1"/>
  <c r="AR219" i="8"/>
  <c r="AS36" i="8"/>
  <c r="AR84" i="8"/>
  <c r="AR58" i="8"/>
  <c r="AR82" i="8"/>
  <c r="AR75" i="8"/>
  <c r="AS141" i="8"/>
  <c r="AS142" i="8" s="1"/>
  <c r="BS190" i="8" l="1"/>
  <c r="BS191" i="8" s="1"/>
  <c r="BT197" i="8"/>
  <c r="AS32" i="9"/>
  <c r="AS240" i="9" s="1"/>
  <c r="AS243" i="9" s="1"/>
  <c r="AR32" i="9"/>
  <c r="AU142" i="8"/>
  <c r="AS62" i="8"/>
  <c r="AS59" i="8"/>
  <c r="AS7" i="9" s="1"/>
  <c r="AS63" i="8"/>
  <c r="AR72" i="8"/>
  <c r="AR71" i="8"/>
  <c r="AR38" i="8"/>
  <c r="AR8" i="8"/>
  <c r="AR205" i="8"/>
  <c r="AS226" i="8"/>
  <c r="AS225" i="8"/>
  <c r="AR221" i="8"/>
  <c r="AR220" i="8"/>
  <c r="AS72" i="8"/>
  <c r="AS71" i="8"/>
  <c r="AR62" i="8"/>
  <c r="AR63" i="8"/>
  <c r="AR59" i="8"/>
  <c r="AR7" i="9" s="1"/>
  <c r="AS38" i="8"/>
  <c r="AS8" i="8"/>
  <c r="AS220" i="8"/>
  <c r="AS221" i="8"/>
  <c r="AR224" i="8"/>
  <c r="BU197" i="8" l="1"/>
  <c r="BU190" i="8" s="1"/>
  <c r="BT190" i="8"/>
  <c r="BT191" i="8" s="1"/>
  <c r="AS171" i="9"/>
  <c r="AR172" i="9"/>
  <c r="AV172" i="9" s="1"/>
  <c r="AR171" i="9"/>
  <c r="AV171" i="9" s="1"/>
  <c r="AS172" i="9"/>
  <c r="AS35" i="9"/>
  <c r="AS37" i="9"/>
  <c r="AS42" i="9" s="1"/>
  <c r="AR35" i="9"/>
  <c r="AR37" i="9"/>
  <c r="AR42" i="9" s="1"/>
  <c r="AR3" i="9"/>
  <c r="AV142" i="8"/>
  <c r="AS3" i="9"/>
  <c r="AR37" i="8"/>
  <c r="AR226" i="8"/>
  <c r="AR225" i="8"/>
  <c r="AR34" i="8"/>
  <c r="AR54" i="8"/>
  <c r="AS693" i="8"/>
  <c r="AS9" i="8"/>
  <c r="AS695" i="8"/>
  <c r="AS697" i="8"/>
  <c r="AS685" i="8"/>
  <c r="AS691" i="8"/>
  <c r="AS34" i="8"/>
  <c r="AS54" i="8"/>
  <c r="AR693" i="8"/>
  <c r="AR685" i="8"/>
  <c r="AR691" i="8"/>
  <c r="AR695" i="8"/>
  <c r="AR697" i="8"/>
  <c r="AR9" i="8"/>
  <c r="AS37" i="8"/>
  <c r="BU191" i="8" l="1"/>
  <c r="AW171" i="9"/>
  <c r="AW172" i="9"/>
  <c r="AR176" i="9"/>
  <c r="AR178" i="9"/>
  <c r="AR177" i="9"/>
  <c r="AR174" i="9"/>
  <c r="AR208" i="9"/>
  <c r="AR170" i="9"/>
  <c r="AS170" i="9"/>
  <c r="AW170" i="9" s="1"/>
  <c r="AS178" i="9"/>
  <c r="AS174" i="9"/>
  <c r="AS208" i="9"/>
  <c r="AS176" i="9"/>
  <c r="AS177" i="9"/>
  <c r="AR4" i="9"/>
  <c r="AR55" i="8"/>
  <c r="AS4" i="9"/>
  <c r="AS55" i="8"/>
  <c r="AW142" i="8"/>
  <c r="AR168" i="9" l="1"/>
  <c r="AV170" i="9"/>
  <c r="AS168" i="9"/>
  <c r="AX142" i="8"/>
  <c r="AS209" i="9"/>
  <c r="AR209" i="9"/>
  <c r="AR210" i="9"/>
  <c r="AR190" i="9"/>
  <c r="AS190" i="9"/>
  <c r="AR189" i="9"/>
  <c r="AS189" i="9"/>
  <c r="AR192" i="9"/>
  <c r="AS192" i="9"/>
  <c r="AS63" i="9" l="1"/>
  <c r="AS188" i="9"/>
  <c r="AR188" i="9"/>
  <c r="AU168" i="9" l="1"/>
  <c r="AS187" i="9"/>
  <c r="AS214" i="9"/>
  <c r="AR187" i="9"/>
  <c r="AV168" i="9" l="1"/>
  <c r="AS210" i="9"/>
  <c r="AW168" i="9" l="1"/>
  <c r="AQ228" i="9" l="1"/>
  <c r="AQ226" i="9" s="1"/>
  <c r="AQ225" i="9" s="1"/>
  <c r="BM140" i="9"/>
  <c r="AQ271" i="9"/>
  <c r="AP271" i="9"/>
  <c r="AP142" i="9"/>
  <c r="AP143" i="9" s="1"/>
  <c r="AQ142" i="9"/>
  <c r="AQ143" i="9" s="1"/>
  <c r="BM160" i="9" l="1"/>
  <c r="BM159" i="9" s="1"/>
  <c r="BM152" i="9" s="1"/>
  <c r="BM151" i="9" s="1"/>
  <c r="BM271" i="9"/>
  <c r="O94" i="12" s="1"/>
  <c r="O91" i="12"/>
  <c r="BM142" i="9"/>
  <c r="BM143" i="9" s="1"/>
  <c r="BM27" i="9" l="1"/>
  <c r="BM280" i="9" s="1"/>
  <c r="AP38" i="9"/>
  <c r="AQ38" i="9"/>
  <c r="BM292" i="9" l="1"/>
  <c r="BM293" i="9" s="1"/>
  <c r="BM295" i="9" s="1"/>
  <c r="BM38" i="9"/>
  <c r="G213" i="12"/>
  <c r="BP293" i="9"/>
  <c r="BP292" i="9" s="1"/>
  <c r="BP280" i="9" s="1"/>
  <c r="BP27" i="9" s="1"/>
  <c r="G215" i="12" l="1"/>
  <c r="G216" i="12" s="1"/>
  <c r="H213" i="12"/>
  <c r="BQ293" i="9"/>
  <c r="BQ292" i="9" s="1"/>
  <c r="BQ280" i="9" s="1"/>
  <c r="BQ27" i="9" s="1"/>
  <c r="BS293" i="9" l="1"/>
  <c r="BS292" i="9" s="1"/>
  <c r="BS280" i="9" s="1"/>
  <c r="BS27" i="9" s="1"/>
  <c r="BR293" i="9"/>
  <c r="BR292" i="9" s="1"/>
  <c r="BR280" i="9" s="1"/>
  <c r="BR27" i="9" s="1"/>
  <c r="AQ102" i="8" l="1"/>
  <c r="AS101" i="8" s="1"/>
  <c r="AT101" i="8" s="1"/>
  <c r="AT106" i="8" l="1"/>
  <c r="AT107" i="8" s="1"/>
  <c r="AT102" i="8"/>
  <c r="AS106" i="8"/>
  <c r="AS107" i="8" s="1"/>
  <c r="AS102" i="8"/>
  <c r="AU102" i="8" l="1"/>
  <c r="AV102" i="8" l="1"/>
  <c r="AW102" i="8" l="1"/>
  <c r="AX102" i="8" s="1"/>
  <c r="BP102" i="8"/>
  <c r="AU101" i="8" l="1"/>
  <c r="AV101" i="8" l="1"/>
  <c r="AW101" i="8" l="1"/>
  <c r="BQ100" i="8" l="1"/>
  <c r="BO97" i="8"/>
  <c r="AP111" i="8"/>
  <c r="AQ105" i="8"/>
  <c r="AR107" i="8" s="1"/>
  <c r="AQ111" i="8"/>
  <c r="AP105" i="8"/>
  <c r="BO111" i="8" l="1"/>
  <c r="BO105" i="8"/>
  <c r="BR100" i="8"/>
  <c r="BS100" i="8" s="1"/>
  <c r="BT100" i="8" s="1"/>
  <c r="BU100" i="8" s="1"/>
  <c r="AQ107" i="8"/>
  <c r="AU111" i="8"/>
  <c r="AV111" i="8" s="1"/>
  <c r="AW111" i="8" s="1"/>
  <c r="AX111" i="8" s="1"/>
  <c r="AR111" i="9"/>
  <c r="AS111" i="9" l="1"/>
  <c r="AU105" i="8" l="1"/>
  <c r="AU97" i="8" s="1"/>
  <c r="AV105" i="8" l="1"/>
  <c r="AU107" i="8"/>
  <c r="AR218" i="9"/>
  <c r="AT98" i="8" l="1"/>
  <c r="AT92" i="8"/>
  <c r="AV97" i="8"/>
  <c r="AW105" i="8"/>
  <c r="BP106" i="8"/>
  <c r="BP107" i="8" s="1"/>
  <c r="AV107" i="8"/>
  <c r="AU106" i="8"/>
  <c r="AU98" i="8" s="1"/>
  <c r="AS218" i="9"/>
  <c r="AR129" i="9"/>
  <c r="AR366" i="9"/>
  <c r="AR90" i="8"/>
  <c r="AR212" i="9"/>
  <c r="AR129" i="8"/>
  <c r="AR17" i="9" s="1"/>
  <c r="AR55" i="9" s="1"/>
  <c r="AR53" i="9" s="1"/>
  <c r="AR52" i="9" s="1"/>
  <c r="AR569" i="8"/>
  <c r="AR365" i="9"/>
  <c r="AW97" i="8" l="1"/>
  <c r="AX105" i="8"/>
  <c r="AR154" i="9"/>
  <c r="BP89" i="8"/>
  <c r="AT218" i="9"/>
  <c r="BP98" i="8"/>
  <c r="BQ98" i="8" s="1"/>
  <c r="BN218" i="9"/>
  <c r="AW107" i="8"/>
  <c r="AV106" i="8"/>
  <c r="AV98" i="8" s="1"/>
  <c r="AS90" i="8"/>
  <c r="AS569" i="8"/>
  <c r="AS129" i="8"/>
  <c r="AS17" i="9" s="1"/>
  <c r="AS55" i="9" s="1"/>
  <c r="AS53" i="9" s="1"/>
  <c r="AS52" i="9" s="1"/>
  <c r="AS154" i="9" s="1"/>
  <c r="AS212" i="9"/>
  <c r="AS228" i="8"/>
  <c r="AR67" i="8"/>
  <c r="AR23" i="9"/>
  <c r="AR24" i="9" s="1"/>
  <c r="AR66" i="8"/>
  <c r="AS365" i="9"/>
  <c r="AR215" i="9"/>
  <c r="AR216" i="9"/>
  <c r="AR217" i="9" s="1"/>
  <c r="AR367" i="9"/>
  <c r="AR219" i="9"/>
  <c r="AR229" i="8"/>
  <c r="AR230" i="8"/>
  <c r="AR233" i="8"/>
  <c r="AR395" i="8"/>
  <c r="AR440" i="8"/>
  <c r="AR494" i="8"/>
  <c r="AR570" i="8"/>
  <c r="AR573" i="8"/>
  <c r="AS129" i="9"/>
  <c r="AS366" i="9"/>
  <c r="AR131" i="8"/>
  <c r="AX97" i="8" l="1"/>
  <c r="BQ105" i="8"/>
  <c r="AT569" i="8"/>
  <c r="BP569" i="8" s="1"/>
  <c r="BP228" i="8"/>
  <c r="AT212" i="9"/>
  <c r="BN212" i="9" s="1"/>
  <c r="AT129" i="8"/>
  <c r="AT17" i="9" s="1"/>
  <c r="AT55" i="9" s="1"/>
  <c r="AT53" i="9" s="1"/>
  <c r="AX107" i="8"/>
  <c r="AX106" i="8" s="1"/>
  <c r="AX98" i="8" s="1"/>
  <c r="AW106" i="8"/>
  <c r="AW98" i="8" s="1"/>
  <c r="AR68" i="8"/>
  <c r="AS573" i="8"/>
  <c r="AS570" i="8"/>
  <c r="AS67" i="8"/>
  <c r="AS66" i="8"/>
  <c r="AS185" i="9"/>
  <c r="AS131" i="8"/>
  <c r="AS219" i="9"/>
  <c r="AS215" i="9"/>
  <c r="AS216" i="9"/>
  <c r="AS217" i="9" s="1"/>
  <c r="AS494" i="8"/>
  <c r="AS229" i="8"/>
  <c r="AS233" i="8"/>
  <c r="AT232" i="8" s="1"/>
  <c r="AS230" i="8"/>
  <c r="AS440" i="8"/>
  <c r="AS395" i="8"/>
  <c r="P65" i="12"/>
  <c r="H186" i="12" s="1"/>
  <c r="J186" i="12" s="1"/>
  <c r="BP639" i="8"/>
  <c r="AS367" i="9"/>
  <c r="AS368" i="9" s="1"/>
  <c r="AR185" i="9"/>
  <c r="AR238" i="8"/>
  <c r="AR235" i="8"/>
  <c r="AR234" i="8"/>
  <c r="AR116" i="8"/>
  <c r="AR574" i="8"/>
  <c r="AR575" i="8"/>
  <c r="AR496" i="8"/>
  <c r="AR495" i="8"/>
  <c r="AR498" i="8"/>
  <c r="AR396" i="8"/>
  <c r="AR399" i="8"/>
  <c r="AR441" i="8"/>
  <c r="AR444" i="8"/>
  <c r="AR368" i="9"/>
  <c r="BQ97" i="8" l="1"/>
  <c r="AS363" i="9"/>
  <c r="AR363" i="9"/>
  <c r="AS58" i="9"/>
  <c r="AS71" i="9"/>
  <c r="AR58" i="9"/>
  <c r="AR71" i="9"/>
  <c r="BQ106" i="8"/>
  <c r="AT573" i="8"/>
  <c r="AT570" i="8"/>
  <c r="AT395" i="8"/>
  <c r="AT230" i="8"/>
  <c r="AT440" i="8"/>
  <c r="AT494" i="8"/>
  <c r="BC494" i="8" s="1"/>
  <c r="AT219" i="9"/>
  <c r="BP129" i="8"/>
  <c r="BP130" i="8" s="1"/>
  <c r="AR236" i="8"/>
  <c r="AR117" i="8"/>
  <c r="AS68" i="8"/>
  <c r="BP570" i="8"/>
  <c r="BP571" i="8"/>
  <c r="AS116" i="8"/>
  <c r="AS23" i="9"/>
  <c r="AS24" i="9" s="1"/>
  <c r="AS498" i="8"/>
  <c r="AS496" i="8"/>
  <c r="AS495" i="8"/>
  <c r="AS575" i="8"/>
  <c r="AS574" i="8"/>
  <c r="BN219" i="9"/>
  <c r="BN217" i="9"/>
  <c r="BP230" i="8"/>
  <c r="AS234" i="8"/>
  <c r="AS238" i="8"/>
  <c r="AS243" i="8" s="1"/>
  <c r="AS235" i="8"/>
  <c r="AS444" i="8"/>
  <c r="AS441" i="8"/>
  <c r="AS399" i="8"/>
  <c r="AS396" i="8"/>
  <c r="AR122" i="8"/>
  <c r="AR38" i="9"/>
  <c r="AS38" i="9"/>
  <c r="AR239" i="8"/>
  <c r="AR240" i="8"/>
  <c r="AR243" i="8"/>
  <c r="AR446" i="8"/>
  <c r="AR445" i="8"/>
  <c r="AR401" i="8"/>
  <c r="AR400" i="8"/>
  <c r="AR503" i="8"/>
  <c r="AR499" i="8"/>
  <c r="AR500" i="8"/>
  <c r="BP573" i="8" l="1"/>
  <c r="BC573" i="8"/>
  <c r="AT363" i="9"/>
  <c r="AU363" i="9" s="1"/>
  <c r="AV363" i="9" s="1"/>
  <c r="AS59" i="9"/>
  <c r="AR59" i="9"/>
  <c r="AT574" i="8"/>
  <c r="AT575" i="8"/>
  <c r="BC575" i="8" s="1"/>
  <c r="AT444" i="8"/>
  <c r="BP444" i="8" s="1"/>
  <c r="BP440" i="8"/>
  <c r="BP494" i="8"/>
  <c r="AT498" i="8"/>
  <c r="AT496" i="8"/>
  <c r="AT495" i="8"/>
  <c r="BN17" i="9"/>
  <c r="BN55" i="9" s="1"/>
  <c r="AT399" i="8"/>
  <c r="BP399" i="8" s="1"/>
  <c r="BP395" i="8"/>
  <c r="AR447" i="8"/>
  <c r="AR402" i="8"/>
  <c r="AR501" i="8"/>
  <c r="AR123" i="8"/>
  <c r="AR241" i="8"/>
  <c r="AS117" i="8"/>
  <c r="AS236" i="8"/>
  <c r="AS122" i="8"/>
  <c r="AS500" i="8"/>
  <c r="AS503" i="8"/>
  <c r="AS499" i="8"/>
  <c r="BP574" i="8"/>
  <c r="BP575" i="8"/>
  <c r="BP581" i="8" s="1"/>
  <c r="AS239" i="8"/>
  <c r="AS240" i="8"/>
  <c r="AS446" i="8"/>
  <c r="AS445" i="8"/>
  <c r="AS400" i="8"/>
  <c r="AS401" i="8"/>
  <c r="AR504" i="8"/>
  <c r="AR505" i="8"/>
  <c r="AR245" i="8"/>
  <c r="AR244" i="8"/>
  <c r="BP498" i="8" l="1"/>
  <c r="BP499" i="8" s="1"/>
  <c r="BC498" i="8"/>
  <c r="AW363" i="9"/>
  <c r="AX363" i="9" s="1"/>
  <c r="AS72" i="9"/>
  <c r="AS62" i="9"/>
  <c r="AR72" i="9"/>
  <c r="AR62" i="9"/>
  <c r="AT445" i="8"/>
  <c r="AT446" i="8"/>
  <c r="AT447" i="8" s="1"/>
  <c r="BP441" i="8"/>
  <c r="BP442" i="8"/>
  <c r="BP495" i="8"/>
  <c r="BP496" i="8"/>
  <c r="AT499" i="8"/>
  <c r="AT500" i="8"/>
  <c r="AT503" i="8"/>
  <c r="AT400" i="8"/>
  <c r="AT401" i="8"/>
  <c r="AT402" i="8" s="1"/>
  <c r="BP397" i="8"/>
  <c r="BP396" i="8"/>
  <c r="AR506" i="8"/>
  <c r="AR246" i="8"/>
  <c r="AS123" i="8"/>
  <c r="AS501" i="8"/>
  <c r="AS241" i="8"/>
  <c r="AS447" i="8"/>
  <c r="AS402" i="8"/>
  <c r="AS505" i="8"/>
  <c r="AS504" i="8"/>
  <c r="AS245" i="8"/>
  <c r="AS244" i="8"/>
  <c r="AS242" i="8"/>
  <c r="BP445" i="8"/>
  <c r="BP446" i="8"/>
  <c r="BP447" i="8" s="1"/>
  <c r="BP400" i="8"/>
  <c r="BP401" i="8"/>
  <c r="BP503" i="8" l="1"/>
  <c r="BP505" i="8" s="1"/>
  <c r="BP500" i="8"/>
  <c r="H182" i="12" s="1"/>
  <c r="H175" i="12" s="1"/>
  <c r="AT501" i="8"/>
  <c r="BC500" i="8"/>
  <c r="AS68" i="9"/>
  <c r="AS74" i="9" s="1"/>
  <c r="AS272" i="9"/>
  <c r="AR68" i="9"/>
  <c r="AR74" i="9" s="1"/>
  <c r="AR272" i="9"/>
  <c r="AT505" i="8"/>
  <c r="AT506" i="8" s="1"/>
  <c r="AT504" i="8"/>
  <c r="P60" i="12"/>
  <c r="J182" i="12"/>
  <c r="J175" i="12" s="1"/>
  <c r="AS506" i="8"/>
  <c r="AS246" i="8"/>
  <c r="AS43" i="9"/>
  <c r="BP501" i="8" l="1"/>
  <c r="BP504" i="8"/>
  <c r="BP506" i="8"/>
  <c r="P61" i="12"/>
  <c r="AS230" i="9"/>
  <c r="AS233" i="9" s="1"/>
  <c r="AS75" i="9" s="1"/>
  <c r="AS80" i="9" s="1"/>
  <c r="AS234" i="9" l="1"/>
  <c r="AR43" i="9" l="1"/>
  <c r="AR228" i="9" l="1"/>
  <c r="AR230" i="9"/>
  <c r="AR226" i="9" l="1"/>
  <c r="AR225" i="9" s="1"/>
  <c r="AR233" i="9"/>
  <c r="AR75" i="9" s="1"/>
  <c r="AR80" i="9" s="1"/>
  <c r="AR234" i="9" l="1"/>
  <c r="AR142" i="9" l="1"/>
  <c r="AS271" i="9"/>
  <c r="AS228" i="9"/>
  <c r="AR271" i="9"/>
  <c r="AR115" i="9" l="1"/>
  <c r="AS226" i="9"/>
  <c r="AS225" i="9" s="1"/>
  <c r="AS142" i="9"/>
  <c r="AS115" i="9" l="1"/>
  <c r="AR143" i="9"/>
  <c r="AR284" i="9"/>
  <c r="AR183" i="9" l="1"/>
  <c r="AR186" i="9"/>
  <c r="AR274" i="9"/>
  <c r="AS143" i="9"/>
  <c r="AS284" i="9"/>
  <c r="AR285" i="9"/>
  <c r="AS282" i="9"/>
  <c r="AT282" i="9" l="1"/>
  <c r="AS285" i="9"/>
  <c r="AS183" i="9"/>
  <c r="AS274" i="9"/>
  <c r="AS186" i="9"/>
  <c r="AR152" i="8" l="1"/>
  <c r="AR179" i="8" s="1"/>
  <c r="AR187" i="8"/>
  <c r="AR153" i="8" l="1"/>
  <c r="AR154" i="8"/>
  <c r="AR192" i="8"/>
  <c r="AR193" i="8" s="1"/>
  <c r="AR199" i="8" l="1"/>
  <c r="AV199" i="8" l="1"/>
  <c r="AR200" i="8"/>
  <c r="AV192" i="8" l="1"/>
  <c r="AV186" i="8" l="1"/>
  <c r="AV187" i="8" s="1"/>
  <c r="AS152" i="8" l="1"/>
  <c r="AS179" i="8" s="1"/>
  <c r="BP186" i="8"/>
  <c r="BP187" i="8" s="1"/>
  <c r="AS159" i="8"/>
  <c r="AS154" i="8" l="1"/>
  <c r="AS153" i="8"/>
  <c r="AS187" i="8"/>
  <c r="AS192" i="8"/>
  <c r="AS193" i="8" s="1"/>
  <c r="AU167" i="8" l="1"/>
  <c r="BC167" i="8"/>
  <c r="AX176" i="8"/>
  <c r="BC176" i="8"/>
  <c r="AT170" i="8"/>
  <c r="AT172" i="8" s="1"/>
  <c r="BP176" i="8"/>
  <c r="BP167" i="8"/>
  <c r="AT161" i="8"/>
  <c r="AT168" i="8"/>
  <c r="AT177" i="8"/>
  <c r="BP192" i="8"/>
  <c r="BP193" i="8" s="1"/>
  <c r="AS199" i="8"/>
  <c r="AT163" i="8" l="1"/>
  <c r="BC161" i="8"/>
  <c r="AT150" i="8"/>
  <c r="BC158" i="8"/>
  <c r="BP149" i="8"/>
  <c r="BP150" i="8" s="1"/>
  <c r="BP177" i="8"/>
  <c r="BP170" i="8"/>
  <c r="BP172" i="8" s="1"/>
  <c r="BP161" i="8"/>
  <c r="BP163" i="8" s="1"/>
  <c r="BP168" i="8"/>
  <c r="AT152" i="8"/>
  <c r="AT179" i="8" s="1"/>
  <c r="AT159" i="8"/>
  <c r="BP158" i="8"/>
  <c r="AU168" i="8"/>
  <c r="AU158" i="8"/>
  <c r="AU149" i="8" s="1"/>
  <c r="AU161" i="8"/>
  <c r="AU163" i="8" s="1"/>
  <c r="AV167" i="8"/>
  <c r="AU170" i="8"/>
  <c r="AU172" i="8" s="1"/>
  <c r="BP199" i="8"/>
  <c r="AS200" i="8"/>
  <c r="AW199" i="8"/>
  <c r="BC179" i="8" l="1"/>
  <c r="BP179" i="8"/>
  <c r="BC152" i="8"/>
  <c r="AU150" i="8"/>
  <c r="AW192" i="8"/>
  <c r="BQ199" i="8"/>
  <c r="BQ200" i="8" s="1"/>
  <c r="AT153" i="8"/>
  <c r="AT154" i="8"/>
  <c r="BP159" i="8"/>
  <c r="BP152" i="8"/>
  <c r="AU159" i="8"/>
  <c r="AU152" i="8"/>
  <c r="AV168" i="8"/>
  <c r="AV161" i="8"/>
  <c r="AV163" i="8" s="1"/>
  <c r="AV158" i="8"/>
  <c r="AV149" i="8" s="1"/>
  <c r="AV170" i="8"/>
  <c r="AV172" i="8" s="1"/>
  <c r="BP200" i="8"/>
  <c r="BC144" i="8" l="1"/>
  <c r="AV150" i="8"/>
  <c r="BQ192" i="8"/>
  <c r="BQ193" i="8" s="1"/>
  <c r="AW186" i="8"/>
  <c r="BC207" i="8"/>
  <c r="AT171" i="8"/>
  <c r="AT145" i="8"/>
  <c r="AT57" i="8"/>
  <c r="AT162" i="8"/>
  <c r="BC211" i="8"/>
  <c r="AT216" i="8"/>
  <c r="AT396" i="8"/>
  <c r="AT441" i="8"/>
  <c r="AT229" i="8"/>
  <c r="BP144" i="8"/>
  <c r="BP153" i="8" s="1"/>
  <c r="AU144" i="8"/>
  <c r="AU154" i="8"/>
  <c r="AV159" i="8"/>
  <c r="AV152" i="8"/>
  <c r="BR199" i="8"/>
  <c r="BP154" i="8"/>
  <c r="BC57" i="8" l="1"/>
  <c r="AT5" i="9"/>
  <c r="AT36" i="8"/>
  <c r="BC36" i="8" s="1"/>
  <c r="BQ186" i="8"/>
  <c r="BQ187" i="8" s="1"/>
  <c r="AW167" i="8"/>
  <c r="AW187" i="8"/>
  <c r="BP207" i="8"/>
  <c r="AT204" i="8"/>
  <c r="AT61" i="8"/>
  <c r="BP57" i="8"/>
  <c r="AT82" i="8"/>
  <c r="BC82" i="8" s="1"/>
  <c r="AT131" i="8"/>
  <c r="AT84" i="8"/>
  <c r="AT75" i="8"/>
  <c r="BC75" i="8" s="1"/>
  <c r="AT90" i="8"/>
  <c r="AT58" i="8"/>
  <c r="AT70" i="8"/>
  <c r="BP211" i="8"/>
  <c r="AT219" i="8"/>
  <c r="BC219" i="8" s="1"/>
  <c r="BP141" i="8"/>
  <c r="BP145" i="8"/>
  <c r="BP229" i="8"/>
  <c r="BP242" i="8"/>
  <c r="BP216" i="8"/>
  <c r="H163" i="12"/>
  <c r="BP162" i="8"/>
  <c r="BP171" i="8"/>
  <c r="AU57" i="8"/>
  <c r="AU145" i="8"/>
  <c r="AU211" i="8"/>
  <c r="AU207" i="8"/>
  <c r="AU171" i="8"/>
  <c r="AU216" i="8"/>
  <c r="AU162" i="8"/>
  <c r="AU153" i="8"/>
  <c r="BS199" i="8"/>
  <c r="BR192" i="8"/>
  <c r="AV154" i="8"/>
  <c r="AV144" i="8"/>
  <c r="BC61" i="8" l="1"/>
  <c r="AT8" i="9"/>
  <c r="AT9" i="9" s="1"/>
  <c r="BC70" i="8"/>
  <c r="AT13" i="9"/>
  <c r="AT11" i="9" s="1"/>
  <c r="BN5" i="9"/>
  <c r="BN261" i="9" s="1"/>
  <c r="BO261" i="9" s="1"/>
  <c r="BA5" i="9"/>
  <c r="BR186" i="8"/>
  <c r="BR187" i="8" s="1"/>
  <c r="BR193" i="8"/>
  <c r="AW158" i="8"/>
  <c r="AW149" i="8" s="1"/>
  <c r="AW161" i="8"/>
  <c r="AW163" i="8" s="1"/>
  <c r="AW168" i="8"/>
  <c r="AX167" i="8"/>
  <c r="AW170" i="8"/>
  <c r="AW172" i="8" s="1"/>
  <c r="BP142" i="8"/>
  <c r="BP208" i="8"/>
  <c r="BP209" i="8"/>
  <c r="AT205" i="8"/>
  <c r="BP204" i="8"/>
  <c r="BP205" i="8" s="1"/>
  <c r="BA8" i="9"/>
  <c r="BP61" i="8"/>
  <c r="AT63" i="8"/>
  <c r="AT62" i="8"/>
  <c r="BC62" i="8" s="1"/>
  <c r="AT59" i="8"/>
  <c r="AT7" i="9" s="1"/>
  <c r="BP131" i="8"/>
  <c r="BP90" i="8"/>
  <c r="BP84" i="8"/>
  <c r="BP58" i="8"/>
  <c r="BP75" i="8"/>
  <c r="BP82" i="8"/>
  <c r="P14" i="12"/>
  <c r="Q13" i="12" s="1"/>
  <c r="BN6" i="9"/>
  <c r="BN49" i="9"/>
  <c r="BN18" i="9"/>
  <c r="BN54" i="9" s="1"/>
  <c r="BN53" i="9" s="1"/>
  <c r="BN16" i="9"/>
  <c r="AT72" i="8"/>
  <c r="BA13" i="9"/>
  <c r="AT71" i="8"/>
  <c r="BC71" i="8" s="1"/>
  <c r="BP70" i="8"/>
  <c r="AT65" i="8"/>
  <c r="BC65" i="8" s="1"/>
  <c r="BP212" i="8"/>
  <c r="BP213" i="8"/>
  <c r="BP219" i="8"/>
  <c r="AT220" i="8"/>
  <c r="AT221" i="8"/>
  <c r="AT224" i="8"/>
  <c r="BC224" i="8" s="1"/>
  <c r="AT38" i="8"/>
  <c r="AT8" i="8"/>
  <c r="BP36" i="8"/>
  <c r="BP33" i="8" s="1"/>
  <c r="AT33" i="8"/>
  <c r="BC33" i="8" s="1"/>
  <c r="H168" i="12"/>
  <c r="H162" i="12"/>
  <c r="H167" i="12" s="1"/>
  <c r="J163" i="12"/>
  <c r="J162" i="12" s="1"/>
  <c r="AU75" i="8"/>
  <c r="AU84" i="8"/>
  <c r="AU82" i="8"/>
  <c r="AU58" i="8"/>
  <c r="AU5" i="9"/>
  <c r="AU141" i="8"/>
  <c r="AU36" i="8"/>
  <c r="AU70" i="8"/>
  <c r="AU212" i="8"/>
  <c r="AU219" i="8"/>
  <c r="AU204" i="8"/>
  <c r="AU61" i="8"/>
  <c r="AU208" i="8"/>
  <c r="BS192" i="8"/>
  <c r="BT199" i="8"/>
  <c r="AV153" i="8"/>
  <c r="AV57" i="8"/>
  <c r="AV211" i="8"/>
  <c r="AV207" i="8"/>
  <c r="AV141" i="8" s="1"/>
  <c r="AV216" i="8"/>
  <c r="AV145" i="8"/>
  <c r="AV171" i="8"/>
  <c r="AV162" i="8"/>
  <c r="AU122" i="9" l="1"/>
  <c r="AU106" i="9"/>
  <c r="AU127" i="9"/>
  <c r="AT171" i="9"/>
  <c r="AX171" i="9" s="1"/>
  <c r="AT172" i="9"/>
  <c r="AX172" i="9" s="1"/>
  <c r="BC8" i="8"/>
  <c r="AT3" i="9"/>
  <c r="AT12" i="9"/>
  <c r="AT21" i="9"/>
  <c r="BP261" i="9"/>
  <c r="AT86" i="8"/>
  <c r="AT115" i="8" s="1"/>
  <c r="BP65" i="8"/>
  <c r="BS186" i="8"/>
  <c r="BS187" i="8" s="1"/>
  <c r="BS193" i="8"/>
  <c r="AW150" i="8"/>
  <c r="AW159" i="8"/>
  <c r="AW152" i="8"/>
  <c r="AX168" i="8"/>
  <c r="AX161" i="8"/>
  <c r="AX163" i="8" s="1"/>
  <c r="AX158" i="8"/>
  <c r="AX149" i="8" s="1"/>
  <c r="BQ167" i="8"/>
  <c r="AX170" i="8"/>
  <c r="AX172" i="8" s="1"/>
  <c r="BQ176" i="8"/>
  <c r="BR176" i="8" s="1"/>
  <c r="BS176" i="8" s="1"/>
  <c r="BT176" i="8" s="1"/>
  <c r="BU176" i="8" s="1"/>
  <c r="AU205" i="8"/>
  <c r="L162" i="12"/>
  <c r="BP210" i="8"/>
  <c r="BA9" i="9"/>
  <c r="BN8" i="9"/>
  <c r="BP62" i="8"/>
  <c r="BP63" i="8"/>
  <c r="BP59" i="8"/>
  <c r="R4" i="21"/>
  <c r="P15" i="12"/>
  <c r="BN13" i="9"/>
  <c r="BA11" i="9"/>
  <c r="BP72" i="8"/>
  <c r="P23" i="12"/>
  <c r="BP71" i="8"/>
  <c r="AT66" i="8"/>
  <c r="AT67" i="8"/>
  <c r="BP220" i="8"/>
  <c r="BP221" i="8"/>
  <c r="BP224" i="8"/>
  <c r="AT225" i="8"/>
  <c r="AT226" i="8"/>
  <c r="AT233" i="8"/>
  <c r="AT37" i="8"/>
  <c r="AT691" i="8"/>
  <c r="AT685" i="8"/>
  <c r="AT9" i="8"/>
  <c r="AT693" i="8"/>
  <c r="AT697" i="8"/>
  <c r="BP8" i="8"/>
  <c r="AT695" i="8"/>
  <c r="BP34" i="8"/>
  <c r="BP38" i="8"/>
  <c r="P6" i="12"/>
  <c r="P7" i="12" s="1"/>
  <c r="AT34" i="8"/>
  <c r="AT54" i="8"/>
  <c r="AT4" i="9" s="1"/>
  <c r="AU38" i="8"/>
  <c r="AU8" i="8"/>
  <c r="AU33" i="8"/>
  <c r="AU72" i="8"/>
  <c r="AU13" i="9"/>
  <c r="AU71" i="8"/>
  <c r="AU65" i="8"/>
  <c r="AU220" i="8"/>
  <c r="AU221" i="8"/>
  <c r="AU224" i="8"/>
  <c r="AU62" i="8"/>
  <c r="AU63" i="8"/>
  <c r="AU8" i="9"/>
  <c r="AU59" i="8"/>
  <c r="BT192" i="8"/>
  <c r="BU199" i="8"/>
  <c r="BU192" i="8" s="1"/>
  <c r="AV84" i="8"/>
  <c r="AV5" i="9"/>
  <c r="AV82" i="8"/>
  <c r="AV58" i="8"/>
  <c r="AV75" i="8"/>
  <c r="AV212" i="8"/>
  <c r="AV70" i="8"/>
  <c r="AV219" i="8"/>
  <c r="AV61" i="8"/>
  <c r="AV204" i="8"/>
  <c r="AV205" i="8" s="1"/>
  <c r="AV208" i="8"/>
  <c r="AV36" i="8"/>
  <c r="AV127" i="9" l="1"/>
  <c r="AV106" i="9"/>
  <c r="AU165" i="9"/>
  <c r="AV122" i="9"/>
  <c r="AT208" i="9"/>
  <c r="AT177" i="9"/>
  <c r="AT178" i="9"/>
  <c r="AU178" i="9" s="1"/>
  <c r="AV178" i="9" s="1"/>
  <c r="AW178" i="9" s="1"/>
  <c r="AX178" i="9" s="1"/>
  <c r="AT176" i="9"/>
  <c r="AU176" i="9" s="1"/>
  <c r="AV176" i="9" s="1"/>
  <c r="AW176" i="9" s="1"/>
  <c r="AX176" i="9" s="1"/>
  <c r="AT174" i="9"/>
  <c r="AT170" i="9"/>
  <c r="BA3" i="9"/>
  <c r="BC115" i="8"/>
  <c r="AT119" i="8"/>
  <c r="AT23" i="9"/>
  <c r="AT24" i="9" s="1"/>
  <c r="AT32" i="9"/>
  <c r="AT56" i="9"/>
  <c r="BQ261" i="9"/>
  <c r="AT68" i="8"/>
  <c r="BC66" i="8"/>
  <c r="BP233" i="8"/>
  <c r="BC233" i="8"/>
  <c r="AT116" i="8"/>
  <c r="BC121" i="8"/>
  <c r="AX150" i="8"/>
  <c r="BQ149" i="8"/>
  <c r="BQ150" i="8" s="1"/>
  <c r="BT186" i="8"/>
  <c r="BT187" i="8" s="1"/>
  <c r="BT193" i="8"/>
  <c r="BU186" i="8"/>
  <c r="BU193" i="8"/>
  <c r="BN102" i="9"/>
  <c r="AW144" i="8"/>
  <c r="AW154" i="8"/>
  <c r="AX159" i="8"/>
  <c r="AX152" i="8"/>
  <c r="BQ158" i="8"/>
  <c r="BR167" i="8"/>
  <c r="BR158" i="8" s="1"/>
  <c r="BR149" i="8" s="1"/>
  <c r="BQ161" i="8"/>
  <c r="BQ168" i="8"/>
  <c r="BQ170" i="8"/>
  <c r="BQ177" i="8"/>
  <c r="AU11" i="9"/>
  <c r="AU7" i="9"/>
  <c r="AV224" i="8"/>
  <c r="AU86" i="8"/>
  <c r="BP86" i="8"/>
  <c r="BN9" i="9"/>
  <c r="P18" i="12"/>
  <c r="P19" i="12" s="1"/>
  <c r="BN7" i="9"/>
  <c r="P17" i="12" s="1"/>
  <c r="R11" i="21"/>
  <c r="G5" i="21" s="1"/>
  <c r="R8" i="21"/>
  <c r="G4" i="21" s="1"/>
  <c r="BN14" i="9"/>
  <c r="BN11" i="9"/>
  <c r="BN21" i="9" s="1"/>
  <c r="BA21" i="9"/>
  <c r="BA12" i="9"/>
  <c r="BP66" i="8"/>
  <c r="BP67" i="8"/>
  <c r="BP225" i="8"/>
  <c r="BP226" i="8"/>
  <c r="AT238" i="8"/>
  <c r="BC238" i="8" s="1"/>
  <c r="AT235" i="8"/>
  <c r="AT234" i="8"/>
  <c r="BP37" i="8"/>
  <c r="BP9" i="8"/>
  <c r="P3" i="12"/>
  <c r="BP697" i="8"/>
  <c r="BN107" i="9"/>
  <c r="BN3" i="9"/>
  <c r="BP54" i="8"/>
  <c r="BP55" i="8" s="1"/>
  <c r="BN4" i="9"/>
  <c r="AT55" i="8"/>
  <c r="AU37" i="8"/>
  <c r="AU695" i="8"/>
  <c r="AU697" i="8"/>
  <c r="AU685" i="8"/>
  <c r="AU693" i="8"/>
  <c r="AU9" i="8"/>
  <c r="AU3" i="9"/>
  <c r="AU123" i="9" s="1"/>
  <c r="AU691" i="8"/>
  <c r="AU54" i="8"/>
  <c r="AU34" i="8"/>
  <c r="AU225" i="8"/>
  <c r="AU226" i="8"/>
  <c r="AU9" i="9"/>
  <c r="AV71" i="8"/>
  <c r="AV72" i="8"/>
  <c r="AV13" i="9"/>
  <c r="AV11" i="9" s="1"/>
  <c r="AV12" i="9" s="1"/>
  <c r="AV65" i="8"/>
  <c r="AV86" i="8" s="1"/>
  <c r="AV220" i="8"/>
  <c r="AV221" i="8"/>
  <c r="AV59" i="8"/>
  <c r="AV7" i="9" s="1"/>
  <c r="AV8" i="9"/>
  <c r="AV63" i="8"/>
  <c r="AV62" i="8"/>
  <c r="AV38" i="8"/>
  <c r="AV8" i="8"/>
  <c r="AV33" i="8"/>
  <c r="AU100" i="9" l="1"/>
  <c r="AV165" i="9"/>
  <c r="AT168" i="9"/>
  <c r="AX170" i="9"/>
  <c r="AX168" i="9" s="1"/>
  <c r="AU177" i="9"/>
  <c r="AV177" i="9" s="1"/>
  <c r="AT52" i="9"/>
  <c r="AT154" i="9" s="1"/>
  <c r="AT58" i="9"/>
  <c r="AT35" i="9"/>
  <c r="AT37" i="9"/>
  <c r="AT38" i="9" s="1"/>
  <c r="BR261" i="9"/>
  <c r="BA24" i="9"/>
  <c r="BA23" i="9"/>
  <c r="AT117" i="8"/>
  <c r="BC116" i="8"/>
  <c r="AT236" i="8"/>
  <c r="BC235" i="8"/>
  <c r="BU187" i="8"/>
  <c r="BR150" i="8"/>
  <c r="BP121" i="8"/>
  <c r="AT122" i="8"/>
  <c r="BP133" i="8"/>
  <c r="BP115" i="8"/>
  <c r="AW153" i="8"/>
  <c r="AW57" i="8"/>
  <c r="AW171" i="8"/>
  <c r="AW207" i="8"/>
  <c r="AW216" i="8"/>
  <c r="AW211" i="8"/>
  <c r="AW145" i="8"/>
  <c r="AW162" i="8"/>
  <c r="AX154" i="8"/>
  <c r="AX144" i="8"/>
  <c r="AX153" i="8" s="1"/>
  <c r="BQ159" i="8"/>
  <c r="BQ152" i="8"/>
  <c r="BR161" i="8"/>
  <c r="BR168" i="8"/>
  <c r="BS167" i="8"/>
  <c r="BS158" i="8" s="1"/>
  <c r="BS149" i="8" s="1"/>
  <c r="BS150" i="8" s="1"/>
  <c r="BQ163" i="8"/>
  <c r="BR170" i="8"/>
  <c r="BQ172" i="8"/>
  <c r="AU12" i="9"/>
  <c r="AU21" i="9"/>
  <c r="AU102" i="9"/>
  <c r="AU190" i="9" s="1"/>
  <c r="AU119" i="9"/>
  <c r="AU192" i="9" s="1"/>
  <c r="AV226" i="8"/>
  <c r="AV225" i="8"/>
  <c r="AT193" i="9"/>
  <c r="BN123" i="9"/>
  <c r="BN124" i="9"/>
  <c r="AU124" i="9"/>
  <c r="AT191" i="9"/>
  <c r="AU103" i="9"/>
  <c r="AU191" i="9" s="1"/>
  <c r="BN103" i="9"/>
  <c r="BN176" i="9" s="1"/>
  <c r="AU104" i="9"/>
  <c r="BN104" i="9"/>
  <c r="AV37" i="8"/>
  <c r="BN127" i="9"/>
  <c r="BN165" i="9" s="1"/>
  <c r="AV102" i="9"/>
  <c r="AV119" i="9"/>
  <c r="P27" i="12"/>
  <c r="BN56" i="9"/>
  <c r="AT192" i="9"/>
  <c r="BN119" i="9"/>
  <c r="BN171" i="9"/>
  <c r="AT190" i="9"/>
  <c r="BN12" i="9"/>
  <c r="P21" i="12"/>
  <c r="P22" i="12" s="1"/>
  <c r="AT243" i="8"/>
  <c r="BC243" i="8" s="1"/>
  <c r="AT240" i="8"/>
  <c r="AT239" i="8"/>
  <c r="BP234" i="8"/>
  <c r="BP238" i="8"/>
  <c r="BP235" i="8"/>
  <c r="P8" i="12"/>
  <c r="P4" i="12"/>
  <c r="BN100" i="9"/>
  <c r="AT189" i="9"/>
  <c r="AT209" i="9"/>
  <c r="BN207" i="9"/>
  <c r="AU207" i="9"/>
  <c r="AU4" i="9"/>
  <c r="AU55" i="8"/>
  <c r="AV21" i="9"/>
  <c r="AV9" i="9"/>
  <c r="AV3" i="9"/>
  <c r="AV693" i="8"/>
  <c r="AV691" i="8"/>
  <c r="AV9" i="8"/>
  <c r="AV695" i="8"/>
  <c r="AV685" i="8"/>
  <c r="AV697" i="8"/>
  <c r="AV54" i="8"/>
  <c r="AV34" i="8"/>
  <c r="BN147" i="9" l="1"/>
  <c r="AU147" i="9"/>
  <c r="AW177" i="9"/>
  <c r="AX177" i="9" s="1"/>
  <c r="AT59" i="9"/>
  <c r="AT72" i="9" s="1"/>
  <c r="BS261" i="9"/>
  <c r="AT123" i="8"/>
  <c r="BC122" i="8"/>
  <c r="AT241" i="8"/>
  <c r="BC240" i="8"/>
  <c r="BP122" i="8"/>
  <c r="BP123" i="8" s="1"/>
  <c r="P51" i="12"/>
  <c r="P47" i="12"/>
  <c r="BP117" i="8"/>
  <c r="BP119" i="8"/>
  <c r="BP116" i="8"/>
  <c r="BN23" i="9"/>
  <c r="BN24" i="9" s="1"/>
  <c r="BP644" i="8"/>
  <c r="AU56" i="9"/>
  <c r="AW84" i="8"/>
  <c r="AW82" i="8"/>
  <c r="AW5" i="9"/>
  <c r="AW75" i="8"/>
  <c r="AW58" i="8"/>
  <c r="AW61" i="8"/>
  <c r="AW208" i="8"/>
  <c r="AW204" i="8"/>
  <c r="AW205" i="8" s="1"/>
  <c r="AW141" i="8"/>
  <c r="AW36" i="8"/>
  <c r="AW70" i="8"/>
  <c r="AW212" i="8"/>
  <c r="AW219" i="8"/>
  <c r="AV190" i="9"/>
  <c r="AX211" i="8"/>
  <c r="AX216" i="8"/>
  <c r="AX207" i="8"/>
  <c r="AX57" i="8"/>
  <c r="AX145" i="8"/>
  <c r="AX171" i="8"/>
  <c r="BQ144" i="8"/>
  <c r="AX162" i="8"/>
  <c r="BQ154" i="8"/>
  <c r="BS161" i="8"/>
  <c r="BT167" i="8"/>
  <c r="BT158" i="8" s="1"/>
  <c r="BT149" i="8" s="1"/>
  <c r="BT150" i="8" s="1"/>
  <c r="BS168" i="8"/>
  <c r="BR152" i="8"/>
  <c r="BR144" i="8" s="1"/>
  <c r="BR159" i="8"/>
  <c r="BS170" i="8"/>
  <c r="AU193" i="9"/>
  <c r="AU148" i="9"/>
  <c r="AV123" i="9"/>
  <c r="AV103" i="9"/>
  <c r="AV191" i="9" s="1"/>
  <c r="AV104" i="9"/>
  <c r="AV124" i="9"/>
  <c r="BN148" i="9"/>
  <c r="AV100" i="9"/>
  <c r="AV189" i="9" s="1"/>
  <c r="BN69" i="9"/>
  <c r="BN178" i="9"/>
  <c r="AV192" i="9"/>
  <c r="AT188" i="9"/>
  <c r="BN52" i="9"/>
  <c r="BN185" i="9" s="1"/>
  <c r="BN172" i="9"/>
  <c r="AT185" i="9"/>
  <c r="AT245" i="8"/>
  <c r="AT246" i="8" s="1"/>
  <c r="AT244" i="8"/>
  <c r="P56" i="12"/>
  <c r="BP240" i="8"/>
  <c r="BP239" i="8"/>
  <c r="BP236" i="8"/>
  <c r="J181" i="12"/>
  <c r="J174" i="12" s="1"/>
  <c r="J173" i="12" s="1"/>
  <c r="H181" i="12"/>
  <c r="H174" i="12" s="1"/>
  <c r="H173" i="12" s="1"/>
  <c r="BN170" i="9"/>
  <c r="BN177" i="9"/>
  <c r="BN208" i="9"/>
  <c r="BN209" i="9"/>
  <c r="P78" i="12"/>
  <c r="P66" i="12"/>
  <c r="BN66" i="9"/>
  <c r="AT93" i="8"/>
  <c r="BN112" i="9"/>
  <c r="BN149" i="9" s="1"/>
  <c r="AU66" i="9"/>
  <c r="AU209" i="9"/>
  <c r="AU189" i="9"/>
  <c r="AV56" i="9"/>
  <c r="AV207" i="9"/>
  <c r="AV55" i="8"/>
  <c r="AV4" i="9"/>
  <c r="AW106" i="9" l="1"/>
  <c r="AW122" i="9"/>
  <c r="AW127" i="9"/>
  <c r="AU92" i="8"/>
  <c r="AU89" i="8" s="1"/>
  <c r="AU129" i="8" s="1"/>
  <c r="AT62" i="9"/>
  <c r="BN146" i="9"/>
  <c r="BN145" i="9" s="1"/>
  <c r="P58" i="12"/>
  <c r="P53" i="12"/>
  <c r="P62" i="12"/>
  <c r="P52" i="12"/>
  <c r="P49" i="12"/>
  <c r="P48" i="12"/>
  <c r="BQ153" i="8"/>
  <c r="BR145" i="8"/>
  <c r="AU146" i="9"/>
  <c r="AU65" i="9" s="1"/>
  <c r="AU188" i="9"/>
  <c r="AW63" i="8"/>
  <c r="AW8" i="9"/>
  <c r="AW62" i="8"/>
  <c r="AW59" i="8"/>
  <c r="AW7" i="9" s="1"/>
  <c r="AW33" i="8"/>
  <c r="AW8" i="8"/>
  <c r="AW38" i="8"/>
  <c r="AW65" i="8"/>
  <c r="AW86" i="8" s="1"/>
  <c r="AW72" i="8"/>
  <c r="AW71" i="8"/>
  <c r="AW13" i="9"/>
  <c r="AW11" i="9" s="1"/>
  <c r="AW12" i="9" s="1"/>
  <c r="AW224" i="8"/>
  <c r="AW220" i="8"/>
  <c r="AW221" i="8"/>
  <c r="AV193" i="9"/>
  <c r="AV188" i="9" s="1"/>
  <c r="AV148" i="9"/>
  <c r="AX36" i="8"/>
  <c r="AX141" i="8"/>
  <c r="BQ141" i="8" s="1"/>
  <c r="AX212" i="8"/>
  <c r="AX219" i="8"/>
  <c r="AX224" i="8" s="1"/>
  <c r="AX70" i="8"/>
  <c r="BQ211" i="8"/>
  <c r="AX61" i="8"/>
  <c r="AX208" i="8"/>
  <c r="AX204" i="8"/>
  <c r="BQ207" i="8"/>
  <c r="AX84" i="8"/>
  <c r="AX58" i="8"/>
  <c r="AX5" i="9"/>
  <c r="BO5" i="9" s="1"/>
  <c r="AX82" i="8"/>
  <c r="AX75" i="8"/>
  <c r="BQ57" i="8"/>
  <c r="BQ171" i="8"/>
  <c r="BQ162" i="8"/>
  <c r="BQ145" i="8"/>
  <c r="BQ242" i="8"/>
  <c r="BQ216" i="8"/>
  <c r="BT168" i="8"/>
  <c r="BT161" i="8"/>
  <c r="BU167" i="8"/>
  <c r="BU158" i="8" s="1"/>
  <c r="BU149" i="8" s="1"/>
  <c r="BU150" i="8" s="1"/>
  <c r="BS152" i="8"/>
  <c r="BS144" i="8" s="1"/>
  <c r="BS145" i="8" s="1"/>
  <c r="BS159" i="8"/>
  <c r="BR154" i="8"/>
  <c r="BR153" i="8"/>
  <c r="BT170" i="8"/>
  <c r="AV147" i="9"/>
  <c r="AU69" i="9"/>
  <c r="BP241" i="8"/>
  <c r="P57" i="12"/>
  <c r="BP244" i="8"/>
  <c r="BP245" i="8"/>
  <c r="BP246" i="8" s="1"/>
  <c r="J187" i="12"/>
  <c r="J180" i="12"/>
  <c r="L173" i="12"/>
  <c r="J192" i="12"/>
  <c r="H180" i="12"/>
  <c r="H192" i="12"/>
  <c r="H187" i="12"/>
  <c r="BN168" i="9"/>
  <c r="P80" i="12" s="1"/>
  <c r="AU214" i="9"/>
  <c r="AU112" i="9" s="1"/>
  <c r="AU63" i="9"/>
  <c r="BP93" i="8"/>
  <c r="AV66" i="9"/>
  <c r="AV209" i="9"/>
  <c r="AU67" i="8"/>
  <c r="AU66" i="8"/>
  <c r="AU68" i="8" s="1"/>
  <c r="AX127" i="9" l="1"/>
  <c r="AX122" i="9"/>
  <c r="BO122" i="9" s="1"/>
  <c r="AX106" i="9"/>
  <c r="AW165" i="9"/>
  <c r="Q14" i="12"/>
  <c r="Q15" i="12" s="1"/>
  <c r="BO260" i="9"/>
  <c r="BO245" i="9" s="1"/>
  <c r="BQ142" i="8"/>
  <c r="BR142" i="8" s="1"/>
  <c r="AU174" i="9"/>
  <c r="AW21" i="9"/>
  <c r="AW9" i="9"/>
  <c r="AW102" i="9"/>
  <c r="AW190" i="9" s="1"/>
  <c r="AW119" i="9"/>
  <c r="AW192" i="9" s="1"/>
  <c r="AW34" i="8"/>
  <c r="AW54" i="8"/>
  <c r="AW697" i="8"/>
  <c r="AW695" i="8"/>
  <c r="AW685" i="8"/>
  <c r="AW691" i="8"/>
  <c r="AW693" i="8"/>
  <c r="AW37" i="8"/>
  <c r="AW3" i="9"/>
  <c r="AW9" i="8"/>
  <c r="AW225" i="8"/>
  <c r="AW226" i="8"/>
  <c r="AV146" i="9"/>
  <c r="AX33" i="8"/>
  <c r="AX8" i="8"/>
  <c r="AX37" i="8" s="1"/>
  <c r="AX38" i="8"/>
  <c r="BQ36" i="8"/>
  <c r="AX220" i="8"/>
  <c r="AX221" i="8"/>
  <c r="BQ219" i="8"/>
  <c r="AX65" i="8"/>
  <c r="AX72" i="8"/>
  <c r="AX71" i="8"/>
  <c r="AX13" i="9"/>
  <c r="BQ70" i="8"/>
  <c r="BQ65" i="8" s="1"/>
  <c r="BQ212" i="8"/>
  <c r="BQ213" i="8"/>
  <c r="AX226" i="8"/>
  <c r="AX225" i="8"/>
  <c r="BQ224" i="8"/>
  <c r="AX59" i="8"/>
  <c r="AX63" i="8"/>
  <c r="AX62" i="8"/>
  <c r="AX8" i="9"/>
  <c r="BQ61" i="8"/>
  <c r="BQ204" i="8"/>
  <c r="BQ205" i="8" s="1"/>
  <c r="AX205" i="8"/>
  <c r="BQ209" i="8"/>
  <c r="BQ208" i="8"/>
  <c r="BO49" i="9"/>
  <c r="BO6" i="9"/>
  <c r="BO16" i="9"/>
  <c r="BQ58" i="8"/>
  <c r="BQ84" i="8"/>
  <c r="BQ82" i="8"/>
  <c r="BQ75" i="8"/>
  <c r="BU168" i="8"/>
  <c r="BU161" i="8"/>
  <c r="BT152" i="8"/>
  <c r="BT144" i="8" s="1"/>
  <c r="BT145" i="8" s="1"/>
  <c r="BT159" i="8"/>
  <c r="BS153" i="8"/>
  <c r="BS154" i="8"/>
  <c r="BR171" i="8"/>
  <c r="BR162" i="8"/>
  <c r="BR216" i="8"/>
  <c r="BR57" i="8"/>
  <c r="BU170" i="8"/>
  <c r="AV69" i="9"/>
  <c r="AT187" i="9"/>
  <c r="P79" i="12"/>
  <c r="BN174" i="9"/>
  <c r="BN65" i="9"/>
  <c r="AU210" i="9"/>
  <c r="AU149" i="9"/>
  <c r="AU145" i="9" s="1"/>
  <c r="BO106" i="9" l="1"/>
  <c r="AX165" i="9"/>
  <c r="Q11" i="12"/>
  <c r="BS142" i="8"/>
  <c r="BR141" i="8" s="1"/>
  <c r="AU187" i="9"/>
  <c r="AV174" i="9"/>
  <c r="AV65" i="9"/>
  <c r="AV187" i="9" s="1"/>
  <c r="BR84" i="8"/>
  <c r="BR82" i="8"/>
  <c r="AW56" i="9"/>
  <c r="AW4" i="9"/>
  <c r="AW55" i="8"/>
  <c r="AW207" i="9"/>
  <c r="AW100" i="9"/>
  <c r="AW124" i="9"/>
  <c r="AW104" i="9"/>
  <c r="AW103" i="9"/>
  <c r="AW191" i="9" s="1"/>
  <c r="AW123" i="9"/>
  <c r="AX34" i="8"/>
  <c r="AX54" i="8"/>
  <c r="BQ8" i="8"/>
  <c r="BQ37" i="8" s="1"/>
  <c r="AX695" i="8"/>
  <c r="AX697" i="8"/>
  <c r="AX9" i="8"/>
  <c r="AX693" i="8"/>
  <c r="AX691" i="8"/>
  <c r="AX685" i="8"/>
  <c r="AX3" i="9"/>
  <c r="Q6" i="12"/>
  <c r="BQ33" i="8"/>
  <c r="BQ34" i="8" s="1"/>
  <c r="BQ38" i="8"/>
  <c r="BQ221" i="8"/>
  <c r="BQ220" i="8"/>
  <c r="BQ86" i="8"/>
  <c r="BQ133" i="8" s="1"/>
  <c r="AX86" i="8"/>
  <c r="BO13" i="9"/>
  <c r="AX11" i="9"/>
  <c r="Q23" i="12"/>
  <c r="BQ71" i="8"/>
  <c r="BQ72" i="8"/>
  <c r="BR211" i="8"/>
  <c r="BS213" i="8"/>
  <c r="BQ226" i="8"/>
  <c r="BQ225" i="8"/>
  <c r="BQ59" i="8"/>
  <c r="AX7" i="9"/>
  <c r="AX9" i="9"/>
  <c r="BO8" i="9"/>
  <c r="BQ63" i="8"/>
  <c r="BQ62" i="8"/>
  <c r="BR209" i="8"/>
  <c r="BQ210" i="8"/>
  <c r="BU159" i="8"/>
  <c r="BU152" i="8"/>
  <c r="BU144" i="8" s="1"/>
  <c r="BU145" i="8" s="1"/>
  <c r="BT154" i="8"/>
  <c r="BT153" i="8"/>
  <c r="BS171" i="8"/>
  <c r="BS216" i="8"/>
  <c r="BS57" i="8"/>
  <c r="BS162" i="8"/>
  <c r="BP5" i="9"/>
  <c r="BP260" i="9" s="1"/>
  <c r="BP245" i="9" s="1"/>
  <c r="BR75" i="8"/>
  <c r="BR58" i="8"/>
  <c r="D19" i="13"/>
  <c r="AU93" i="8"/>
  <c r="AV92" i="8" s="1"/>
  <c r="BP106" i="9" l="1"/>
  <c r="BP122" i="9"/>
  <c r="BT142" i="8"/>
  <c r="BR36" i="8"/>
  <c r="AW69" i="9"/>
  <c r="BT213" i="8"/>
  <c r="BS211" i="8"/>
  <c r="BS84" i="8"/>
  <c r="BS82" i="8"/>
  <c r="AW209" i="9"/>
  <c r="AW66" i="9"/>
  <c r="AW189" i="9"/>
  <c r="AW147" i="9"/>
  <c r="AW148" i="9"/>
  <c r="AW193" i="9"/>
  <c r="AX12" i="9"/>
  <c r="AX21" i="9"/>
  <c r="AX55" i="8"/>
  <c r="AX4" i="9"/>
  <c r="BO4" i="9" s="1"/>
  <c r="BQ54" i="8"/>
  <c r="BQ55" i="8" s="1"/>
  <c r="Q3" i="12"/>
  <c r="BQ697" i="8"/>
  <c r="BQ9" i="8"/>
  <c r="AX103" i="9"/>
  <c r="AX123" i="9"/>
  <c r="BO127" i="9"/>
  <c r="BP127" i="9" s="1"/>
  <c r="AX207" i="9"/>
  <c r="AX100" i="9"/>
  <c r="AX124" i="9"/>
  <c r="BO124" i="9" s="1"/>
  <c r="AX104" i="9"/>
  <c r="BO104" i="9" s="1"/>
  <c r="BO3" i="9"/>
  <c r="BQ67" i="8"/>
  <c r="BQ66" i="8"/>
  <c r="BO11" i="9"/>
  <c r="BO21" i="9" s="1"/>
  <c r="BO14" i="9"/>
  <c r="BR70" i="8"/>
  <c r="BR65" i="8" s="1"/>
  <c r="BR212" i="8"/>
  <c r="BR219" i="8"/>
  <c r="AX119" i="9"/>
  <c r="AX102" i="9"/>
  <c r="BO7" i="9"/>
  <c r="Q17" i="12" s="1"/>
  <c r="Q18" i="12"/>
  <c r="Q19" i="12" s="1"/>
  <c r="BO9" i="9"/>
  <c r="BS209" i="8"/>
  <c r="BR207" i="8"/>
  <c r="BU154" i="8"/>
  <c r="BT171" i="8"/>
  <c r="BT216" i="8"/>
  <c r="BT162" i="8"/>
  <c r="BT57" i="8"/>
  <c r="BS75" i="8"/>
  <c r="BS58" i="8"/>
  <c r="BQ5" i="9"/>
  <c r="BQ260" i="9" s="1"/>
  <c r="BQ245" i="9" s="1"/>
  <c r="BP6" i="9"/>
  <c r="R14" i="12"/>
  <c r="R15" i="12" s="1"/>
  <c r="BP48" i="9"/>
  <c r="BP45" i="9" s="1"/>
  <c r="Q7" i="12"/>
  <c r="AV63" i="9"/>
  <c r="AV214" i="9"/>
  <c r="AV112" i="9" s="1"/>
  <c r="AV67" i="8"/>
  <c r="AV66" i="8"/>
  <c r="AV68" i="8" s="1"/>
  <c r="BQ127" i="9" l="1"/>
  <c r="BQ122" i="9"/>
  <c r="BQ106" i="9"/>
  <c r="BR220" i="8"/>
  <c r="BU142" i="8"/>
  <c r="BS141" i="8"/>
  <c r="BS36" i="8"/>
  <c r="BR38" i="8"/>
  <c r="R6" i="12"/>
  <c r="R7" i="12" s="1"/>
  <c r="BR8" i="8"/>
  <c r="BR33" i="8"/>
  <c r="BT211" i="8"/>
  <c r="BU213" i="8"/>
  <c r="BU211" i="8" s="1"/>
  <c r="BS212" i="8"/>
  <c r="BS70" i="8"/>
  <c r="BS65" i="8" s="1"/>
  <c r="BS219" i="8"/>
  <c r="BS220" i="8" s="1"/>
  <c r="AW146" i="9"/>
  <c r="BT84" i="8"/>
  <c r="BT82" i="8"/>
  <c r="AW188" i="9"/>
  <c r="AX56" i="9"/>
  <c r="Q4" i="12"/>
  <c r="Q8" i="12"/>
  <c r="AX191" i="9"/>
  <c r="BO103" i="9"/>
  <c r="BO123" i="9"/>
  <c r="AX193" i="9"/>
  <c r="AX66" i="9"/>
  <c r="AX209" i="9"/>
  <c r="BO207" i="9"/>
  <c r="AX69" i="9"/>
  <c r="BO107" i="9"/>
  <c r="BO165" i="9" s="1"/>
  <c r="AX147" i="9"/>
  <c r="AX189" i="9"/>
  <c r="BO100" i="9"/>
  <c r="Q21" i="12"/>
  <c r="Q22" i="12" s="1"/>
  <c r="BO12" i="9"/>
  <c r="BP13" i="9"/>
  <c r="BP11" i="9" s="1"/>
  <c r="BR72" i="8"/>
  <c r="BR71" i="8"/>
  <c r="R23" i="12"/>
  <c r="BR221" i="8"/>
  <c r="BR224" i="8"/>
  <c r="AX148" i="9"/>
  <c r="AX192" i="9"/>
  <c r="BO119" i="9"/>
  <c r="BO172" i="9" s="1"/>
  <c r="BP172" i="9" s="1"/>
  <c r="BQ172" i="9" s="1"/>
  <c r="BR172" i="9" s="1"/>
  <c r="BS172" i="9" s="1"/>
  <c r="AX190" i="9"/>
  <c r="BO102" i="9"/>
  <c r="BO171" i="9" s="1"/>
  <c r="BP171" i="9" s="1"/>
  <c r="BQ171" i="9" s="1"/>
  <c r="BR171" i="9" s="1"/>
  <c r="BS171" i="9" s="1"/>
  <c r="BO56" i="9"/>
  <c r="Q27" i="12"/>
  <c r="BT209" i="8"/>
  <c r="BS207" i="8"/>
  <c r="BR208" i="8"/>
  <c r="BR61" i="8"/>
  <c r="BR204" i="8"/>
  <c r="BU216" i="8"/>
  <c r="BU162" i="8"/>
  <c r="BU171" i="8"/>
  <c r="BU57" i="8"/>
  <c r="BU153" i="8"/>
  <c r="BR5" i="9"/>
  <c r="BR260" i="9" s="1"/>
  <c r="BR245" i="9" s="1"/>
  <c r="BT58" i="8"/>
  <c r="BT75" i="8"/>
  <c r="BQ48" i="9"/>
  <c r="BQ45" i="9" s="1"/>
  <c r="S14" i="12"/>
  <c r="S15" i="12" s="1"/>
  <c r="BQ6" i="9"/>
  <c r="BO178" i="9"/>
  <c r="BP178" i="9" s="1"/>
  <c r="BQ178" i="9" s="1"/>
  <c r="AV210" i="9"/>
  <c r="AV149" i="9"/>
  <c r="AV145" i="9" s="1"/>
  <c r="BR106" i="9" l="1"/>
  <c r="BR122" i="9"/>
  <c r="BR127" i="9"/>
  <c r="AW65" i="9"/>
  <c r="AW187" i="9" s="1"/>
  <c r="AW174" i="9"/>
  <c r="BT36" i="8"/>
  <c r="BT141" i="8"/>
  <c r="BS38" i="8"/>
  <c r="S6" i="12"/>
  <c r="S7" i="12" s="1"/>
  <c r="BS8" i="8"/>
  <c r="BS697" i="8" s="1"/>
  <c r="BS33" i="8"/>
  <c r="BP3" i="9"/>
  <c r="R3" i="12"/>
  <c r="BR697" i="8"/>
  <c r="BR9" i="8"/>
  <c r="BR37" i="8"/>
  <c r="BR54" i="8"/>
  <c r="BR34" i="8"/>
  <c r="BT212" i="8"/>
  <c r="BT70" i="8"/>
  <c r="BT65" i="8" s="1"/>
  <c r="BT219" i="8"/>
  <c r="BT220" i="8" s="1"/>
  <c r="BS71" i="8"/>
  <c r="BS72" i="8"/>
  <c r="S23" i="12"/>
  <c r="BQ13" i="9"/>
  <c r="BQ11" i="9" s="1"/>
  <c r="BS221" i="8"/>
  <c r="BU212" i="8"/>
  <c r="BU219" i="8"/>
  <c r="BU70" i="8"/>
  <c r="BU84" i="8"/>
  <c r="BU82" i="8"/>
  <c r="BO176" i="9"/>
  <c r="BP176" i="9" s="1"/>
  <c r="BQ176" i="9" s="1"/>
  <c r="BR176" i="9" s="1"/>
  <c r="BS176" i="9" s="1"/>
  <c r="BO148" i="9"/>
  <c r="Q66" i="12"/>
  <c r="Q78" i="12"/>
  <c r="BO208" i="9"/>
  <c r="BO66" i="9"/>
  <c r="BO209" i="9"/>
  <c r="BO69" i="9"/>
  <c r="BO177" i="9"/>
  <c r="BP177" i="9" s="1"/>
  <c r="BO147" i="9"/>
  <c r="BO170" i="9"/>
  <c r="R21" i="12"/>
  <c r="R22" i="12" s="1"/>
  <c r="BP12" i="9"/>
  <c r="BR226" i="8"/>
  <c r="BR225" i="8"/>
  <c r="BU209" i="8"/>
  <c r="BU207" i="8" s="1"/>
  <c r="BT207" i="8"/>
  <c r="BS224" i="8"/>
  <c r="BS204" i="8"/>
  <c r="BS205" i="8" s="1"/>
  <c r="BS61" i="8"/>
  <c r="BS208" i="8"/>
  <c r="BR63" i="8"/>
  <c r="BP8" i="9"/>
  <c r="BR62" i="8"/>
  <c r="BR59" i="8"/>
  <c r="BP7" i="9" s="1"/>
  <c r="BP102" i="9" s="1"/>
  <c r="BU36" i="8"/>
  <c r="BU141" i="8"/>
  <c r="BU75" i="8"/>
  <c r="BS5" i="9"/>
  <c r="BS260" i="9" s="1"/>
  <c r="BS245" i="9" s="1"/>
  <c r="BU58" i="8"/>
  <c r="BR48" i="9"/>
  <c r="BR45" i="9" s="1"/>
  <c r="T14" i="12"/>
  <c r="T15" i="12" s="1"/>
  <c r="BR6" i="9"/>
  <c r="BR178" i="9"/>
  <c r="AX188" i="9"/>
  <c r="AX146" i="9"/>
  <c r="AV93" i="8"/>
  <c r="AW92" i="8" s="1"/>
  <c r="BS127" i="9" l="1"/>
  <c r="BS122" i="9"/>
  <c r="BS106" i="9"/>
  <c r="BU220" i="8"/>
  <c r="BU71" i="8"/>
  <c r="BU65" i="8"/>
  <c r="BT38" i="8"/>
  <c r="BT8" i="8"/>
  <c r="BT33" i="8"/>
  <c r="T6" i="12"/>
  <c r="T7" i="12" s="1"/>
  <c r="BS9" i="8"/>
  <c r="S3" i="12"/>
  <c r="BQ3" i="9"/>
  <c r="BS37" i="8"/>
  <c r="BS54" i="8"/>
  <c r="BS34" i="8"/>
  <c r="BP103" i="9"/>
  <c r="BP123" i="9"/>
  <c r="BP104" i="9"/>
  <c r="BP124" i="9"/>
  <c r="BP207" i="9"/>
  <c r="R4" i="12"/>
  <c r="R8" i="12"/>
  <c r="BR55" i="8"/>
  <c r="BP4" i="9"/>
  <c r="BT224" i="8"/>
  <c r="BT221" i="8"/>
  <c r="S21" i="12"/>
  <c r="S22" i="12" s="1"/>
  <c r="BQ12" i="9"/>
  <c r="BT71" i="8"/>
  <c r="T23" i="12"/>
  <c r="BT72" i="8"/>
  <c r="BR13" i="9"/>
  <c r="BR11" i="9" s="1"/>
  <c r="BO146" i="9"/>
  <c r="BO65" i="9" s="1"/>
  <c r="BU221" i="8"/>
  <c r="BU72" i="8"/>
  <c r="BS13" i="9"/>
  <c r="BS11" i="9" s="1"/>
  <c r="U23" i="12"/>
  <c r="BP107" i="9"/>
  <c r="BP165" i="9" s="1"/>
  <c r="BQ177" i="9"/>
  <c r="BO168" i="9"/>
  <c r="Q80" i="12" s="1"/>
  <c r="BP170" i="9"/>
  <c r="BU204" i="8"/>
  <c r="BU205" i="8" s="1"/>
  <c r="BU208" i="8"/>
  <c r="BU224" i="8"/>
  <c r="BU61" i="8"/>
  <c r="BT204" i="8"/>
  <c r="BT205" i="8" s="1"/>
  <c r="BT208" i="8"/>
  <c r="BT61" i="8"/>
  <c r="BS226" i="8"/>
  <c r="BS225" i="8"/>
  <c r="BS62" i="8"/>
  <c r="BS59" i="8"/>
  <c r="BQ7" i="9" s="1"/>
  <c r="BQ8" i="9"/>
  <c r="BS63" i="8"/>
  <c r="BP21" i="9"/>
  <c r="R18" i="12"/>
  <c r="R19" i="12" s="1"/>
  <c r="BP9" i="9"/>
  <c r="BP119" i="9"/>
  <c r="R17" i="12"/>
  <c r="BU8" i="8"/>
  <c r="BU38" i="8"/>
  <c r="U6" i="12"/>
  <c r="BU33" i="8"/>
  <c r="BS6" i="9"/>
  <c r="BS48" i="9"/>
  <c r="BS45" i="9" s="1"/>
  <c r="U14" i="12"/>
  <c r="BS178" i="9"/>
  <c r="AX174" i="9"/>
  <c r="AX65" i="9"/>
  <c r="AX187" i="9" s="1"/>
  <c r="AW63" i="9"/>
  <c r="AW214" i="9"/>
  <c r="AW112" i="9" s="1"/>
  <c r="AW66" i="8"/>
  <c r="AW68" i="8" s="1"/>
  <c r="AW67" i="8"/>
  <c r="BP148" i="9" l="1"/>
  <c r="BP69" i="9"/>
  <c r="BQ103" i="9"/>
  <c r="BQ123" i="9"/>
  <c r="BQ104" i="9"/>
  <c r="BQ124" i="9"/>
  <c r="U7" i="12"/>
  <c r="BT9" i="8"/>
  <c r="BT697" i="8"/>
  <c r="T3" i="12"/>
  <c r="BR3" i="9"/>
  <c r="BT37" i="8"/>
  <c r="BT54" i="8"/>
  <c r="BT34" i="8"/>
  <c r="S4" i="12"/>
  <c r="S8" i="12"/>
  <c r="BQ207" i="9"/>
  <c r="BQ4" i="9"/>
  <c r="BS55" i="8"/>
  <c r="R78" i="12"/>
  <c r="BP66" i="9"/>
  <c r="R66" i="12"/>
  <c r="BP209" i="9"/>
  <c r="BO174" i="9"/>
  <c r="Q79" i="12"/>
  <c r="BT226" i="8"/>
  <c r="BT225" i="8"/>
  <c r="T21" i="12"/>
  <c r="T22" i="12" s="1"/>
  <c r="BR12" i="9"/>
  <c r="U21" i="12"/>
  <c r="U22" i="12" s="1"/>
  <c r="BS12" i="9"/>
  <c r="BP100" i="9"/>
  <c r="BP147" i="9" s="1"/>
  <c r="BQ170" i="9"/>
  <c r="BP168" i="9"/>
  <c r="R80" i="12" s="1"/>
  <c r="BU225" i="8"/>
  <c r="BU226" i="8"/>
  <c r="BU62" i="8"/>
  <c r="BU63" i="8"/>
  <c r="BS8" i="9"/>
  <c r="BU59" i="8"/>
  <c r="BS7" i="9" s="1"/>
  <c r="BR8" i="9"/>
  <c r="BT63" i="8"/>
  <c r="BT62" i="8"/>
  <c r="BT59" i="8"/>
  <c r="BR7" i="9" s="1"/>
  <c r="S17" i="12"/>
  <c r="BQ102" i="9"/>
  <c r="BQ119" i="9"/>
  <c r="BQ21" i="9"/>
  <c r="BQ9" i="9"/>
  <c r="S18" i="12"/>
  <c r="S19" i="12" s="1"/>
  <c r="R27" i="12"/>
  <c r="BP56" i="9"/>
  <c r="BU37" i="8"/>
  <c r="BS3" i="9"/>
  <c r="U3" i="12"/>
  <c r="BU9" i="8"/>
  <c r="BU697" i="8"/>
  <c r="BU34" i="8"/>
  <c r="BU54" i="8"/>
  <c r="U15" i="12"/>
  <c r="BQ107" i="9"/>
  <c r="BQ165" i="9" s="1"/>
  <c r="BR177" i="9"/>
  <c r="AW210" i="9"/>
  <c r="AW149" i="9"/>
  <c r="AW145" i="9" s="1"/>
  <c r="BP146" i="9" l="1"/>
  <c r="BP65" i="9" s="1"/>
  <c r="BQ69" i="9"/>
  <c r="BQ148" i="9"/>
  <c r="S66" i="12"/>
  <c r="BQ66" i="9"/>
  <c r="S78" i="12"/>
  <c r="BQ209" i="9"/>
  <c r="T4" i="12"/>
  <c r="T8" i="12"/>
  <c r="BR123" i="9"/>
  <c r="BS123" i="9" s="1"/>
  <c r="BR103" i="9"/>
  <c r="BS103" i="9" s="1"/>
  <c r="BR104" i="9"/>
  <c r="BS104" i="9" s="1"/>
  <c r="BR207" i="9"/>
  <c r="BR124" i="9"/>
  <c r="BS124" i="9" s="1"/>
  <c r="BT55" i="8"/>
  <c r="BR4" i="9"/>
  <c r="BQ100" i="9"/>
  <c r="BQ147" i="9" s="1"/>
  <c r="BR170" i="9"/>
  <c r="BQ168" i="9"/>
  <c r="S80" i="12" s="1"/>
  <c r="BS21" i="9"/>
  <c r="BS9" i="9"/>
  <c r="U18" i="12"/>
  <c r="U19" i="12" s="1"/>
  <c r="BS102" i="9"/>
  <c r="U17" i="12"/>
  <c r="BS119" i="9"/>
  <c r="BR21" i="9"/>
  <c r="T18" i="12"/>
  <c r="T19" i="12" s="1"/>
  <c r="BR9" i="9"/>
  <c r="BR119" i="9"/>
  <c r="T17" i="12"/>
  <c r="BR102" i="9"/>
  <c r="S27" i="12"/>
  <c r="BQ56" i="9"/>
  <c r="BS207" i="9"/>
  <c r="U8" i="12"/>
  <c r="U4" i="12"/>
  <c r="BS4" i="9"/>
  <c r="BU55" i="8"/>
  <c r="BS177" i="9"/>
  <c r="BS107" i="9" s="1"/>
  <c r="BS165" i="9" s="1"/>
  <c r="BR107" i="9"/>
  <c r="BR165" i="9" s="1"/>
  <c r="AW93" i="8"/>
  <c r="BQ146" i="9" l="1"/>
  <c r="BS148" i="9"/>
  <c r="BR148" i="9"/>
  <c r="BR69" i="9"/>
  <c r="T66" i="12"/>
  <c r="T78" i="12"/>
  <c r="BR66" i="9"/>
  <c r="BR209" i="9"/>
  <c r="R79" i="12"/>
  <c r="BP174" i="9"/>
  <c r="BR100" i="9"/>
  <c r="BR147" i="9" s="1"/>
  <c r="BS170" i="9"/>
  <c r="BR168" i="9"/>
  <c r="T80" i="12" s="1"/>
  <c r="U27" i="12"/>
  <c r="BS56" i="9"/>
  <c r="T27" i="12"/>
  <c r="BR56" i="9"/>
  <c r="U78" i="12"/>
  <c r="BS209" i="9"/>
  <c r="BS66" i="9"/>
  <c r="U66" i="12"/>
  <c r="AX67" i="8"/>
  <c r="AX66" i="8"/>
  <c r="AX68" i="8" s="1"/>
  <c r="BR146" i="9" l="1"/>
  <c r="BS69" i="9"/>
  <c r="BQ174" i="9"/>
  <c r="BQ65" i="9"/>
  <c r="S79" i="12"/>
  <c r="BS100" i="9"/>
  <c r="BS147" i="9" s="1"/>
  <c r="BS146" i="9" s="1"/>
  <c r="BS168" i="9"/>
  <c r="U80" i="12" s="1"/>
  <c r="T79" i="12" l="1"/>
  <c r="BR174" i="9"/>
  <c r="BR65" i="9"/>
  <c r="BS65" i="9"/>
  <c r="BS174" i="9"/>
  <c r="U79" i="12"/>
  <c r="AU27" i="9" l="1"/>
  <c r="AV27" i="9"/>
  <c r="AW27" i="9"/>
  <c r="AX27" i="9"/>
  <c r="BO27" i="9" l="1"/>
  <c r="BO280" i="9" s="1"/>
  <c r="BO292" i="9" l="1"/>
  <c r="BO293" i="9" s="1"/>
  <c r="BO295" i="9" s="1"/>
  <c r="AV114" i="9" l="1"/>
  <c r="AV111" i="9" s="1"/>
  <c r="AU114" i="9"/>
  <c r="AU111" i="9" s="1"/>
  <c r="AW114" i="9"/>
  <c r="AW111" i="9" s="1"/>
  <c r="AU110" i="8"/>
  <c r="BQ110" i="8" s="1"/>
  <c r="AV110" i="8"/>
  <c r="BP97" i="8"/>
  <c r="AW110" i="8"/>
  <c r="AX114" i="9"/>
  <c r="AX110" i="8"/>
  <c r="AU218" i="9"/>
  <c r="AX218" i="9"/>
  <c r="AV218" i="9"/>
  <c r="AW218" i="9"/>
  <c r="AV89" i="8"/>
  <c r="AW89" i="8"/>
  <c r="AW115" i="8" s="1"/>
  <c r="AW116" i="8" s="1"/>
  <c r="AW117" i="8" s="1"/>
  <c r="BP105" i="8" l="1"/>
  <c r="BQ96" i="8"/>
  <c r="BO218" i="9" s="1"/>
  <c r="BP111" i="8"/>
  <c r="BQ111" i="8"/>
  <c r="BR111" i="8" s="1"/>
  <c r="BN114" i="9"/>
  <c r="AT111" i="9"/>
  <c r="BN111" i="9" s="1"/>
  <c r="BO114" i="9"/>
  <c r="AU569" i="8"/>
  <c r="AU228" i="8"/>
  <c r="AU494" i="8" s="1"/>
  <c r="AU212" i="9"/>
  <c r="BR98" i="8"/>
  <c r="AU115" i="8"/>
  <c r="AU90" i="8"/>
  <c r="AW90" i="8"/>
  <c r="AW228" i="8"/>
  <c r="AW569" i="8"/>
  <c r="AW121" i="8"/>
  <c r="AW122" i="8" s="1"/>
  <c r="AW123" i="8" s="1"/>
  <c r="AW23" i="9"/>
  <c r="AW24" i="9" s="1"/>
  <c r="AW212" i="9"/>
  <c r="AW129" i="8"/>
  <c r="AV129" i="8"/>
  <c r="AV228" i="8"/>
  <c r="AV212" i="9"/>
  <c r="AV115" i="8"/>
  <c r="AV90" i="8"/>
  <c r="AV569" i="8"/>
  <c r="BR105" i="8" l="1"/>
  <c r="BS105" i="8" s="1"/>
  <c r="BQ107" i="8"/>
  <c r="BR107" i="8" s="1"/>
  <c r="BS111" i="8"/>
  <c r="BR96" i="8"/>
  <c r="BP218" i="9" s="1"/>
  <c r="BS98" i="8"/>
  <c r="AT366" i="9"/>
  <c r="AU113" i="8"/>
  <c r="AU112" i="8"/>
  <c r="AU573" i="8"/>
  <c r="AU570" i="8"/>
  <c r="AU131" i="8"/>
  <c r="AU17" i="9"/>
  <c r="AU55" i="9" s="1"/>
  <c r="AU53" i="9" s="1"/>
  <c r="AU52" i="9" s="1"/>
  <c r="AU185" i="9" s="1"/>
  <c r="AU233" i="8"/>
  <c r="AU229" i="8"/>
  <c r="AU395" i="8"/>
  <c r="AU230" i="8"/>
  <c r="AU440" i="8"/>
  <c r="AU219" i="9"/>
  <c r="AU216" i="9"/>
  <c r="AU217" i="9" s="1"/>
  <c r="AU215" i="9"/>
  <c r="AU121" i="8"/>
  <c r="AU122" i="8" s="1"/>
  <c r="AU123" i="8" s="1"/>
  <c r="AU23" i="9"/>
  <c r="AU24" i="9" s="1"/>
  <c r="AU116" i="8"/>
  <c r="AU117" i="8" s="1"/>
  <c r="AW440" i="8"/>
  <c r="AW395" i="8"/>
  <c r="AW229" i="8"/>
  <c r="AW230" i="8"/>
  <c r="AW494" i="8"/>
  <c r="AW233" i="8"/>
  <c r="AW573" i="8"/>
  <c r="AW570" i="8"/>
  <c r="AW17" i="9"/>
  <c r="AW55" i="9" s="1"/>
  <c r="AW53" i="9" s="1"/>
  <c r="AW52" i="9" s="1"/>
  <c r="AW185" i="9" s="1"/>
  <c r="AW131" i="8"/>
  <c r="AW215" i="9"/>
  <c r="AW216" i="9"/>
  <c r="AW217" i="9" s="1"/>
  <c r="AW219" i="9"/>
  <c r="AV131" i="8"/>
  <c r="AV17" i="9"/>
  <c r="AV440" i="8"/>
  <c r="AV494" i="8"/>
  <c r="AV229" i="8"/>
  <c r="AV230" i="8"/>
  <c r="AV233" i="8"/>
  <c r="AV395" i="8"/>
  <c r="AV215" i="9"/>
  <c r="AV219" i="9"/>
  <c r="AV216" i="9"/>
  <c r="AV217" i="9" s="1"/>
  <c r="AV121" i="8"/>
  <c r="AV116" i="8"/>
  <c r="AV117" i="8" s="1"/>
  <c r="AV23" i="9"/>
  <c r="AV24" i="9" s="1"/>
  <c r="AV573" i="8"/>
  <c r="AV570" i="8"/>
  <c r="AU496" i="8"/>
  <c r="AU498" i="8"/>
  <c r="AU495" i="8"/>
  <c r="BS97" i="8" l="1"/>
  <c r="BQ114" i="9" s="1"/>
  <c r="BT105" i="8"/>
  <c r="BT97" i="8" s="1"/>
  <c r="BR114" i="9" s="1"/>
  <c r="BR106" i="8"/>
  <c r="BS107" i="8"/>
  <c r="BR97" i="8"/>
  <c r="BU105" i="8"/>
  <c r="BU97" i="8" s="1"/>
  <c r="BS114" i="9" s="1"/>
  <c r="BS96" i="8"/>
  <c r="BT98" i="8"/>
  <c r="BS110" i="8"/>
  <c r="BT111" i="8"/>
  <c r="BN132" i="9"/>
  <c r="BQ113" i="8"/>
  <c r="AU132" i="9"/>
  <c r="AV113" i="8"/>
  <c r="AT365" i="9"/>
  <c r="AT367" i="9" s="1"/>
  <c r="BN118" i="9"/>
  <c r="BQ112" i="8"/>
  <c r="AV112" i="8"/>
  <c r="AU118" i="9"/>
  <c r="AW396" i="8"/>
  <c r="AW399" i="8"/>
  <c r="AU235" i="8"/>
  <c r="AU236" i="8" s="1"/>
  <c r="AU234" i="8"/>
  <c r="AU238" i="8"/>
  <c r="AU396" i="8"/>
  <c r="AU399" i="8"/>
  <c r="AU441" i="8"/>
  <c r="AU444" i="8"/>
  <c r="AU574" i="8"/>
  <c r="AU575" i="8"/>
  <c r="AW444" i="8"/>
  <c r="AW441" i="8"/>
  <c r="AW498" i="8"/>
  <c r="AW496" i="8"/>
  <c r="AW495" i="8"/>
  <c r="AW238" i="8"/>
  <c r="AW234" i="8"/>
  <c r="AW235" i="8"/>
  <c r="AW236" i="8" s="1"/>
  <c r="AW575" i="8"/>
  <c r="AW574" i="8"/>
  <c r="AV444" i="8"/>
  <c r="AV441" i="8"/>
  <c r="AV496" i="8"/>
  <c r="AV498" i="8"/>
  <c r="AV495" i="8"/>
  <c r="AV235" i="8"/>
  <c r="AV236" i="8" s="1"/>
  <c r="AV234" i="8"/>
  <c r="AV238" i="8"/>
  <c r="AV396" i="8"/>
  <c r="AV399" i="8"/>
  <c r="AV122" i="8"/>
  <c r="AV123" i="8" s="1"/>
  <c r="AV575" i="8"/>
  <c r="AV574" i="8"/>
  <c r="AV55" i="9"/>
  <c r="AV53" i="9" s="1"/>
  <c r="AV52" i="9" s="1"/>
  <c r="AV185" i="9" s="1"/>
  <c r="AU499" i="8"/>
  <c r="AU500" i="8"/>
  <c r="AU501" i="8" s="1"/>
  <c r="AU503" i="8"/>
  <c r="BP114" i="9" l="1"/>
  <c r="BR110" i="8"/>
  <c r="BR113" i="8" s="1"/>
  <c r="BS106" i="8"/>
  <c r="BT107" i="8"/>
  <c r="BQ218" i="9"/>
  <c r="BT96" i="8"/>
  <c r="BU98" i="8"/>
  <c r="BU96" i="8" s="1"/>
  <c r="BT110" i="8"/>
  <c r="BU111" i="8"/>
  <c r="BU110" i="8" s="1"/>
  <c r="BN365" i="9"/>
  <c r="BN366" i="9"/>
  <c r="BN164" i="9"/>
  <c r="AU366" i="9"/>
  <c r="AU164" i="9"/>
  <c r="AV132" i="9"/>
  <c r="AW113" i="8"/>
  <c r="AV118" i="9"/>
  <c r="AW112" i="8"/>
  <c r="AU365" i="9"/>
  <c r="AW400" i="8"/>
  <c r="AW401" i="8"/>
  <c r="AW402" i="8" s="1"/>
  <c r="AU240" i="8"/>
  <c r="AU241" i="8" s="1"/>
  <c r="AU243" i="8"/>
  <c r="AU239" i="8"/>
  <c r="AU400" i="8"/>
  <c r="AU401" i="8"/>
  <c r="AU402" i="8" s="1"/>
  <c r="AU445" i="8"/>
  <c r="AU446" i="8"/>
  <c r="AU447" i="8" s="1"/>
  <c r="AW445" i="8"/>
  <c r="AW446" i="8"/>
  <c r="AW447" i="8" s="1"/>
  <c r="BR67" i="8"/>
  <c r="BR86" i="8"/>
  <c r="BR66" i="8"/>
  <c r="AT368" i="9"/>
  <c r="AT362" i="9" s="1"/>
  <c r="AW500" i="8"/>
  <c r="AW501" i="8" s="1"/>
  <c r="AW503" i="8"/>
  <c r="AW499" i="8"/>
  <c r="AW243" i="8"/>
  <c r="AW240" i="8"/>
  <c r="AW241" i="8" s="1"/>
  <c r="AW239" i="8"/>
  <c r="AV446" i="8"/>
  <c r="AV447" i="8" s="1"/>
  <c r="AV445" i="8"/>
  <c r="AV500" i="8"/>
  <c r="AV501" i="8" s="1"/>
  <c r="AV499" i="8"/>
  <c r="AV503" i="8"/>
  <c r="AV240" i="8"/>
  <c r="AV241" i="8" s="1"/>
  <c r="AV243" i="8"/>
  <c r="AV239" i="8"/>
  <c r="AV401" i="8"/>
  <c r="AV402" i="8" s="1"/>
  <c r="AV400" i="8"/>
  <c r="AU505" i="8"/>
  <c r="AU506" i="8" s="1"/>
  <c r="AU504" i="8"/>
  <c r="BP132" i="9" l="1"/>
  <c r="BS113" i="8"/>
  <c r="BT113" i="8" s="1"/>
  <c r="BT106" i="8"/>
  <c r="BU107" i="8"/>
  <c r="BU106" i="8" s="1"/>
  <c r="BR112" i="8"/>
  <c r="BN367" i="9"/>
  <c r="BN368" i="9" s="1"/>
  <c r="BR218" i="9"/>
  <c r="BS218" i="9"/>
  <c r="AU367" i="9"/>
  <c r="AU368" i="9" s="1"/>
  <c r="AU362" i="9" s="1"/>
  <c r="AU29" i="9" s="1"/>
  <c r="AV365" i="9"/>
  <c r="AW118" i="9"/>
  <c r="AX112" i="8"/>
  <c r="AX118" i="9" s="1"/>
  <c r="BP366" i="9"/>
  <c r="BQ132" i="9"/>
  <c r="AV164" i="9"/>
  <c r="AV366" i="9"/>
  <c r="AX113" i="8"/>
  <c r="AX132" i="9" s="1"/>
  <c r="AW132" i="9"/>
  <c r="AU245" i="8"/>
  <c r="AU246" i="8" s="1"/>
  <c r="AU244" i="8"/>
  <c r="BR133" i="8"/>
  <c r="BN29" i="9"/>
  <c r="AW505" i="8"/>
  <c r="AW506" i="8" s="1"/>
  <c r="AW504" i="8"/>
  <c r="AW244" i="8"/>
  <c r="AW245" i="8"/>
  <c r="AW246" i="8" s="1"/>
  <c r="AV505" i="8"/>
  <c r="AV506" i="8" s="1"/>
  <c r="AV504" i="8"/>
  <c r="AV245" i="8"/>
  <c r="AV246" i="8" s="1"/>
  <c r="AV244" i="8"/>
  <c r="BP118" i="9" l="1"/>
  <c r="BS112" i="8"/>
  <c r="BS67" i="8"/>
  <c r="BS86" i="8"/>
  <c r="BS66" i="8"/>
  <c r="AV367" i="9"/>
  <c r="AV368" i="9" s="1"/>
  <c r="AV362" i="9" s="1"/>
  <c r="AV29" i="9" s="1"/>
  <c r="AU57" i="9"/>
  <c r="AU58" i="9" s="1"/>
  <c r="AU59" i="9" s="1"/>
  <c r="AU62" i="9" s="1"/>
  <c r="AW365" i="9"/>
  <c r="BO118" i="9"/>
  <c r="AX365" i="9"/>
  <c r="BR132" i="9"/>
  <c r="BU113" i="8"/>
  <c r="BS132" i="9" s="1"/>
  <c r="BQ366" i="9"/>
  <c r="AX366" i="9"/>
  <c r="AX164" i="9"/>
  <c r="BO132" i="9"/>
  <c r="AW366" i="9"/>
  <c r="AW164" i="9"/>
  <c r="AT272" i="9"/>
  <c r="BN362" i="9"/>
  <c r="BN363" i="9" s="1"/>
  <c r="BN57" i="9"/>
  <c r="BN58" i="9" s="1"/>
  <c r="BT112" i="8" l="1"/>
  <c r="BQ118" i="9"/>
  <c r="BP365" i="9"/>
  <c r="BP367" i="9" s="1"/>
  <c r="BP164" i="9"/>
  <c r="BS133" i="8"/>
  <c r="BT86" i="8"/>
  <c r="BT67" i="8"/>
  <c r="BT66" i="8"/>
  <c r="BU86" i="8"/>
  <c r="BU66" i="8"/>
  <c r="BU67" i="8"/>
  <c r="BO365" i="9"/>
  <c r="AX367" i="9"/>
  <c r="AW367" i="9"/>
  <c r="BR366" i="9"/>
  <c r="BS366" i="9"/>
  <c r="BO164" i="9"/>
  <c r="BO366" i="9"/>
  <c r="BN59" i="9"/>
  <c r="BN62" i="9" s="1"/>
  <c r="AU68" i="9"/>
  <c r="AU272" i="9"/>
  <c r="AV57" i="9"/>
  <c r="AV58" i="9" s="1"/>
  <c r="AV59" i="9" s="1"/>
  <c r="AV62" i="9" s="1"/>
  <c r="BQ164" i="9" l="1"/>
  <c r="BQ365" i="9"/>
  <c r="BQ367" i="9" s="1"/>
  <c r="BQ368" i="9" s="1"/>
  <c r="BU112" i="8"/>
  <c r="BS118" i="9" s="1"/>
  <c r="BR118" i="9"/>
  <c r="BO367" i="9"/>
  <c r="BT133" i="8"/>
  <c r="BU133" i="8"/>
  <c r="AW368" i="9"/>
  <c r="AW362" i="9" s="1"/>
  <c r="AW29" i="9" s="1"/>
  <c r="AX368" i="9"/>
  <c r="AX362" i="9" s="1"/>
  <c r="AX29" i="9" s="1"/>
  <c r="BN272" i="9"/>
  <c r="P95" i="12" s="1"/>
  <c r="AV272" i="9"/>
  <c r="AV68" i="9"/>
  <c r="BR164" i="9" l="1"/>
  <c r="BR365" i="9"/>
  <c r="BR367" i="9" s="1"/>
  <c r="BR368" i="9" s="1"/>
  <c r="BS164" i="9"/>
  <c r="BS365" i="9"/>
  <c r="BS367" i="9" s="1"/>
  <c r="BS368" i="9" s="1"/>
  <c r="BP368" i="9"/>
  <c r="BO368" i="9"/>
  <c r="AW57" i="9"/>
  <c r="AX57" i="9"/>
  <c r="BO29" i="9"/>
  <c r="AX58" i="9" l="1"/>
  <c r="AX59" i="9" s="1"/>
  <c r="AW58" i="9"/>
  <c r="AW59" i="9" s="1"/>
  <c r="AW62" i="9" s="1"/>
  <c r="BO362" i="9"/>
  <c r="BO363" i="9" s="1"/>
  <c r="BO57" i="9"/>
  <c r="AX62" i="9" l="1"/>
  <c r="AW272" i="9"/>
  <c r="AW68" i="9"/>
  <c r="BP363" i="9"/>
  <c r="BO58" i="9"/>
  <c r="BO59" i="9" s="1"/>
  <c r="BO62" i="9" s="1"/>
  <c r="BP362" i="9" l="1"/>
  <c r="BP29" i="9" s="1"/>
  <c r="BQ363" i="9"/>
  <c r="BR363" i="9" s="1"/>
  <c r="BR362" i="9" s="1"/>
  <c r="BR29" i="9" s="1"/>
  <c r="BQ362" i="9" l="1"/>
  <c r="BQ29" i="9" s="1"/>
  <c r="BS363" i="9"/>
  <c r="BS362" i="9" s="1"/>
  <c r="BS29" i="9" s="1"/>
  <c r="BP57" i="9"/>
  <c r="BP58" i="9" s="1"/>
  <c r="BP59" i="9" s="1"/>
  <c r="BP62" i="9" s="1"/>
  <c r="BR26" i="9"/>
  <c r="BR57" i="9"/>
  <c r="BR58" i="9" s="1"/>
  <c r="BR59" i="9" s="1"/>
  <c r="BR62" i="9" s="1"/>
  <c r="BQ57" i="9" l="1"/>
  <c r="BQ58" i="9" s="1"/>
  <c r="BQ59" i="9" s="1"/>
  <c r="BQ62" i="9" s="1"/>
  <c r="BQ26" i="9"/>
  <c r="BS57" i="9"/>
  <c r="BS58" i="9" s="1"/>
  <c r="BS59" i="9" s="1"/>
  <c r="BS62" i="9" s="1"/>
  <c r="BS26" i="9"/>
  <c r="BR32" i="9"/>
  <c r="T28" i="12"/>
  <c r="BR71" i="9"/>
  <c r="T29" i="12" l="1"/>
  <c r="BR240" i="9"/>
  <c r="BR242" i="9" s="1"/>
  <c r="BR243" i="9" s="1"/>
  <c r="BS71" i="9"/>
  <c r="BQ71" i="9"/>
  <c r="BQ32" i="9"/>
  <c r="BQ240" i="9" s="1"/>
  <c r="BQ242" i="9" s="1"/>
  <c r="BQ243" i="9" s="1"/>
  <c r="S28" i="12"/>
  <c r="BS32" i="9"/>
  <c r="U28" i="12"/>
  <c r="C27" i="11"/>
  <c r="BQ256" i="9" l="1"/>
  <c r="BQ34" i="9" s="1"/>
  <c r="BQ35" i="9" s="1"/>
  <c r="BR256" i="9"/>
  <c r="BR34" i="9" s="1"/>
  <c r="BR35" i="9" s="1"/>
  <c r="U29" i="12"/>
  <c r="BS240" i="9"/>
  <c r="BS242" i="9" s="1"/>
  <c r="BS243" i="9" s="1"/>
  <c r="S29" i="12"/>
  <c r="BR257" i="9" l="1"/>
  <c r="BS256" i="9"/>
  <c r="BS34" i="9" s="1"/>
  <c r="BS35" i="9" s="1"/>
  <c r="BQ257" i="9"/>
  <c r="AU130" i="9"/>
  <c r="AU129" i="9" s="1"/>
  <c r="AV130" i="9"/>
  <c r="AV129" i="9" s="1"/>
  <c r="AW130" i="9"/>
  <c r="AW129" i="9" s="1"/>
  <c r="AX130" i="9"/>
  <c r="BO130" i="9" s="1"/>
  <c r="AX117" i="9"/>
  <c r="AX116" i="9" s="1"/>
  <c r="AU117" i="9"/>
  <c r="AU116" i="9" s="1"/>
  <c r="AU305" i="9"/>
  <c r="AU307" i="9" s="1"/>
  <c r="AU300" i="9" s="1"/>
  <c r="AU28" i="9" s="1"/>
  <c r="AU26" i="9" s="1"/>
  <c r="AT305" i="9"/>
  <c r="AT307" i="9" s="1"/>
  <c r="AT300" i="9" s="1"/>
  <c r="BN27" i="9" s="1"/>
  <c r="BN280" i="9" s="1"/>
  <c r="BN292" i="9" s="1"/>
  <c r="BN293" i="9" s="1"/>
  <c r="BN295" i="9" s="1"/>
  <c r="AV117" i="9"/>
  <c r="AV76" i="9" s="1"/>
  <c r="AV305" i="9"/>
  <c r="AV307" i="9" s="1"/>
  <c r="AV300" i="9" s="1"/>
  <c r="AV28" i="9" s="1"/>
  <c r="AV26" i="9" s="1"/>
  <c r="AW117" i="9"/>
  <c r="AW305" i="9"/>
  <c r="AW307" i="9" s="1"/>
  <c r="AW300" i="9" s="1"/>
  <c r="AW28" i="9" s="1"/>
  <c r="AW26" i="9" s="1"/>
  <c r="AU356" i="9"/>
  <c r="AU357" i="9" s="1"/>
  <c r="AT356" i="9"/>
  <c r="AT357" i="9" s="1"/>
  <c r="AV356" i="9"/>
  <c r="AV357" i="9" s="1"/>
  <c r="AX305" i="9"/>
  <c r="AX307" i="9" s="1"/>
  <c r="AX300" i="9" s="1"/>
  <c r="AX28" i="9" s="1"/>
  <c r="AW321" i="9"/>
  <c r="AW322" i="9" s="1"/>
  <c r="AW347" i="9" s="1"/>
  <c r="AV321" i="9"/>
  <c r="AV322" i="9" s="1"/>
  <c r="AV347" i="9" s="1"/>
  <c r="AX321" i="9"/>
  <c r="AX322" i="9" s="1"/>
  <c r="AX347" i="9" s="1"/>
  <c r="AT321" i="9"/>
  <c r="BN321" i="9" s="1"/>
  <c r="AU321" i="9"/>
  <c r="AU322" i="9" s="1"/>
  <c r="AW356" i="9"/>
  <c r="AW357" i="9" s="1"/>
  <c r="AX356" i="9"/>
  <c r="BS257" i="9" l="1"/>
  <c r="AV116" i="9"/>
  <c r="AW76" i="9"/>
  <c r="BO117" i="9"/>
  <c r="AU76" i="9"/>
  <c r="AT116" i="9"/>
  <c r="BN117" i="9"/>
  <c r="AX76" i="9"/>
  <c r="AW116" i="9"/>
  <c r="BN130" i="9"/>
  <c r="AT129" i="9"/>
  <c r="BN129" i="9" s="1"/>
  <c r="BO321" i="9"/>
  <c r="BP322" i="9" s="1"/>
  <c r="BP347" i="9" s="1"/>
  <c r="BN356" i="9"/>
  <c r="BN28" i="9"/>
  <c r="BN300" i="9" s="1"/>
  <c r="BN307" i="9" s="1"/>
  <c r="BA26" i="9"/>
  <c r="BO303" i="9"/>
  <c r="AX129" i="9"/>
  <c r="BO129" i="9" s="1"/>
  <c r="AT322" i="9"/>
  <c r="AT347" i="9" s="1"/>
  <c r="AU157" i="9"/>
  <c r="AU77" i="9"/>
  <c r="AV157" i="9"/>
  <c r="AV77" i="9"/>
  <c r="AW157" i="9"/>
  <c r="AW77" i="9"/>
  <c r="AX157" i="9"/>
  <c r="AX77" i="9"/>
  <c r="AX26" i="9"/>
  <c r="BO28" i="9"/>
  <c r="BO300" i="9" s="1"/>
  <c r="BO307" i="9" s="1"/>
  <c r="BO322" i="9"/>
  <c r="BO347" i="9" s="1"/>
  <c r="AU347" i="9"/>
  <c r="AV32" i="9"/>
  <c r="AV71" i="9"/>
  <c r="AU32" i="9"/>
  <c r="AU71" i="9"/>
  <c r="BO157" i="9"/>
  <c r="AW32" i="9"/>
  <c r="AW71" i="9"/>
  <c r="AX357" i="9"/>
  <c r="BO356" i="9"/>
  <c r="BO116" i="9" l="1"/>
  <c r="BO302" i="9"/>
  <c r="BP302" i="9" s="1"/>
  <c r="BN116" i="9"/>
  <c r="BN76" i="9"/>
  <c r="BN302" i="9"/>
  <c r="BO76" i="9"/>
  <c r="BN303" i="9"/>
  <c r="BN304" i="9" s="1"/>
  <c r="BN305" i="9" s="1"/>
  <c r="BN308" i="9" s="1"/>
  <c r="BN310" i="9" s="1"/>
  <c r="BN77" i="9"/>
  <c r="BO77" i="9"/>
  <c r="BN157" i="9"/>
  <c r="P74" i="12" s="1"/>
  <c r="BN26" i="9"/>
  <c r="BA32" i="9"/>
  <c r="BO26" i="9"/>
  <c r="AX71" i="9"/>
  <c r="AX32" i="9"/>
  <c r="C7" i="11"/>
  <c r="Q74" i="12"/>
  <c r="BP117" i="9" l="1"/>
  <c r="BP303" i="9"/>
  <c r="BP130" i="9" s="1"/>
  <c r="BQ302" i="9"/>
  <c r="BO304" i="9"/>
  <c r="BP305" i="9" s="1"/>
  <c r="BP307" i="9" s="1"/>
  <c r="BP300" i="9" s="1"/>
  <c r="BP28" i="9" s="1"/>
  <c r="BP26" i="9" s="1"/>
  <c r="BP71" i="9" s="1"/>
  <c r="P28" i="12"/>
  <c r="H188" i="12" s="1"/>
  <c r="J188" i="12" s="1"/>
  <c r="BN71" i="9"/>
  <c r="BA34" i="9"/>
  <c r="BN32" i="9"/>
  <c r="Q28" i="12"/>
  <c r="BO71" i="9"/>
  <c r="BO32" i="9"/>
  <c r="R28" i="12" l="1"/>
  <c r="Q29" i="12"/>
  <c r="BO240" i="9"/>
  <c r="BO242" i="9" s="1"/>
  <c r="BO243" i="9" s="1"/>
  <c r="BP32" i="9"/>
  <c r="P29" i="12"/>
  <c r="BN240" i="9"/>
  <c r="BQ117" i="9"/>
  <c r="BR302" i="9"/>
  <c r="BQ303" i="9"/>
  <c r="BQ130" i="9" s="1"/>
  <c r="BP129" i="9"/>
  <c r="BP77" i="9"/>
  <c r="BP116" i="9"/>
  <c r="BP157" i="9"/>
  <c r="R74" i="12" s="1"/>
  <c r="BP76" i="9"/>
  <c r="BO305" i="9"/>
  <c r="BO308" i="9" s="1"/>
  <c r="BO310" i="9" s="1"/>
  <c r="BA37" i="9"/>
  <c r="BN34" i="9"/>
  <c r="P36" i="12" s="1"/>
  <c r="BO256" i="9" l="1"/>
  <c r="BO34" i="9" s="1"/>
  <c r="BO72" i="9" s="1"/>
  <c r="BN37" i="9"/>
  <c r="R29" i="12"/>
  <c r="BP240" i="9"/>
  <c r="BP242" i="9" s="1"/>
  <c r="BP243" i="9" s="1"/>
  <c r="P37" i="12"/>
  <c r="BQ129" i="9"/>
  <c r="BQ77" i="9"/>
  <c r="BR303" i="9"/>
  <c r="BR130" i="9" s="1"/>
  <c r="BR117" i="9"/>
  <c r="BS302" i="9"/>
  <c r="BQ116" i="9"/>
  <c r="BQ76" i="9"/>
  <c r="BQ157" i="9"/>
  <c r="S74" i="12" s="1"/>
  <c r="BN35" i="9"/>
  <c r="P34" i="12" s="1"/>
  <c r="P31" i="12"/>
  <c r="P32" i="12" s="1"/>
  <c r="BN72" i="9"/>
  <c r="AT42" i="9"/>
  <c r="BA42" i="9" s="1"/>
  <c r="Q31" i="12" l="1"/>
  <c r="Q32" i="12" s="1"/>
  <c r="BO37" i="9"/>
  <c r="BO38" i="9" s="1"/>
  <c r="Q36" i="12"/>
  <c r="Q37" i="12" s="1"/>
  <c r="BO35" i="9"/>
  <c r="AX35" i="9" s="1"/>
  <c r="AX34" i="9" s="1"/>
  <c r="BO257" i="9"/>
  <c r="BP256" i="9"/>
  <c r="BP34" i="9" s="1"/>
  <c r="BP35" i="9" s="1"/>
  <c r="R34" i="12" s="1"/>
  <c r="BR77" i="9"/>
  <c r="BR129" i="9"/>
  <c r="BS117" i="9"/>
  <c r="BS303" i="9"/>
  <c r="BS130" i="9" s="1"/>
  <c r="BR116" i="9"/>
  <c r="BR157" i="9"/>
  <c r="T74" i="12" s="1"/>
  <c r="BR76" i="9"/>
  <c r="BN38" i="9"/>
  <c r="BN42" i="9"/>
  <c r="P38" i="12" s="1"/>
  <c r="J189" i="12"/>
  <c r="J190" i="12" s="1"/>
  <c r="H189" i="12"/>
  <c r="H190" i="12" s="1"/>
  <c r="H191" i="12" s="1"/>
  <c r="AT228" i="9"/>
  <c r="AT43" i="9"/>
  <c r="BO42" i="9"/>
  <c r="Q34" i="12" l="1"/>
  <c r="AU35" i="9"/>
  <c r="AU34" i="9" s="1"/>
  <c r="AU37" i="9" s="1"/>
  <c r="AW35" i="9"/>
  <c r="AW34" i="9" s="1"/>
  <c r="AV35" i="9"/>
  <c r="AV34" i="9" s="1"/>
  <c r="AV37" i="9"/>
  <c r="AV72" i="9"/>
  <c r="AV74" i="9" s="1"/>
  <c r="AW37" i="9"/>
  <c r="AW72" i="9"/>
  <c r="AW74" i="9" s="1"/>
  <c r="AX72" i="9"/>
  <c r="AX37" i="9"/>
  <c r="BP257" i="9"/>
  <c r="P43" i="12"/>
  <c r="BS129" i="9"/>
  <c r="BS77" i="9"/>
  <c r="BN46" i="9"/>
  <c r="BN47" i="9" s="1"/>
  <c r="BS76" i="9"/>
  <c r="BS157" i="9"/>
  <c r="U74" i="12" s="1"/>
  <c r="BS116" i="9"/>
  <c r="BN228" i="9"/>
  <c r="BN227" i="9" s="1"/>
  <c r="BN43" i="9"/>
  <c r="L190" i="12"/>
  <c r="U200" i="12" s="1"/>
  <c r="S200" i="12"/>
  <c r="J191" i="12"/>
  <c r="AT226" i="9"/>
  <c r="AT225" i="9" s="1"/>
  <c r="AT230" i="9"/>
  <c r="P84" i="12"/>
  <c r="P86" i="12" s="1"/>
  <c r="P39" i="12"/>
  <c r="P82" i="12"/>
  <c r="BO43" i="9"/>
  <c r="BO46" i="9"/>
  <c r="Q38" i="12"/>
  <c r="Q84" i="12" s="1"/>
  <c r="Q43" i="12"/>
  <c r="AU72" i="9" l="1"/>
  <c r="AU74" i="9" s="1"/>
  <c r="AW38" i="9"/>
  <c r="AW42" i="9"/>
  <c r="AW43" i="9" s="1"/>
  <c r="AV38" i="9"/>
  <c r="AV42" i="9"/>
  <c r="AV43" i="9" s="1"/>
  <c r="AX38" i="9"/>
  <c r="AX42" i="9"/>
  <c r="AX43" i="9" s="1"/>
  <c r="AU42" i="9"/>
  <c r="AU43" i="9" s="1"/>
  <c r="AU38" i="9"/>
  <c r="M3" i="11"/>
  <c r="M4" i="11" s="1"/>
  <c r="Q39" i="12"/>
  <c r="AT233" i="9"/>
  <c r="AT75" i="9" s="1"/>
  <c r="BN230" i="9"/>
  <c r="S34" i="12"/>
  <c r="R36" i="12"/>
  <c r="R37" i="12" s="1"/>
  <c r="BP72" i="9"/>
  <c r="Q82" i="12"/>
  <c r="Q86" i="12"/>
  <c r="BP37" i="9"/>
  <c r="R31" i="12"/>
  <c r="R32" i="12" s="1"/>
  <c r="AT234" i="9" l="1"/>
  <c r="BN233" i="9"/>
  <c r="BN231" i="9"/>
  <c r="S31" i="12"/>
  <c r="S32" i="12" s="1"/>
  <c r="BQ37" i="9"/>
  <c r="BQ72" i="9"/>
  <c r="S36" i="12"/>
  <c r="S37" i="12" s="1"/>
  <c r="T34" i="12"/>
  <c r="BP42" i="9"/>
  <c r="BP38" i="9"/>
  <c r="AU228" i="9" l="1"/>
  <c r="BN140" i="9"/>
  <c r="AT271" i="9"/>
  <c r="AT142" i="9"/>
  <c r="BN234" i="9"/>
  <c r="BN75" i="9"/>
  <c r="T31" i="12"/>
  <c r="T32" i="12" s="1"/>
  <c r="T36" i="12"/>
  <c r="T37" i="12" s="1"/>
  <c r="BQ38" i="9"/>
  <c r="BQ42" i="9"/>
  <c r="BR37" i="9"/>
  <c r="BR72" i="9"/>
  <c r="U34" i="12"/>
  <c r="BP230" i="9"/>
  <c r="BP233" i="9" s="1"/>
  <c r="BP234" i="9" s="1"/>
  <c r="R43" i="12"/>
  <c r="BP43" i="9"/>
  <c r="BP46" i="9"/>
  <c r="BP47" i="9" s="1"/>
  <c r="R38" i="12"/>
  <c r="AU226" i="9" l="1"/>
  <c r="AU225" i="9" s="1"/>
  <c r="AU230" i="9"/>
  <c r="AU233" i="9" s="1"/>
  <c r="BN271" i="9"/>
  <c r="P94" i="12" s="1"/>
  <c r="P91" i="12"/>
  <c r="BO228" i="9"/>
  <c r="BO227" i="9" s="1"/>
  <c r="BN142" i="9"/>
  <c r="BN160" i="9"/>
  <c r="BN159" i="9" s="1"/>
  <c r="AT284" i="9"/>
  <c r="AT97" i="9"/>
  <c r="BN98" i="9"/>
  <c r="S43" i="12"/>
  <c r="BQ43" i="9"/>
  <c r="S38" i="12"/>
  <c r="BQ46" i="9"/>
  <c r="BQ47" i="9" s="1"/>
  <c r="BQ230" i="9"/>
  <c r="BQ233" i="9" s="1"/>
  <c r="BQ234" i="9" s="1"/>
  <c r="BR38" i="9"/>
  <c r="BR42" i="9"/>
  <c r="BS37" i="9"/>
  <c r="U36" i="12"/>
  <c r="U37" i="12" s="1"/>
  <c r="BS72" i="9"/>
  <c r="U31" i="12"/>
  <c r="U32" i="12" s="1"/>
  <c r="BP75" i="9"/>
  <c r="R84" i="12"/>
  <c r="R86" i="12" s="1"/>
  <c r="R39" i="12"/>
  <c r="R82" i="12"/>
  <c r="AU75" i="9" l="1"/>
  <c r="AU234" i="9"/>
  <c r="AU140" i="9"/>
  <c r="AT285" i="9"/>
  <c r="AU282" i="9"/>
  <c r="AT115" i="9"/>
  <c r="BN97" i="9"/>
  <c r="BN155" i="9"/>
  <c r="BN81" i="9"/>
  <c r="BN284" i="9"/>
  <c r="AT274" i="9"/>
  <c r="AT186" i="9"/>
  <c r="AT183" i="9"/>
  <c r="S39" i="12"/>
  <c r="S84" i="12"/>
  <c r="S86" i="12" s="1"/>
  <c r="S82" i="12"/>
  <c r="BQ75" i="9"/>
  <c r="BR46" i="9"/>
  <c r="BR43" i="9"/>
  <c r="BR230" i="9"/>
  <c r="BR233" i="9" s="1"/>
  <c r="BR234" i="9" s="1"/>
  <c r="BS38" i="9"/>
  <c r="BS42" i="9"/>
  <c r="T38" i="12"/>
  <c r="T43" i="12"/>
  <c r="AU271" i="9" l="1"/>
  <c r="AV228" i="9"/>
  <c r="AU142" i="9"/>
  <c r="AU98" i="9" s="1"/>
  <c r="AU160" i="9"/>
  <c r="AU159" i="9" s="1"/>
  <c r="AT143" i="9"/>
  <c r="AT151" i="9" s="1"/>
  <c r="BN115" i="9"/>
  <c r="BN143" i="9" s="1"/>
  <c r="P73" i="12"/>
  <c r="BN153" i="9"/>
  <c r="BO282" i="9"/>
  <c r="BN285" i="9"/>
  <c r="BR75" i="9"/>
  <c r="BS43" i="9"/>
  <c r="U38" i="12"/>
  <c r="V38" i="12" s="1"/>
  <c r="BS46" i="9"/>
  <c r="BS230" i="9"/>
  <c r="BS233" i="9" s="1"/>
  <c r="BS234" i="9" s="1"/>
  <c r="U43" i="12"/>
  <c r="T39" i="12"/>
  <c r="T82" i="12"/>
  <c r="T84" i="12"/>
  <c r="T86" i="12" s="1"/>
  <c r="AU155" i="9" l="1"/>
  <c r="AU153" i="9" s="1"/>
  <c r="AU97" i="9"/>
  <c r="AU115" i="9" s="1"/>
  <c r="AU143" i="9" s="1"/>
  <c r="AU81" i="9"/>
  <c r="AU80" i="9" s="1"/>
  <c r="AU284" i="9"/>
  <c r="AV230" i="9"/>
  <c r="AV233" i="9" s="1"/>
  <c r="AV226" i="9"/>
  <c r="AV225" i="9" s="1"/>
  <c r="P70" i="12"/>
  <c r="BN274" i="9"/>
  <c r="BN154" i="9"/>
  <c r="BN186" i="9"/>
  <c r="BN152" i="9"/>
  <c r="BN151" i="9" s="1"/>
  <c r="U84" i="12"/>
  <c r="U86" i="12" s="1"/>
  <c r="I14" i="11"/>
  <c r="U82" i="12"/>
  <c r="U39" i="12"/>
  <c r="BS75" i="9"/>
  <c r="AU183" i="9" l="1"/>
  <c r="AU274" i="9"/>
  <c r="AU186" i="9"/>
  <c r="AU152" i="9"/>
  <c r="AU151" i="9" s="1"/>
  <c r="AU154" i="9"/>
  <c r="AU285" i="9"/>
  <c r="AV282" i="9"/>
  <c r="AV75" i="9"/>
  <c r="AV140" i="9"/>
  <c r="AV234" i="9"/>
  <c r="P90" i="12"/>
  <c r="P71" i="12"/>
  <c r="P76" i="12"/>
  <c r="I26" i="11"/>
  <c r="M14" i="11"/>
  <c r="AV142" i="9" l="1"/>
  <c r="AV98" i="9" s="1"/>
  <c r="AV160" i="9"/>
  <c r="AV159" i="9" s="1"/>
  <c r="AW228" i="9"/>
  <c r="AV271" i="9"/>
  <c r="Q97" i="12"/>
  <c r="Q98" i="12" s="1"/>
  <c r="P98" i="12"/>
  <c r="P92" i="12"/>
  <c r="P93" i="12"/>
  <c r="M27" i="11"/>
  <c r="P14" i="11"/>
  <c r="P27" i="11" s="1"/>
  <c r="AW226" i="9" l="1"/>
  <c r="AW225" i="9" s="1"/>
  <c r="AW230" i="9"/>
  <c r="AW233" i="9" s="1"/>
  <c r="M7" i="11"/>
  <c r="M5" i="11" s="1"/>
  <c r="AV284" i="9"/>
  <c r="AV81" i="9"/>
  <c r="AV80" i="9" s="1"/>
  <c r="AV97" i="9"/>
  <c r="AV115" i="9" s="1"/>
  <c r="AV143" i="9" s="1"/>
  <c r="AV155" i="9"/>
  <c r="AV153" i="9" s="1"/>
  <c r="AV285" i="9" l="1"/>
  <c r="AW282" i="9"/>
  <c r="AV186" i="9"/>
  <c r="AV154" i="9"/>
  <c r="AV274" i="9"/>
  <c r="AV183" i="9"/>
  <c r="AV152" i="9"/>
  <c r="AV151" i="9" s="1"/>
  <c r="AW140" i="9"/>
  <c r="AW234" i="9"/>
  <c r="AW75" i="9"/>
  <c r="AW160" i="9" l="1"/>
  <c r="AW159" i="9" s="1"/>
  <c r="AX228" i="9"/>
  <c r="AW142" i="9"/>
  <c r="AW271" i="9"/>
  <c r="AX226" i="9" l="1"/>
  <c r="AX225" i="9" s="1"/>
  <c r="AX230" i="9"/>
  <c r="AW98" i="9"/>
  <c r="BO230" i="9" l="1"/>
  <c r="AX233" i="9"/>
  <c r="AW284" i="9"/>
  <c r="AW97" i="9"/>
  <c r="AW115" i="9" s="1"/>
  <c r="AW143" i="9" s="1"/>
  <c r="AW81" i="9"/>
  <c r="AW80" i="9" s="1"/>
  <c r="AW155" i="9"/>
  <c r="AW153" i="9" s="1"/>
  <c r="BO233" i="9" l="1"/>
  <c r="BO234" i="9" s="1"/>
  <c r="BO231" i="9"/>
  <c r="AX140" i="9"/>
  <c r="AX75" i="9"/>
  <c r="AX234" i="9"/>
  <c r="AW285" i="9"/>
  <c r="AX282" i="9"/>
  <c r="AW154" i="9"/>
  <c r="AW186" i="9"/>
  <c r="AW152" i="9"/>
  <c r="AW151" i="9" s="1"/>
  <c r="AW183" i="9"/>
  <c r="AW274" i="9"/>
  <c r="C13" i="11" l="1"/>
  <c r="BO75" i="9"/>
  <c r="AX160" i="9"/>
  <c r="AX159" i="9" s="1"/>
  <c r="AX142" i="9"/>
  <c r="BO140" i="9"/>
  <c r="AX271" i="9"/>
  <c r="BO271" i="9" l="1"/>
  <c r="Q94" i="12" s="1"/>
  <c r="BP228" i="9"/>
  <c r="BP226" i="9" s="1"/>
  <c r="BP225" i="9" s="1"/>
  <c r="BO160" i="9"/>
  <c r="BO159" i="9" s="1"/>
  <c r="Q91" i="12"/>
  <c r="BO142" i="9"/>
  <c r="BP140" i="9"/>
  <c r="BP271" i="9" s="1"/>
  <c r="R94" i="12" s="1"/>
  <c r="BP142" i="9" l="1"/>
  <c r="R91" i="12"/>
  <c r="BQ228" i="9"/>
  <c r="BQ226" i="9" s="1"/>
  <c r="BQ225" i="9" s="1"/>
  <c r="BP160" i="9"/>
  <c r="BP159" i="9" s="1"/>
  <c r="BQ140" i="9"/>
  <c r="BQ271" i="9" s="1"/>
  <c r="S94" i="12" s="1"/>
  <c r="BR140" i="9" l="1"/>
  <c r="BR271" i="9" s="1"/>
  <c r="T94" i="12" s="1"/>
  <c r="S91" i="12"/>
  <c r="BQ142" i="9"/>
  <c r="BR228" i="9"/>
  <c r="BR226" i="9" s="1"/>
  <c r="BR225" i="9" s="1"/>
  <c r="BQ160" i="9"/>
  <c r="BQ159" i="9" s="1"/>
  <c r="T91" i="12" l="1"/>
  <c r="BR142" i="9"/>
  <c r="BS228" i="9"/>
  <c r="BS226" i="9" s="1"/>
  <c r="BS225" i="9" s="1"/>
  <c r="BS140" i="9"/>
  <c r="BS271" i="9" s="1"/>
  <c r="U94" i="12" s="1"/>
  <c r="BR160" i="9"/>
  <c r="BR159" i="9" s="1"/>
  <c r="BS160" i="9" l="1"/>
  <c r="BS159" i="9" s="1"/>
  <c r="U91" i="12"/>
  <c r="BS142" i="9"/>
  <c r="AL179" i="8" l="1"/>
  <c r="AL147" i="8" s="1"/>
  <c r="AL229" i="8"/>
  <c r="AL141" i="8"/>
  <c r="AL145" i="8"/>
  <c r="AL209" i="8"/>
  <c r="BN144" i="8"/>
  <c r="BN235" i="8" s="1"/>
  <c r="F181" i="12" s="1"/>
  <c r="AL216" i="8"/>
  <c r="AL213" i="8"/>
  <c r="AP145" i="8"/>
  <c r="AL204" i="8"/>
  <c r="AP205" i="8"/>
  <c r="AL221" i="8"/>
  <c r="AL226" i="8"/>
  <c r="AL235" i="8"/>
  <c r="AL153" i="8"/>
  <c r="AL240" i="8"/>
  <c r="AL245" i="8"/>
  <c r="AL396" i="8"/>
  <c r="AP246" i="8"/>
  <c r="AL246" i="8"/>
  <c r="AL162" i="8"/>
  <c r="AL441" i="8"/>
  <c r="F133" i="12" l="1"/>
  <c r="F132" i="12" s="1"/>
  <c r="BN179" i="8"/>
  <c r="BN162" i="8"/>
  <c r="BN245" i="8"/>
  <c r="AL210" i="8"/>
  <c r="AP210" i="8"/>
  <c r="BN204" i="8"/>
  <c r="BR205" i="8" s="1"/>
  <c r="AL205" i="8"/>
  <c r="AL241" i="8"/>
  <c r="AP241" i="8"/>
  <c r="AL148" i="8"/>
  <c r="AP148" i="8"/>
  <c r="AL142" i="8"/>
  <c r="BN141" i="8"/>
  <c r="BN142" i="8" s="1"/>
  <c r="F163" i="12"/>
  <c r="BN145" i="8"/>
  <c r="BN221" i="8"/>
  <c r="BN216" i="8"/>
  <c r="BO145" i="8"/>
  <c r="BN209" i="8"/>
  <c r="BN229" i="8"/>
  <c r="BN213" i="8"/>
  <c r="BN226" i="8"/>
  <c r="BN153" i="8"/>
  <c r="BN240" i="8"/>
  <c r="AP236" i="8"/>
  <c r="AL236" i="8"/>
  <c r="BO236" i="8"/>
  <c r="BN236" i="8"/>
  <c r="F139" i="12" l="1"/>
  <c r="F138" i="12" s="1"/>
  <c r="F144" i="12" s="1"/>
  <c r="BN205" i="8"/>
  <c r="BO205" i="8"/>
  <c r="BN246" i="8"/>
  <c r="BO246" i="8"/>
  <c r="F174" i="12"/>
  <c r="F173" i="12" s="1"/>
  <c r="G168" i="12"/>
  <c r="F162" i="12"/>
  <c r="F168" i="12"/>
  <c r="BN210" i="8"/>
  <c r="BO210" i="8"/>
  <c r="N57" i="12"/>
  <c r="BN241" i="8"/>
  <c r="BO241" i="8"/>
  <c r="F180" i="12" l="1"/>
  <c r="G167" i="12"/>
  <c r="F167" i="12"/>
  <c r="AT63" i="9"/>
  <c r="AT68" i="9" s="1"/>
  <c r="AT74" i="9" s="1"/>
  <c r="AT80" i="9" s="1"/>
  <c r="BP92" i="8"/>
  <c r="BN63" i="9" s="1"/>
  <c r="AT94" i="8"/>
  <c r="AX94" i="8" s="1"/>
  <c r="AX92" i="8" s="1"/>
  <c r="AT214" i="9"/>
  <c r="BN214" i="9" s="1"/>
  <c r="BN68" i="9" l="1"/>
  <c r="BN74" i="9" s="1"/>
  <c r="AT216" i="9"/>
  <c r="AT217" i="9" s="1"/>
  <c r="AT215" i="9"/>
  <c r="AX63" i="9"/>
  <c r="AX68" i="9" s="1"/>
  <c r="AX74" i="9" s="1"/>
  <c r="AX214" i="9"/>
  <c r="AX112" i="9" s="1"/>
  <c r="BQ92" i="8"/>
  <c r="AX89" i="8"/>
  <c r="BN210" i="9"/>
  <c r="BN215" i="9"/>
  <c r="AT210" i="9"/>
  <c r="BP94" i="8"/>
  <c r="BN95" i="9" l="1"/>
  <c r="BN80" i="9"/>
  <c r="AX129" i="8"/>
  <c r="AX115" i="8"/>
  <c r="AX90" i="8"/>
  <c r="AX569" i="8"/>
  <c r="AX228" i="8"/>
  <c r="BQ89" i="8"/>
  <c r="AX212" i="9"/>
  <c r="AX215" i="9" s="1"/>
  <c r="AX210" i="9"/>
  <c r="BO214" i="9"/>
  <c r="BO63" i="9"/>
  <c r="BO68" i="9" s="1"/>
  <c r="BQ94" i="8"/>
  <c r="BR94" i="8" s="1"/>
  <c r="BS94" i="8" s="1"/>
  <c r="BT94" i="8" s="1"/>
  <c r="BU94" i="8" s="1"/>
  <c r="BO112" i="9" l="1"/>
  <c r="AX149" i="9"/>
  <c r="AX145" i="9" s="1"/>
  <c r="AX272" i="9" s="1"/>
  <c r="AX93" i="8"/>
  <c r="AX111" i="9"/>
  <c r="BO210" i="9"/>
  <c r="AX219" i="9"/>
  <c r="AX216" i="9"/>
  <c r="AX217" i="9" s="1"/>
  <c r="BO212" i="9"/>
  <c r="BO215" i="9" s="1"/>
  <c r="BQ639" i="8"/>
  <c r="BQ90" i="8"/>
  <c r="BQ115" i="8"/>
  <c r="Q65" i="12"/>
  <c r="AX395" i="8"/>
  <c r="AX440" i="8"/>
  <c r="AX230" i="8"/>
  <c r="BQ228" i="8"/>
  <c r="AX229" i="8"/>
  <c r="AX233" i="8"/>
  <c r="BQ569" i="8"/>
  <c r="AX573" i="8"/>
  <c r="AX570" i="8"/>
  <c r="AX494" i="8"/>
  <c r="AX23" i="9"/>
  <c r="AX24" i="9" s="1"/>
  <c r="AX116" i="8"/>
  <c r="AX117" i="8" s="1"/>
  <c r="AX121" i="8"/>
  <c r="E14" i="13"/>
  <c r="BO74" i="9"/>
  <c r="BO95" i="9" s="1"/>
  <c r="AX17" i="9"/>
  <c r="AX131" i="8"/>
  <c r="BQ129" i="8"/>
  <c r="BQ570" i="8" l="1"/>
  <c r="BQ571" i="8"/>
  <c r="BR571" i="8" s="1"/>
  <c r="BQ130" i="8"/>
  <c r="BQ131" i="8"/>
  <c r="AX55" i="9"/>
  <c r="AX53" i="9" s="1"/>
  <c r="AX52" i="9" s="1"/>
  <c r="AX185" i="9" s="1"/>
  <c r="BO17" i="9"/>
  <c r="BQ230" i="8"/>
  <c r="BQ229" i="8"/>
  <c r="AX98" i="9"/>
  <c r="BO111" i="9"/>
  <c r="E16" i="13"/>
  <c r="E19" i="13"/>
  <c r="BQ494" i="8"/>
  <c r="AX495" i="8"/>
  <c r="AX496" i="8"/>
  <c r="AX498" i="8"/>
  <c r="AX575" i="8"/>
  <c r="AX574" i="8"/>
  <c r="BQ573" i="8"/>
  <c r="BQ233" i="8"/>
  <c r="AX234" i="8"/>
  <c r="AX238" i="8"/>
  <c r="AX235" i="8"/>
  <c r="AX236" i="8" s="1"/>
  <c r="BQ395" i="8"/>
  <c r="AX399" i="8"/>
  <c r="AX396" i="8"/>
  <c r="BQ644" i="8"/>
  <c r="BQ117" i="8"/>
  <c r="BO23" i="9"/>
  <c r="BO24" i="9" s="1"/>
  <c r="Q47" i="12"/>
  <c r="BQ116" i="8"/>
  <c r="BO219" i="9"/>
  <c r="BO217" i="9"/>
  <c r="BQ440" i="8"/>
  <c r="AX441" i="8"/>
  <c r="AX444" i="8"/>
  <c r="BQ121" i="8"/>
  <c r="AX122" i="8"/>
  <c r="AX123" i="8" s="1"/>
  <c r="BO149" i="9"/>
  <c r="BO145" i="9" s="1"/>
  <c r="BQ93" i="8"/>
  <c r="BR92" i="8" l="1"/>
  <c r="AX284" i="9"/>
  <c r="AX285" i="9" s="1"/>
  <c r="BO98" i="9"/>
  <c r="AX97" i="9"/>
  <c r="AX81" i="9"/>
  <c r="AX80" i="9" s="1"/>
  <c r="AX155" i="9"/>
  <c r="AX153" i="9" s="1"/>
  <c r="BO18" i="9"/>
  <c r="BO54" i="9" s="1"/>
  <c r="BO55" i="9"/>
  <c r="BQ442" i="8"/>
  <c r="BR442" i="8" s="1"/>
  <c r="BQ441" i="8"/>
  <c r="BQ575" i="8"/>
  <c r="BQ581" i="8" s="1"/>
  <c r="BR581" i="8" s="1"/>
  <c r="BS581" i="8" s="1"/>
  <c r="BT581" i="8" s="1"/>
  <c r="BU581" i="8" s="1"/>
  <c r="BQ574" i="8"/>
  <c r="AX503" i="8"/>
  <c r="BQ498" i="8"/>
  <c r="AX500" i="8"/>
  <c r="AX501" i="8" s="1"/>
  <c r="AX499" i="8"/>
  <c r="AX240" i="8"/>
  <c r="AX241" i="8" s="1"/>
  <c r="AX243" i="8"/>
  <c r="AX239" i="8"/>
  <c r="Q49" i="12"/>
  <c r="Q48" i="12"/>
  <c r="BO272" i="9"/>
  <c r="Q95" i="12" s="1"/>
  <c r="AX400" i="8"/>
  <c r="BQ399" i="8"/>
  <c r="AX401" i="8"/>
  <c r="AX402" i="8" s="1"/>
  <c r="BQ495" i="8"/>
  <c r="BQ496" i="8"/>
  <c r="BS571" i="8"/>
  <c r="BQ238" i="8"/>
  <c r="BQ235" i="8"/>
  <c r="BQ236" i="8" s="1"/>
  <c r="BQ234" i="8"/>
  <c r="BP214" i="9"/>
  <c r="BP112" i="9" s="1"/>
  <c r="BR89" i="8"/>
  <c r="BP63" i="9"/>
  <c r="BP68" i="9" s="1"/>
  <c r="Q51" i="12"/>
  <c r="BQ119" i="8"/>
  <c r="BQ122" i="8"/>
  <c r="BQ123" i="8" s="1"/>
  <c r="AX446" i="8"/>
  <c r="AX447" i="8" s="1"/>
  <c r="BQ444" i="8"/>
  <c r="AX445" i="8"/>
  <c r="BQ396" i="8"/>
  <c r="BQ397" i="8"/>
  <c r="BR397" i="8" s="1"/>
  <c r="AX504" i="8" l="1"/>
  <c r="AX505" i="8"/>
  <c r="AX506" i="8" s="1"/>
  <c r="BP95" i="9"/>
  <c r="BP74" i="9"/>
  <c r="F14" i="13"/>
  <c r="BR129" i="8"/>
  <c r="BP212" i="9"/>
  <c r="BP215" i="9" s="1"/>
  <c r="BR228" i="8"/>
  <c r="BR395" i="8" s="1"/>
  <c r="BR639" i="8"/>
  <c r="BR90" i="8"/>
  <c r="R65" i="12"/>
  <c r="BR115" i="8"/>
  <c r="BS442" i="8"/>
  <c r="BO53" i="9"/>
  <c r="BO52" i="9" s="1"/>
  <c r="BO185" i="9" s="1"/>
  <c r="BR569" i="8"/>
  <c r="AX244" i="8"/>
  <c r="AX245" i="8"/>
  <c r="AX246" i="8" s="1"/>
  <c r="AX154" i="9"/>
  <c r="AX274" i="9"/>
  <c r="AX183" i="9"/>
  <c r="AX186" i="9"/>
  <c r="AX152" i="9"/>
  <c r="AX151" i="9" s="1"/>
  <c r="BT571" i="8"/>
  <c r="BQ401" i="8"/>
  <c r="BQ400" i="8"/>
  <c r="BO97" i="9"/>
  <c r="AX115" i="9"/>
  <c r="BP210" i="9"/>
  <c r="BS397" i="8"/>
  <c r="BQ445" i="8"/>
  <c r="BQ446" i="8"/>
  <c r="BQ447" i="8" s="1"/>
  <c r="BO155" i="9"/>
  <c r="BO81" i="9"/>
  <c r="BO80" i="9" s="1"/>
  <c r="BO284" i="9"/>
  <c r="Q52" i="12"/>
  <c r="Q53" i="12"/>
  <c r="Q56" i="12"/>
  <c r="Q58" i="12" s="1"/>
  <c r="BQ239" i="8"/>
  <c r="BQ240" i="8"/>
  <c r="BQ243" i="8"/>
  <c r="BQ503" i="8"/>
  <c r="BQ500" i="8"/>
  <c r="BQ501" i="8" s="1"/>
  <c r="BQ499" i="8"/>
  <c r="BR494" i="8" l="1"/>
  <c r="BR496" i="8" s="1"/>
  <c r="BT397" i="8"/>
  <c r="BP17" i="9"/>
  <c r="BP55" i="9" s="1"/>
  <c r="BP53" i="9" s="1"/>
  <c r="BP52" i="9" s="1"/>
  <c r="BP185" i="9" s="1"/>
  <c r="BR131" i="8"/>
  <c r="BR130" i="8"/>
  <c r="Q60" i="12"/>
  <c r="Q62" i="12" s="1"/>
  <c r="BQ504" i="8"/>
  <c r="BQ505" i="8"/>
  <c r="BR396" i="8"/>
  <c r="BR399" i="8"/>
  <c r="BQ245" i="8"/>
  <c r="BQ246" i="8" s="1"/>
  <c r="BO47" i="9"/>
  <c r="BQ244" i="8"/>
  <c r="BR573" i="8"/>
  <c r="BR570" i="8"/>
  <c r="F19" i="13"/>
  <c r="BQ241" i="8"/>
  <c r="Q57" i="12"/>
  <c r="BP219" i="9"/>
  <c r="BP216" i="9"/>
  <c r="BP217" i="9" s="1"/>
  <c r="BR230" i="8"/>
  <c r="BR229" i="8"/>
  <c r="BR233" i="8"/>
  <c r="AX143" i="9"/>
  <c r="BO115" i="9"/>
  <c r="BO143" i="9" s="1"/>
  <c r="BR440" i="8"/>
  <c r="BP149" i="9"/>
  <c r="BP145" i="9" s="1"/>
  <c r="BP111" i="9"/>
  <c r="BP98" i="9" s="1"/>
  <c r="BR93" i="8"/>
  <c r="BP282" i="9"/>
  <c r="BO285" i="9"/>
  <c r="BT442" i="8"/>
  <c r="C8" i="11"/>
  <c r="BO153" i="9"/>
  <c r="Q73" i="12"/>
  <c r="BU571" i="8"/>
  <c r="BP23" i="9"/>
  <c r="BP24" i="9" s="1"/>
  <c r="BR116" i="8"/>
  <c r="BR121" i="8"/>
  <c r="BR117" i="8"/>
  <c r="R47" i="12"/>
  <c r="BR498" i="8" l="1"/>
  <c r="BR495" i="8"/>
  <c r="BS92" i="8"/>
  <c r="BS89" i="8" s="1"/>
  <c r="BQ506" i="8"/>
  <c r="Q61" i="12"/>
  <c r="BR575" i="8"/>
  <c r="BR579" i="8" s="1"/>
  <c r="BR574" i="8"/>
  <c r="BR122" i="8"/>
  <c r="BR123" i="8" s="1"/>
  <c r="R51" i="12"/>
  <c r="BP272" i="9"/>
  <c r="R95" i="12" s="1"/>
  <c r="BR444" i="8"/>
  <c r="BR441" i="8"/>
  <c r="BU397" i="8"/>
  <c r="BP81" i="9"/>
  <c r="BP80" i="9" s="1"/>
  <c r="BP284" i="9"/>
  <c r="BP155" i="9"/>
  <c r="BP97" i="9"/>
  <c r="BP115" i="9" s="1"/>
  <c r="BP143" i="9" s="1"/>
  <c r="BU442" i="8"/>
  <c r="BR500" i="8"/>
  <c r="BR501" i="8" s="1"/>
  <c r="BR499" i="8"/>
  <c r="BR503" i="8"/>
  <c r="BQ214" i="9"/>
  <c r="BQ112" i="9" s="1"/>
  <c r="BQ63" i="9"/>
  <c r="BQ68" i="9" s="1"/>
  <c r="Q70" i="12"/>
  <c r="BO152" i="9"/>
  <c r="BO151" i="9" s="1"/>
  <c r="BO154" i="9"/>
  <c r="BO274" i="9"/>
  <c r="BO186" i="9"/>
  <c r="BR235" i="8"/>
  <c r="BR236" i="8" s="1"/>
  <c r="BR238" i="8"/>
  <c r="BR234" i="8"/>
  <c r="R49" i="12"/>
  <c r="R48" i="12"/>
  <c r="BR400" i="8"/>
  <c r="BR401" i="8"/>
  <c r="BS129" i="8" l="1"/>
  <c r="BS639" i="8"/>
  <c r="BS115" i="8"/>
  <c r="S65" i="12"/>
  <c r="BS90" i="8"/>
  <c r="BQ212" i="9"/>
  <c r="BS228" i="8"/>
  <c r="BS569" i="8"/>
  <c r="BQ210" i="9"/>
  <c r="BQ215" i="9"/>
  <c r="R53" i="12"/>
  <c r="R52" i="12"/>
  <c r="BR505" i="8"/>
  <c r="BR504" i="8"/>
  <c r="R60" i="12"/>
  <c r="R62" i="12" s="1"/>
  <c r="BR240" i="8"/>
  <c r="BR239" i="8"/>
  <c r="BR243" i="8"/>
  <c r="R56" i="12"/>
  <c r="R58" i="12" s="1"/>
  <c r="BR578" i="8"/>
  <c r="BR580" i="8"/>
  <c r="BR445" i="8"/>
  <c r="BR446" i="8"/>
  <c r="BR447" i="8" s="1"/>
  <c r="BP285" i="9"/>
  <c r="BQ282" i="9"/>
  <c r="BQ74" i="9"/>
  <c r="BQ95" i="9"/>
  <c r="G14" i="13"/>
  <c r="R73" i="12"/>
  <c r="BP153" i="9"/>
  <c r="Q76" i="12"/>
  <c r="Q71" i="12"/>
  <c r="Q90" i="12"/>
  <c r="BQ111" i="9" l="1"/>
  <c r="BQ98" i="9" s="1"/>
  <c r="BQ149" i="9"/>
  <c r="BQ145" i="9" s="1"/>
  <c r="BS93" i="8"/>
  <c r="BS233" i="8"/>
  <c r="BS230" i="8"/>
  <c r="BS229" i="8"/>
  <c r="BS440" i="8"/>
  <c r="BS395" i="8"/>
  <c r="Q93" i="12"/>
  <c r="Q92" i="12"/>
  <c r="BR244" i="8"/>
  <c r="BR245" i="8"/>
  <c r="BR246" i="8" s="1"/>
  <c r="BS570" i="8"/>
  <c r="BS573" i="8"/>
  <c r="R57" i="12"/>
  <c r="BR241" i="8"/>
  <c r="BS117" i="8"/>
  <c r="BS121" i="8"/>
  <c r="BQ23" i="9"/>
  <c r="BQ24" i="9" s="1"/>
  <c r="BS116" i="8"/>
  <c r="S47" i="12"/>
  <c r="BR506" i="8"/>
  <c r="R61" i="12"/>
  <c r="BP186" i="9"/>
  <c r="BP154" i="9"/>
  <c r="BP152" i="9"/>
  <c r="BP151" i="9" s="1"/>
  <c r="R70" i="12"/>
  <c r="BP274" i="9"/>
  <c r="E4" i="13"/>
  <c r="E3" i="13" s="1"/>
  <c r="BS494" i="8"/>
  <c r="G19" i="13"/>
  <c r="BQ219" i="9"/>
  <c r="BQ216" i="9"/>
  <c r="BQ217" i="9" s="1"/>
  <c r="BS130" i="8"/>
  <c r="BQ17" i="9"/>
  <c r="BQ55" i="9" s="1"/>
  <c r="BQ53" i="9" s="1"/>
  <c r="BQ52" i="9" s="1"/>
  <c r="BQ185" i="9" s="1"/>
  <c r="BS131" i="8"/>
  <c r="BT92" i="8" l="1"/>
  <c r="BS235" i="8"/>
  <c r="BS236" i="8" s="1"/>
  <c r="BS238" i="8"/>
  <c r="BS234" i="8"/>
  <c r="S49" i="12"/>
  <c r="S48" i="12"/>
  <c r="R71" i="12"/>
  <c r="F4" i="13" s="1"/>
  <c r="F3" i="13" s="1"/>
  <c r="F15" i="13" s="1"/>
  <c r="R76" i="12"/>
  <c r="R90" i="12"/>
  <c r="BR63" i="9"/>
  <c r="BR68" i="9" s="1"/>
  <c r="BT89" i="8"/>
  <c r="BR214" i="9"/>
  <c r="BR112" i="9" s="1"/>
  <c r="BS441" i="8"/>
  <c r="BS444" i="8"/>
  <c r="BS399" i="8"/>
  <c r="BS396" i="8"/>
  <c r="BS495" i="8"/>
  <c r="BS496" i="8"/>
  <c r="BS498" i="8"/>
  <c r="S51" i="12"/>
  <c r="BS122" i="8"/>
  <c r="BS123" i="8" s="1"/>
  <c r="BS575" i="8"/>
  <c r="BS579" i="8" s="1"/>
  <c r="BS574" i="8"/>
  <c r="BQ272" i="9"/>
  <c r="S95" i="12" s="1"/>
  <c r="BQ81" i="9"/>
  <c r="BQ80" i="9" s="1"/>
  <c r="BQ155" i="9"/>
  <c r="BQ284" i="9"/>
  <c r="BQ97" i="9"/>
  <c r="BQ115" i="9" s="1"/>
  <c r="BQ143" i="9" s="1"/>
  <c r="BR74" i="9" l="1"/>
  <c r="H14" i="13"/>
  <c r="BR95" i="9"/>
  <c r="R92" i="12"/>
  <c r="R93" i="12"/>
  <c r="F16" i="13"/>
  <c r="BS503" i="8"/>
  <c r="BS499" i="8"/>
  <c r="BS500" i="8"/>
  <c r="BS501" i="8" s="1"/>
  <c r="BR282" i="9"/>
  <c r="BQ285" i="9"/>
  <c r="T65" i="12"/>
  <c r="BT90" i="8"/>
  <c r="BT639" i="8"/>
  <c r="BT129" i="8"/>
  <c r="BR212" i="9"/>
  <c r="BT115" i="8"/>
  <c r="BT228" i="8"/>
  <c r="BT569" i="8"/>
  <c r="S52" i="12"/>
  <c r="S53" i="12"/>
  <c r="BQ153" i="9"/>
  <c r="S73" i="12"/>
  <c r="BS400" i="8"/>
  <c r="BS401" i="8"/>
  <c r="BR210" i="9"/>
  <c r="BS580" i="8"/>
  <c r="BS578" i="8"/>
  <c r="BS445" i="8"/>
  <c r="BS446" i="8"/>
  <c r="BS447" i="8" s="1"/>
  <c r="S56" i="12"/>
  <c r="S58" i="12" s="1"/>
  <c r="BS240" i="8"/>
  <c r="BS239" i="8"/>
  <c r="BS243" i="8"/>
  <c r="BQ152" i="9" l="1"/>
  <c r="BQ151" i="9" s="1"/>
  <c r="S70" i="12"/>
  <c r="BQ274" i="9"/>
  <c r="BQ154" i="9"/>
  <c r="BQ186" i="9"/>
  <c r="BT229" i="8"/>
  <c r="BT233" i="8"/>
  <c r="BT230" i="8"/>
  <c r="BT440" i="8"/>
  <c r="BT395" i="8"/>
  <c r="BS505" i="8"/>
  <c r="BS504" i="8"/>
  <c r="S60" i="12"/>
  <c r="S62" i="12" s="1"/>
  <c r="BT494" i="8"/>
  <c r="S57" i="12"/>
  <c r="BS241" i="8"/>
  <c r="BT570" i="8"/>
  <c r="BT573" i="8"/>
  <c r="BR149" i="9"/>
  <c r="BR145" i="9" s="1"/>
  <c r="BT93" i="8"/>
  <c r="BR111" i="9"/>
  <c r="BR98" i="9" s="1"/>
  <c r="BR216" i="9"/>
  <c r="BR217" i="9" s="1"/>
  <c r="BR219" i="9"/>
  <c r="H19" i="13"/>
  <c r="BR23" i="9"/>
  <c r="BR24" i="9" s="1"/>
  <c r="BT116" i="8"/>
  <c r="BT121" i="8"/>
  <c r="T47" i="12"/>
  <c r="BT117" i="8"/>
  <c r="BR215" i="9"/>
  <c r="BT131" i="8"/>
  <c r="BT130" i="8"/>
  <c r="BR17" i="9"/>
  <c r="BR55" i="9" s="1"/>
  <c r="BR53" i="9" s="1"/>
  <c r="BR52" i="9" s="1"/>
  <c r="BR185" i="9" s="1"/>
  <c r="BS244" i="8"/>
  <c r="BS245" i="8"/>
  <c r="BS246" i="8" s="1"/>
  <c r="BU92" i="8" l="1"/>
  <c r="BR272" i="9"/>
  <c r="T95" i="12" s="1"/>
  <c r="BT575" i="8"/>
  <c r="BT579" i="8" s="1"/>
  <c r="BT574" i="8"/>
  <c r="T49" i="12"/>
  <c r="T48" i="12"/>
  <c r="BT235" i="8"/>
  <c r="BT236" i="8" s="1"/>
  <c r="BT238" i="8"/>
  <c r="BT234" i="8"/>
  <c r="BS506" i="8"/>
  <c r="S61" i="12"/>
  <c r="BR155" i="9"/>
  <c r="BR284" i="9"/>
  <c r="BR81" i="9"/>
  <c r="BR80" i="9" s="1"/>
  <c r="BR97" i="9"/>
  <c r="BR115" i="9" s="1"/>
  <c r="BR143" i="9" s="1"/>
  <c r="BT441" i="8"/>
  <c r="BT444" i="8"/>
  <c r="BT399" i="8"/>
  <c r="BT396" i="8"/>
  <c r="BS214" i="9"/>
  <c r="BS112" i="9" s="1"/>
  <c r="BU89" i="8"/>
  <c r="BS63" i="9"/>
  <c r="BS68" i="9" s="1"/>
  <c r="T51" i="12"/>
  <c r="BT122" i="8"/>
  <c r="BT123" i="8" s="1"/>
  <c r="BT498" i="8"/>
  <c r="BT496" i="8"/>
  <c r="BT495" i="8"/>
  <c r="S90" i="12"/>
  <c r="S76" i="12"/>
  <c r="S71" i="12"/>
  <c r="G4" i="13" s="1"/>
  <c r="G3" i="13" s="1"/>
  <c r="G15" i="13" s="1"/>
  <c r="BU115" i="8" l="1"/>
  <c r="BU228" i="8"/>
  <c r="BU494" i="8" s="1"/>
  <c r="BS212" i="9"/>
  <c r="BU90" i="8"/>
  <c r="U65" i="12"/>
  <c r="BU129" i="8"/>
  <c r="BU639" i="8"/>
  <c r="BU569" i="8"/>
  <c r="BT400" i="8"/>
  <c r="BT401" i="8"/>
  <c r="BS95" i="9"/>
  <c r="BS74" i="9"/>
  <c r="I14" i="13"/>
  <c r="T53" i="12"/>
  <c r="T52" i="12"/>
  <c r="S92" i="12"/>
  <c r="S93" i="12"/>
  <c r="T73" i="12"/>
  <c r="BR153" i="9"/>
  <c r="G16" i="13"/>
  <c r="BS210" i="9"/>
  <c r="BS215" i="9"/>
  <c r="BT240" i="8"/>
  <c r="BT239" i="8"/>
  <c r="BT243" i="8"/>
  <c r="T56" i="12"/>
  <c r="T58" i="12" s="1"/>
  <c r="BT446" i="8"/>
  <c r="BT447" i="8" s="1"/>
  <c r="BT445" i="8"/>
  <c r="BT580" i="8"/>
  <c r="BT578" i="8"/>
  <c r="BT500" i="8"/>
  <c r="BT501" i="8" s="1"/>
  <c r="BT503" i="8"/>
  <c r="BT499" i="8"/>
  <c r="BS282" i="9"/>
  <c r="BR285" i="9"/>
  <c r="T70" i="12" l="1"/>
  <c r="BR186" i="9"/>
  <c r="BR154" i="9"/>
  <c r="BR274" i="9"/>
  <c r="BR152" i="9"/>
  <c r="BR151" i="9" s="1"/>
  <c r="BU130" i="8"/>
  <c r="BS17" i="9"/>
  <c r="BS55" i="9" s="1"/>
  <c r="BS53" i="9" s="1"/>
  <c r="BS52" i="9" s="1"/>
  <c r="BS185" i="9" s="1"/>
  <c r="BU131" i="8"/>
  <c r="BU498" i="8"/>
  <c r="BU496" i="8"/>
  <c r="BU495" i="8"/>
  <c r="BT504" i="8"/>
  <c r="T60" i="12"/>
  <c r="T62" i="12" s="1"/>
  <c r="BT505" i="8"/>
  <c r="BT244" i="8"/>
  <c r="BT245" i="8"/>
  <c r="BT246" i="8" s="1"/>
  <c r="BU570" i="8"/>
  <c r="BU573" i="8"/>
  <c r="I19" i="13"/>
  <c r="BU229" i="8"/>
  <c r="BU233" i="8"/>
  <c r="BU230" i="8"/>
  <c r="BU440" i="8"/>
  <c r="BU395" i="8"/>
  <c r="BS219" i="9"/>
  <c r="BS216" i="9"/>
  <c r="BS217" i="9" s="1"/>
  <c r="BT241" i="8"/>
  <c r="T57" i="12"/>
  <c r="BU93" i="8"/>
  <c r="BS111" i="9"/>
  <c r="BS98" i="9" s="1"/>
  <c r="BS149" i="9"/>
  <c r="BS145" i="9" s="1"/>
  <c r="BS272" i="9" s="1"/>
  <c r="U95" i="12" s="1"/>
  <c r="BU121" i="8"/>
  <c r="BS23" i="9"/>
  <c r="BS24" i="9" s="1"/>
  <c r="BU117" i="8"/>
  <c r="U47" i="12"/>
  <c r="BU116" i="8"/>
  <c r="BU503" i="8" l="1"/>
  <c r="BU499" i="8"/>
  <c r="BU500" i="8"/>
  <c r="BU501" i="8" s="1"/>
  <c r="BU575" i="8"/>
  <c r="BU579" i="8" s="1"/>
  <c r="BU574" i="8"/>
  <c r="BU122" i="8"/>
  <c r="BU123" i="8" s="1"/>
  <c r="U51" i="12"/>
  <c r="BU399" i="8"/>
  <c r="BU396" i="8"/>
  <c r="BU238" i="8"/>
  <c r="BU234" i="8"/>
  <c r="BU235" i="8"/>
  <c r="BU236" i="8" s="1"/>
  <c r="T61" i="12"/>
  <c r="BT506" i="8"/>
  <c r="BS155" i="9"/>
  <c r="BS284" i="9"/>
  <c r="BS285" i="9" s="1"/>
  <c r="BS97" i="9"/>
  <c r="BS115" i="9" s="1"/>
  <c r="BS143" i="9" s="1"/>
  <c r="BS81" i="9"/>
  <c r="BS80" i="9" s="1"/>
  <c r="U49" i="12"/>
  <c r="U48" i="12"/>
  <c r="BU444" i="8"/>
  <c r="BU441" i="8"/>
  <c r="T71" i="12"/>
  <c r="H4" i="13" s="1"/>
  <c r="H3" i="13" s="1"/>
  <c r="T76" i="12"/>
  <c r="T90" i="12"/>
  <c r="I3" i="13" l="1"/>
  <c r="H15" i="13"/>
  <c r="BU243" i="8"/>
  <c r="U56" i="12"/>
  <c r="U58" i="12" s="1"/>
  <c r="BU239" i="8"/>
  <c r="BU240" i="8"/>
  <c r="BU445" i="8"/>
  <c r="BU446" i="8"/>
  <c r="BU447" i="8" s="1"/>
  <c r="BU401" i="8"/>
  <c r="BU400" i="8"/>
  <c r="U53" i="12"/>
  <c r="U52" i="12"/>
  <c r="T92" i="12"/>
  <c r="T93" i="12"/>
  <c r="BU580" i="8"/>
  <c r="BU578" i="8"/>
  <c r="BS153" i="9"/>
  <c r="U73" i="12"/>
  <c r="U60" i="12"/>
  <c r="U62" i="12" s="1"/>
  <c r="BU505" i="8"/>
  <c r="BU504" i="8"/>
  <c r="U57" i="12" l="1"/>
  <c r="BU241" i="8"/>
  <c r="BS152" i="9"/>
  <c r="BS151" i="9" s="1"/>
  <c r="U70" i="12"/>
  <c r="BS274" i="9"/>
  <c r="BS154" i="9"/>
  <c r="BS186" i="9"/>
  <c r="BU245" i="8"/>
  <c r="BU246" i="8" s="1"/>
  <c r="BU244" i="8"/>
  <c r="I15" i="13"/>
  <c r="I16" i="13" s="1"/>
  <c r="J16" i="13" s="1"/>
  <c r="H16" i="13"/>
  <c r="U61" i="12"/>
  <c r="BU506" i="8"/>
  <c r="C30" i="11"/>
  <c r="J14" i="13"/>
  <c r="D17" i="13" s="1"/>
  <c r="C4" i="11" l="1"/>
  <c r="U90" i="12"/>
  <c r="U76" i="12"/>
  <c r="U71" i="12"/>
  <c r="C31" i="11"/>
  <c r="C5" i="11" s="1"/>
  <c r="C6" i="11" l="1"/>
  <c r="C15" i="11" s="1"/>
  <c r="C17" i="11" s="1"/>
  <c r="C22" i="11" s="1"/>
  <c r="U93" i="12"/>
  <c r="U92" i="12"/>
  <c r="I4" i="13"/>
  <c r="AX101" i="8"/>
  <c r="BQ101" i="8" s="1"/>
  <c r="BQ102" i="8" s="1"/>
  <c r="BR102" i="8" s="1"/>
  <c r="C18" i="11" l="1"/>
  <c r="C19" i="11" s="1"/>
  <c r="BS102" i="8"/>
  <c r="BR101" i="8"/>
  <c r="BT102" i="8" l="1"/>
  <c r="BS101" i="8"/>
  <c r="BU102" i="8" l="1"/>
  <c r="BU101" i="8" s="1"/>
  <c r="BT10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 Linhares</author>
  </authors>
  <commentList>
    <comment ref="D2" authorId="0" shapeId="0" xr:uid="{00000000-0006-0000-0400-000001000000}">
      <text>
        <r>
          <rPr>
            <b/>
            <sz val="8"/>
            <color indexed="81"/>
            <rFont val="Tahoma"/>
            <family val="2"/>
          </rPr>
          <t xml:space="preserve">Colocar sempre a proj como o final do primeiro ano fiscal e depois trazer a cot aos valores de hoje; </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camil</author>
    <author>usuario</author>
    <author>Usuario de Windows</author>
  </authors>
  <commentList>
    <comment ref="S33" authorId="0" shapeId="0" xr:uid="{00000000-0006-0000-0700-000001000000}">
      <text>
        <r>
          <rPr>
            <b/>
            <sz val="9"/>
            <color indexed="81"/>
            <rFont val="Tahoma"/>
            <family val="2"/>
          </rPr>
          <t>camil:</t>
        </r>
        <r>
          <rPr>
            <sz val="9"/>
            <color indexed="81"/>
            <rFont val="Tahoma"/>
            <family val="2"/>
          </rPr>
          <t xml:space="preserve">
</t>
        </r>
      </text>
    </comment>
    <comment ref="AT70" authorId="1" shapeId="0" xr:uid="{0D6A60BC-18E8-41CF-924A-DB48CEC2BB07}">
      <text>
        <r>
          <rPr>
            <b/>
            <sz val="9"/>
            <color indexed="81"/>
            <rFont val="Tahoma"/>
            <family val="2"/>
          </rPr>
          <t>usuario:</t>
        </r>
        <r>
          <rPr>
            <sz val="9"/>
            <color indexed="81"/>
            <rFont val="Tahoma"/>
            <family val="2"/>
          </rPr>
          <t xml:space="preserve">
teve reversao de PLR, estimado em +250mln</t>
        </r>
      </text>
    </comment>
    <comment ref="AL79" authorId="0" shapeId="0" xr:uid="{760CFD1D-85C0-4FDC-8A74-ABE963111976}">
      <text>
        <r>
          <rPr>
            <b/>
            <sz val="9"/>
            <color indexed="81"/>
            <rFont val="Tahoma"/>
            <family val="2"/>
          </rPr>
          <t>camil:</t>
        </r>
        <r>
          <rPr>
            <sz val="9"/>
            <color indexed="81"/>
            <rFont val="Tahoma"/>
            <family val="2"/>
          </rPr>
          <t xml:space="preserve">
write offs e impairment</t>
        </r>
      </text>
    </comment>
    <comment ref="AT79" authorId="1" shapeId="0" xr:uid="{D8332288-890C-43EF-8630-CFC8F824F6F3}">
      <text>
        <r>
          <rPr>
            <b/>
            <sz val="9"/>
            <color indexed="81"/>
            <rFont val="Tahoma"/>
            <family val="2"/>
          </rPr>
          <t>usuario:</t>
        </r>
        <r>
          <rPr>
            <sz val="9"/>
            <color indexed="81"/>
            <rFont val="Tahoma"/>
            <family val="2"/>
          </rPr>
          <t xml:space="preserve">
-461 de reversao de recebiveis de TBS</t>
        </r>
      </text>
    </comment>
    <comment ref="AL89" authorId="0" shapeId="0" xr:uid="{C4B107DE-03A2-4DFA-8A7A-E0A608ACF393}">
      <text>
        <r>
          <rPr>
            <b/>
            <sz val="9"/>
            <color indexed="81"/>
            <rFont val="Tahoma"/>
            <family val="2"/>
          </rPr>
          <t>camil:</t>
        </r>
        <r>
          <rPr>
            <sz val="9"/>
            <color indexed="81"/>
            <rFont val="Tahoma"/>
            <family val="2"/>
          </rPr>
          <t xml:space="preserve">
Este total ya descuenta TBS. Pero no es asi en el ITR</t>
        </r>
      </text>
    </comment>
    <comment ref="AL100" authorId="0" shapeId="0" xr:uid="{99C59DDE-2405-4810-8CC1-3B775432FE76}">
      <text>
        <r>
          <rPr>
            <b/>
            <sz val="9"/>
            <color indexed="81"/>
            <rFont val="Tahoma"/>
            <family val="2"/>
          </rPr>
          <t>camil:</t>
        </r>
        <r>
          <rPr>
            <sz val="9"/>
            <color indexed="81"/>
            <rFont val="Tahoma"/>
            <family val="2"/>
          </rPr>
          <t xml:space="preserve">
Venta TBS tira casi todas las lojas de la op.</t>
        </r>
      </text>
    </comment>
    <comment ref="AH119" authorId="0" shapeId="0" xr:uid="{ECF9F93F-7154-4373-9EA4-3FB2FD46CF88}">
      <text>
        <r>
          <rPr>
            <b/>
            <sz val="9"/>
            <color indexed="81"/>
            <rFont val="Tahoma"/>
            <family val="2"/>
          </rPr>
          <t>camil:</t>
        </r>
        <r>
          <rPr>
            <sz val="9"/>
            <color indexed="81"/>
            <rFont val="Tahoma"/>
            <family val="2"/>
          </rPr>
          <t xml:space="preserve">
Store and Goodwill Impairment x R$383mln</t>
        </r>
      </text>
    </comment>
    <comment ref="AL119" authorId="0" shapeId="0" xr:uid="{795B4FE3-C20B-40B1-97E6-FDB1422FB603}">
      <text>
        <r>
          <rPr>
            <b/>
            <sz val="9"/>
            <color indexed="81"/>
            <rFont val="Tahoma"/>
            <family val="2"/>
          </rPr>
          <t>camil:</t>
        </r>
        <r>
          <rPr>
            <sz val="9"/>
            <color indexed="81"/>
            <rFont val="Tahoma"/>
            <family val="2"/>
          </rPr>
          <t xml:space="preserve">
Impairment x R$664
Custos de transformacao x R$227
Outras receitas x (R$164)
</t>
        </r>
      </text>
    </comment>
    <comment ref="X121" authorId="0" shapeId="0" xr:uid="{00000000-0006-0000-0700-000003000000}">
      <text>
        <r>
          <rPr>
            <b/>
            <sz val="9"/>
            <color indexed="81"/>
            <rFont val="Tahoma"/>
            <family val="2"/>
          </rPr>
          <t>camil:</t>
        </r>
        <r>
          <rPr>
            <sz val="9"/>
            <color indexed="81"/>
            <rFont val="Tahoma"/>
            <family val="2"/>
          </rPr>
          <t xml:space="preserve">
EX CREDITOS FISCALES Y COSTOS DE TRANSFORMACION DE AVON</t>
        </r>
      </text>
    </comment>
    <comment ref="BQ157" authorId="1" shapeId="0" xr:uid="{893DCBA8-E92B-4C4A-A11A-2B2E780A461C}">
      <text>
        <r>
          <rPr>
            <b/>
            <sz val="9"/>
            <color indexed="81"/>
            <rFont val="Tahoma"/>
            <charset val="1"/>
          </rPr>
          <t>usuario:</t>
        </r>
        <r>
          <rPr>
            <sz val="9"/>
            <color indexed="81"/>
            <rFont val="Tahoma"/>
            <charset val="1"/>
          </rPr>
          <t xml:space="preserve">
Helena Dez 25:
Natura Brasil deve crescer acima do mercado</t>
        </r>
      </text>
    </comment>
    <comment ref="BQ159" authorId="1" shapeId="0" xr:uid="{211103E0-97FA-43B4-A393-B9BE0C0FFF2A}">
      <text>
        <r>
          <rPr>
            <b/>
            <sz val="9"/>
            <color indexed="81"/>
            <rFont val="Tahoma"/>
            <charset val="1"/>
          </rPr>
          <t>usuario:</t>
        </r>
        <r>
          <rPr>
            <sz val="9"/>
            <color indexed="81"/>
            <rFont val="Tahoma"/>
            <charset val="1"/>
          </rPr>
          <t xml:space="preserve">
Helena Dez 25:
Natura hispana deve melhorar mas canibalizando Avon</t>
        </r>
      </text>
    </comment>
    <comment ref="AO164" authorId="1" shapeId="0" xr:uid="{53580F92-F535-4A56-BA30-14D969A53A86}">
      <text>
        <r>
          <rPr>
            <b/>
            <sz val="9"/>
            <color indexed="81"/>
            <rFont val="Tahoma"/>
            <family val="2"/>
          </rPr>
          <t>usuario:</t>
        </r>
        <r>
          <rPr>
            <sz val="9"/>
            <color indexed="81"/>
            <rFont val="Tahoma"/>
            <family val="2"/>
          </rPr>
          <t xml:space="preserve">
80% eh CFT que creio 14% en el 3Q24.</t>
        </r>
      </text>
    </comment>
    <comment ref="AP164" authorId="1" shapeId="0" xr:uid="{084F3F0F-AE51-4878-810E-B94895505274}">
      <text>
        <r>
          <rPr>
            <b/>
            <sz val="9"/>
            <color indexed="81"/>
            <rFont val="Tahoma"/>
            <family val="2"/>
          </rPr>
          <t>usuario:</t>
        </r>
        <r>
          <rPr>
            <sz val="9"/>
            <color indexed="81"/>
            <rFont val="Tahoma"/>
            <family val="2"/>
          </rPr>
          <t xml:space="preserve">
20% es H&amp;S que cayo 40% en 3Q24 yoy.</t>
        </r>
      </text>
    </comment>
    <comment ref="Y165" authorId="0" shapeId="0" xr:uid="{905270DD-E08E-4416-8AF4-AA96A7DEFD12}">
      <text>
        <r>
          <rPr>
            <b/>
            <sz val="9"/>
            <color indexed="81"/>
            <rFont val="Tahoma"/>
            <family val="2"/>
          </rPr>
          <t>camil:</t>
        </r>
        <r>
          <rPr>
            <sz val="9"/>
            <color indexed="81"/>
            <rFont val="Tahoma"/>
            <family val="2"/>
          </rPr>
          <t xml:space="preserve">
+390mln of sales due to the cyberatack en 2Q</t>
        </r>
      </text>
    </comment>
    <comment ref="AX166" authorId="1" shapeId="0" xr:uid="{0724147B-BE21-443A-B5E6-98ED6C745BA9}">
      <text>
        <r>
          <rPr>
            <b/>
            <sz val="9"/>
            <color indexed="81"/>
            <rFont val="Tahoma"/>
            <charset val="1"/>
          </rPr>
          <t>usuario:</t>
        </r>
        <r>
          <rPr>
            <sz val="9"/>
            <color indexed="81"/>
            <rFont val="Tahoma"/>
            <charset val="1"/>
          </rPr>
          <t xml:space="preserve">
Helena Dez 25:
cair 1H26, no 3Q26 cresce neutro, e 4Q26 debe ser ja crescimento de alguma coisa.</t>
        </r>
      </text>
    </comment>
    <comment ref="BQ168" authorId="1" shapeId="0" xr:uid="{9137A997-93D7-4721-BCC9-A46DFABCA0F8}">
      <text>
        <r>
          <rPr>
            <b/>
            <sz val="9"/>
            <color indexed="81"/>
            <rFont val="Tahoma"/>
            <charset val="1"/>
          </rPr>
          <t>usuario:</t>
        </r>
        <r>
          <rPr>
            <sz val="9"/>
            <color indexed="81"/>
            <rFont val="Tahoma"/>
            <charset val="1"/>
          </rPr>
          <t xml:space="preserve">
Helena Dez 25:
Avon hispana ainda cai em 2026</t>
        </r>
      </text>
    </comment>
    <comment ref="AO173" authorId="1" shapeId="0" xr:uid="{A21B29DE-D560-416F-9965-C49EBF88CE4D}">
      <text>
        <r>
          <rPr>
            <b/>
            <sz val="9"/>
            <color indexed="81"/>
            <rFont val="Tahoma"/>
            <family val="2"/>
          </rPr>
          <t>usuario:</t>
        </r>
        <r>
          <rPr>
            <sz val="9"/>
            <color indexed="81"/>
            <rFont val="Tahoma"/>
            <family val="2"/>
          </rPr>
          <t xml:space="preserve">
80% eh CFT que creio 14% en el 3Q24.</t>
        </r>
      </text>
    </comment>
    <comment ref="AP173" authorId="1" shapeId="0" xr:uid="{04C0CF5A-2385-4FE2-B43C-BCBEF5F75891}">
      <text>
        <r>
          <rPr>
            <b/>
            <sz val="9"/>
            <color indexed="81"/>
            <rFont val="Tahoma"/>
            <family val="2"/>
          </rPr>
          <t>usuario:</t>
        </r>
        <r>
          <rPr>
            <sz val="9"/>
            <color indexed="81"/>
            <rFont val="Tahoma"/>
            <family val="2"/>
          </rPr>
          <t xml:space="preserve">
20% es H&amp;S que cayo 40% en 3Q24 yoy.</t>
        </r>
      </text>
    </comment>
    <comment ref="AL190" authorId="1" shapeId="0" xr:uid="{1FE3087E-9740-432F-9985-5CB202D4B49E}">
      <text>
        <r>
          <rPr>
            <b/>
            <sz val="9"/>
            <color indexed="81"/>
            <rFont val="Tahoma"/>
            <family val="2"/>
          </rPr>
          <t>usuario:</t>
        </r>
        <r>
          <rPr>
            <sz val="9"/>
            <color indexed="81"/>
            <rFont val="Tahoma"/>
            <family val="2"/>
          </rPr>
          <t xml:space="preserve">
ajustado por dep ARS
1bln ha mais deveria ter sido</t>
        </r>
      </text>
    </comment>
    <comment ref="AP209" authorId="1" shapeId="0" xr:uid="{3B48E995-4B02-41CB-AC3B-6B557E3F412E}">
      <text>
        <r>
          <rPr>
            <b/>
            <sz val="9"/>
            <color indexed="81"/>
            <rFont val="Tahoma"/>
            <family val="2"/>
          </rPr>
          <t>usuario:</t>
        </r>
        <r>
          <rPr>
            <sz val="9"/>
            <color indexed="81"/>
            <rFont val="Tahoma"/>
            <family val="2"/>
          </rPr>
          <t xml:space="preserve">
aquí eles tiveram um problema de accounting de estoque em argentina</t>
        </r>
      </text>
    </comment>
    <comment ref="AL214" authorId="0" shapeId="0" xr:uid="{892556F2-EBC6-421F-AEAF-823026CD85DD}">
      <text>
        <r>
          <rPr>
            <b/>
            <sz val="9"/>
            <color indexed="81"/>
            <rFont val="Tahoma"/>
            <family val="2"/>
          </rPr>
          <t>camil:</t>
        </r>
        <r>
          <rPr>
            <sz val="9"/>
            <color indexed="81"/>
            <rFont val="Tahoma"/>
            <family val="2"/>
          </rPr>
          <t xml:space="preserve">
esto no es normalizado. Deberia ser aprox 600mln.
Tuve la reversion del bono anual entero</t>
        </r>
      </text>
    </comment>
    <comment ref="AF217" authorId="2" shapeId="0" xr:uid="{00000000-0006-0000-0700-000004000000}">
      <text>
        <r>
          <rPr>
            <b/>
            <sz val="9"/>
            <color indexed="81"/>
            <rFont val="Tahoma"/>
            <family val="2"/>
          </rPr>
          <t>Usuario de Windows:</t>
        </r>
        <r>
          <rPr>
            <sz val="9"/>
            <color indexed="81"/>
            <rFont val="Tahoma"/>
            <family val="2"/>
          </rPr>
          <t xml:space="preserve">
custos de transformacao/integracao/reestruturacao do grupo</t>
        </r>
      </text>
    </comment>
    <comment ref="AM217" authorId="0" shapeId="0" xr:uid="{C0F12C82-0A3A-47C5-8EB3-DBBF62521126}">
      <text>
        <r>
          <rPr>
            <b/>
            <sz val="9"/>
            <color indexed="81"/>
            <rFont val="Tahoma"/>
            <family val="2"/>
          </rPr>
          <t>camil:</t>
        </r>
        <r>
          <rPr>
            <sz val="9"/>
            <color indexed="81"/>
            <rFont val="Tahoma"/>
            <family val="2"/>
          </rPr>
          <t xml:space="preserve">
tax credits</t>
        </r>
      </text>
    </comment>
    <comment ref="X233" authorId="0" shapeId="0" xr:uid="{00000000-0006-0000-0700-000005000000}">
      <text>
        <r>
          <rPr>
            <b/>
            <sz val="9"/>
            <color indexed="81"/>
            <rFont val="Tahoma"/>
            <family val="2"/>
          </rPr>
          <t>camil:</t>
        </r>
        <r>
          <rPr>
            <sz val="9"/>
            <color indexed="81"/>
            <rFont val="Tahoma"/>
            <family val="2"/>
          </rPr>
          <t xml:space="preserve">
Credito fiscal de $97mln - costo de transf de $24.3mln</t>
        </r>
      </text>
    </comment>
    <comment ref="Y407" authorId="0" shapeId="0" xr:uid="{00000000-0006-0000-0700-000006000000}">
      <text>
        <r>
          <rPr>
            <b/>
            <sz val="9"/>
            <color indexed="81"/>
            <rFont val="Tahoma"/>
            <family val="2"/>
          </rPr>
          <t>camil:</t>
        </r>
        <r>
          <rPr>
            <sz val="9"/>
            <color indexed="81"/>
            <rFont val="Tahoma"/>
            <family val="2"/>
          </rPr>
          <t xml:space="preserve">
+390mln of sales due to the cyberatack en 2Q</t>
        </r>
      </text>
    </comment>
    <comment ref="AL408" authorId="0" shapeId="0" xr:uid="{C288BC2E-5488-451F-B14F-F74DB5F27DE3}">
      <text>
        <r>
          <rPr>
            <b/>
            <sz val="9"/>
            <color indexed="81"/>
            <rFont val="Tahoma"/>
            <family val="2"/>
          </rPr>
          <t>camil:</t>
        </r>
        <r>
          <rPr>
            <sz val="9"/>
            <color indexed="81"/>
            <rFont val="Tahoma"/>
            <family val="2"/>
          </rPr>
          <t xml:space="preserve">
so CFT</t>
        </r>
      </text>
    </comment>
    <comment ref="AL409" authorId="0" shapeId="0" xr:uid="{755B6145-99F9-498D-9D07-495F2F264667}">
      <text>
        <r>
          <rPr>
            <b/>
            <sz val="9"/>
            <color indexed="81"/>
            <rFont val="Tahoma"/>
            <family val="2"/>
          </rPr>
          <t>camil:</t>
        </r>
        <r>
          <rPr>
            <sz val="9"/>
            <color indexed="81"/>
            <rFont val="Tahoma"/>
            <family val="2"/>
          </rPr>
          <t xml:space="preserve">
so CFT</t>
        </r>
      </text>
    </comment>
    <comment ref="AL483" authorId="0" shapeId="0" xr:uid="{D87CD3FE-F2F3-4150-BBCE-795377B5C600}">
      <text>
        <r>
          <rPr>
            <b/>
            <sz val="9"/>
            <color indexed="81"/>
            <rFont val="Tahoma"/>
            <family val="2"/>
          </rPr>
          <t>camil:</t>
        </r>
        <r>
          <rPr>
            <sz val="9"/>
            <color indexed="81"/>
            <rFont val="Tahoma"/>
            <family val="2"/>
          </rPr>
          <t xml:space="preserve">
impairment x R$664mln de venta a TBS que no va a ser pago</t>
        </r>
      </text>
    </comment>
    <comment ref="AM483" authorId="0" shapeId="0" xr:uid="{D904EFD0-C5DB-4969-8012-4183070F4FF5}">
      <text>
        <r>
          <rPr>
            <b/>
            <sz val="9"/>
            <color indexed="81"/>
            <rFont val="Tahoma"/>
            <family val="2"/>
          </rPr>
          <t>camil:</t>
        </r>
        <r>
          <rPr>
            <sz val="9"/>
            <color indexed="81"/>
            <rFont val="Tahoma"/>
            <family val="2"/>
          </rPr>
          <t xml:space="preserve">
The Body
Shop accounts receivables write-off of BRL 92 million
</t>
        </r>
      </text>
    </comment>
    <comment ref="W541" authorId="0" shapeId="0" xr:uid="{00000000-0006-0000-0700-000007000000}">
      <text>
        <r>
          <rPr>
            <b/>
            <sz val="9"/>
            <color indexed="81"/>
            <rFont val="Tahoma"/>
            <family val="2"/>
          </rPr>
          <t>camil:</t>
        </r>
        <r>
          <rPr>
            <sz val="9"/>
            <color indexed="81"/>
            <rFont val="Tahoma"/>
            <family val="2"/>
          </rPr>
          <t xml:space="preserve">
EX LATAM</t>
        </r>
      </text>
    </comment>
    <comment ref="W609" authorId="0" shapeId="0" xr:uid="{00000000-0006-0000-0700-000008000000}">
      <text>
        <r>
          <rPr>
            <b/>
            <sz val="9"/>
            <color indexed="81"/>
            <rFont val="Tahoma"/>
            <family val="2"/>
          </rPr>
          <t>camil:</t>
        </r>
        <r>
          <rPr>
            <sz val="9"/>
            <color indexed="81"/>
            <rFont val="Tahoma"/>
            <family val="2"/>
          </rPr>
          <t xml:space="preserve">
excluding Latam</t>
        </r>
      </text>
    </comment>
    <comment ref="B684" authorId="0" shapeId="0" xr:uid="{00000000-0006-0000-0700-000009000000}">
      <text>
        <r>
          <rPr>
            <b/>
            <sz val="9"/>
            <color indexed="81"/>
            <rFont val="Tahoma"/>
            <family val="2"/>
          </rPr>
          <t>camil:</t>
        </r>
        <r>
          <rPr>
            <sz val="9"/>
            <color indexed="81"/>
            <rFont val="Tahoma"/>
            <family val="2"/>
          </rPr>
          <t xml:space="preserve">
30% = 105mln avg</t>
        </r>
      </text>
    </comment>
    <comment ref="B690" authorId="0" shapeId="0" xr:uid="{00000000-0006-0000-0700-00000A000000}">
      <text>
        <r>
          <rPr>
            <b/>
            <sz val="9"/>
            <color indexed="81"/>
            <rFont val="Tahoma"/>
            <family val="2"/>
          </rPr>
          <t>camil:</t>
        </r>
        <r>
          <rPr>
            <sz val="9"/>
            <color indexed="81"/>
            <rFont val="Tahoma"/>
            <family val="2"/>
          </rPr>
          <t xml:space="preserve">
28.5% = 100mln avg</t>
        </r>
      </text>
    </comment>
    <comment ref="B692" authorId="0" shapeId="0" xr:uid="{00000000-0006-0000-0700-00000B000000}">
      <text>
        <r>
          <rPr>
            <b/>
            <sz val="9"/>
            <color indexed="81"/>
            <rFont val="Tahoma"/>
            <family val="2"/>
          </rPr>
          <t>camil:</t>
        </r>
        <r>
          <rPr>
            <sz val="9"/>
            <color indexed="81"/>
            <rFont val="Tahoma"/>
            <family val="2"/>
          </rPr>
          <t xml:space="preserve">
17.8% = 62.5 mln avg
</t>
        </r>
      </text>
    </comment>
    <comment ref="B694" authorId="0" shapeId="0" xr:uid="{00000000-0006-0000-0700-00000C000000}">
      <text>
        <r>
          <rPr>
            <b/>
            <sz val="9"/>
            <color indexed="81"/>
            <rFont val="Tahoma"/>
            <family val="2"/>
          </rPr>
          <t>camil:</t>
        </r>
        <r>
          <rPr>
            <sz val="9"/>
            <color indexed="81"/>
            <rFont val="Tahoma"/>
            <family val="2"/>
          </rPr>
          <t xml:space="preserve">
23.6% = 83.5mln avg</t>
        </r>
      </text>
    </comment>
    <comment ref="B704" authorId="0" shapeId="0" xr:uid="{00000000-0006-0000-0700-00000D000000}">
      <text>
        <r>
          <rPr>
            <b/>
            <sz val="9"/>
            <color indexed="81"/>
            <rFont val="Tahoma"/>
            <family val="2"/>
          </rPr>
          <t>camil:</t>
        </r>
        <r>
          <rPr>
            <sz val="9"/>
            <color indexed="81"/>
            <rFont val="Tahoma"/>
            <family val="2"/>
          </rPr>
          <t xml:space="preserve">
Entre 300-400 mln es el guidance a alcanzar en 2024</t>
        </r>
      </text>
    </comment>
    <comment ref="B708" authorId="0" shapeId="0" xr:uid="{00000000-0006-0000-0700-00000E000000}">
      <text>
        <r>
          <rPr>
            <b/>
            <sz val="9"/>
            <color indexed="81"/>
            <rFont val="Tahoma"/>
            <family val="2"/>
          </rPr>
          <t xml:space="preserve">
Total de 190mln hasta 2024</t>
        </r>
      </text>
    </comment>
    <comment ref="B709" authorId="0" shapeId="0" xr:uid="{00000000-0006-0000-0700-00000F000000}">
      <text>
        <r>
          <rPr>
            <b/>
            <sz val="9"/>
            <color indexed="81"/>
            <rFont val="Tahoma"/>
            <family val="2"/>
          </rPr>
          <t xml:space="preserve">
Total de 190mln hasta 2024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camil</author>
    <author>usuario</author>
  </authors>
  <commentList>
    <comment ref="S2" authorId="0" shapeId="0" xr:uid="{00000000-0006-0000-0800-000001000000}">
      <text>
        <r>
          <rPr>
            <b/>
            <sz val="9"/>
            <color indexed="81"/>
            <rFont val="Tahoma"/>
            <family val="2"/>
          </rPr>
          <t>camil:</t>
        </r>
        <r>
          <rPr>
            <sz val="9"/>
            <color indexed="81"/>
            <rFont val="Tahoma"/>
            <family val="2"/>
          </rPr>
          <t xml:space="preserve">
IFRS 16 IMPACT
</t>
        </r>
      </text>
    </comment>
    <comment ref="B19" authorId="0" shapeId="0" xr:uid="{00000000-0006-0000-0800-000002000000}">
      <text>
        <r>
          <rPr>
            <b/>
            <sz val="9"/>
            <color indexed="81"/>
            <rFont val="Tahoma"/>
            <family val="2"/>
          </rPr>
          <t>camil:</t>
        </r>
        <r>
          <rPr>
            <sz val="9"/>
            <color indexed="81"/>
            <rFont val="Tahoma"/>
            <family val="2"/>
          </rPr>
          <t xml:space="preserve">
Aca estan las sinergias</t>
        </r>
      </text>
    </comment>
    <comment ref="V34" authorId="0" shapeId="0" xr:uid="{00000000-0006-0000-0800-000003000000}">
      <text>
        <r>
          <rPr>
            <b/>
            <sz val="9"/>
            <color indexed="81"/>
            <rFont val="Tahoma"/>
            <family val="2"/>
          </rPr>
          <t>camil:</t>
        </r>
        <r>
          <rPr>
            <sz val="9"/>
            <color indexed="81"/>
            <rFont val="Tahoma"/>
            <family val="2"/>
          </rPr>
          <t xml:space="preserve">
206.6 de tax sobre creacion de holding
</t>
        </r>
      </text>
    </comment>
    <comment ref="AN34" authorId="0" shapeId="0" xr:uid="{373EFE21-178A-4D29-9B46-29A27CF2E610}">
      <text>
        <r>
          <rPr>
            <b/>
            <sz val="9"/>
            <color indexed="81"/>
            <rFont val="Tahoma"/>
            <family val="2"/>
          </rPr>
          <t>camil:</t>
        </r>
        <r>
          <rPr>
            <sz val="9"/>
            <color indexed="81"/>
            <rFont val="Tahoma"/>
            <family val="2"/>
          </rPr>
          <t xml:space="preserve">
palmente pelo write-off não-caixa não-recorrente de R$ 725 milhões que impactou a linha de
impostos neste trimestre. Esse write-off foi contabilizado como resultado da reestruturação voluntária da API, que torna
improvável continuar a reconhecer os ganhos obtidos com a otimização da estrutura corporativa da Avon, originalmente
contabilizados no 2T-21</t>
        </r>
      </text>
    </comment>
    <comment ref="AM40" authorId="0" shapeId="0" xr:uid="{2404356A-E6D7-4594-90D0-639BDEE87853}">
      <text>
        <r>
          <rPr>
            <b/>
            <sz val="9"/>
            <color indexed="81"/>
            <rFont val="Tahoma"/>
            <family val="2"/>
          </rPr>
          <t>camil:</t>
        </r>
        <r>
          <rPr>
            <sz val="9"/>
            <color indexed="81"/>
            <rFont val="Tahoma"/>
            <family val="2"/>
          </rPr>
          <t xml:space="preserve">
TBS entra em chapter 11 entao estimam nao recibir a contraprestacao contingente a certas metricas operacionais</t>
        </r>
      </text>
    </comment>
    <comment ref="S51" authorId="0" shapeId="0" xr:uid="{00000000-0006-0000-0800-000004000000}">
      <text>
        <r>
          <rPr>
            <b/>
            <sz val="9"/>
            <color indexed="81"/>
            <rFont val="Tahoma"/>
            <family val="2"/>
          </rPr>
          <t>camil:</t>
        </r>
        <r>
          <rPr>
            <sz val="9"/>
            <color indexed="81"/>
            <rFont val="Tahoma"/>
            <family val="2"/>
          </rPr>
          <t xml:space="preserve">
IFRS 16 IMPACT
</t>
        </r>
      </text>
    </comment>
    <comment ref="AL67" authorId="0" shapeId="0" xr:uid="{2BE17CF0-8DF0-47B4-A13C-40F9FBACF7F4}">
      <text>
        <r>
          <rPr>
            <b/>
            <sz val="9"/>
            <color indexed="81"/>
            <rFont val="Tahoma"/>
            <family val="2"/>
          </rPr>
          <t>camil:</t>
        </r>
        <r>
          <rPr>
            <sz val="9"/>
            <color indexed="81"/>
            <rFont val="Tahoma"/>
            <family val="2"/>
          </rPr>
          <t xml:space="preserve">
recibe por venta Aesop net tax
</t>
        </r>
      </text>
    </comment>
    <comment ref="AM67" authorId="0" shapeId="0" xr:uid="{D4A8F36F-A0E3-44DE-9DB3-9CA865A83646}">
      <text>
        <r>
          <rPr>
            <b/>
            <sz val="9"/>
            <color indexed="81"/>
            <rFont val="Tahoma"/>
            <family val="2"/>
          </rPr>
          <t>camil:</t>
        </r>
        <r>
          <rPr>
            <sz val="9"/>
            <color indexed="81"/>
            <rFont val="Tahoma"/>
            <family val="2"/>
          </rPr>
          <t xml:space="preserve">
venta TBS R$1.3bln a serem pagos em 5 anos
</t>
        </r>
      </text>
    </comment>
    <comment ref="BP67" authorId="0" shapeId="0" xr:uid="{E4292511-6611-4E2E-B86B-573B8CF9A991}">
      <text>
        <r>
          <rPr>
            <b/>
            <sz val="9"/>
            <color indexed="81"/>
            <rFont val="Tahoma"/>
            <family val="2"/>
          </rPr>
          <t>camil:</t>
        </r>
        <r>
          <rPr>
            <sz val="9"/>
            <color indexed="81"/>
            <rFont val="Tahoma"/>
            <family val="2"/>
          </rPr>
          <t xml:space="preserve">
venta TBS R$1.3bln a serem pagos em 5 anos ajustado por selic
</t>
        </r>
      </text>
    </comment>
    <comment ref="BQ67" authorId="0" shapeId="0" xr:uid="{C1DFA4D5-4A3E-4905-83B0-061F793256CD}">
      <text>
        <r>
          <rPr>
            <b/>
            <sz val="9"/>
            <color indexed="81"/>
            <rFont val="Tahoma"/>
            <family val="2"/>
          </rPr>
          <t>camil:</t>
        </r>
        <r>
          <rPr>
            <sz val="9"/>
            <color indexed="81"/>
            <rFont val="Tahoma"/>
            <family val="2"/>
          </rPr>
          <t xml:space="preserve">
venta TBS R$1.3bln a serem pagos em 5 anos ajustado por selic
</t>
        </r>
      </text>
    </comment>
    <comment ref="AS113" authorId="1" shapeId="0" xr:uid="{7D1E5A9B-FCB9-431F-BCEC-A6DC24E8395A}">
      <text>
        <r>
          <rPr>
            <b/>
            <sz val="9"/>
            <color indexed="81"/>
            <rFont val="Tahoma"/>
            <family val="2"/>
          </rPr>
          <t>usuario:</t>
        </r>
        <r>
          <rPr>
            <sz val="9"/>
            <color indexed="81"/>
            <rFont val="Tahoma"/>
            <family val="2"/>
          </rPr>
          <t xml:space="preserve">
Goodwill Avon Latam</t>
        </r>
      </text>
    </comment>
    <comment ref="S205" authorId="0" shapeId="0" xr:uid="{00000000-0006-0000-0800-000006000000}">
      <text>
        <r>
          <rPr>
            <b/>
            <sz val="9"/>
            <color indexed="81"/>
            <rFont val="Tahoma"/>
            <family val="2"/>
          </rPr>
          <t>camil:</t>
        </r>
        <r>
          <rPr>
            <sz val="9"/>
            <color indexed="81"/>
            <rFont val="Tahoma"/>
            <family val="2"/>
          </rPr>
          <t xml:space="preserve">
IFRS 16 IMPACT
</t>
        </r>
      </text>
    </comment>
    <comment ref="S222" authorId="0" shapeId="0" xr:uid="{E349EA55-79CA-4CB9-9B9E-EE4308B4618A}">
      <text>
        <r>
          <rPr>
            <b/>
            <sz val="9"/>
            <color indexed="81"/>
            <rFont val="Tahoma"/>
            <family val="2"/>
          </rPr>
          <t>camil:</t>
        </r>
        <r>
          <rPr>
            <sz val="9"/>
            <color indexed="81"/>
            <rFont val="Tahoma"/>
            <family val="2"/>
          </rPr>
          <t xml:space="preserve">
IFRS 16 IMPACT
</t>
        </r>
      </text>
    </comment>
    <comment ref="S238" authorId="0" shapeId="0" xr:uid="{A20189C6-083A-4F05-BFF9-69025E7456B4}">
      <text>
        <r>
          <rPr>
            <b/>
            <sz val="9"/>
            <color indexed="81"/>
            <rFont val="Tahoma"/>
            <family val="2"/>
          </rPr>
          <t>camil:</t>
        </r>
        <r>
          <rPr>
            <sz val="9"/>
            <color indexed="81"/>
            <rFont val="Tahoma"/>
            <family val="2"/>
          </rPr>
          <t xml:space="preserve">
IFRS 16 IMPACT
</t>
        </r>
      </text>
    </comment>
    <comment ref="S269" authorId="0" shapeId="0" xr:uid="{940B14C2-A719-427E-9B30-5C4EA50A4A6D}">
      <text>
        <r>
          <rPr>
            <b/>
            <sz val="9"/>
            <color indexed="81"/>
            <rFont val="Tahoma"/>
            <family val="2"/>
          </rPr>
          <t>camil:</t>
        </r>
        <r>
          <rPr>
            <sz val="9"/>
            <color indexed="81"/>
            <rFont val="Tahoma"/>
            <family val="2"/>
          </rPr>
          <t xml:space="preserve">
IFRS 16 IMPACT
</t>
        </r>
      </text>
    </comment>
    <comment ref="S276" authorId="0" shapeId="0" xr:uid="{85E11E20-B52F-49A4-A767-D942978DA81D}">
      <text>
        <r>
          <rPr>
            <b/>
            <sz val="9"/>
            <color indexed="81"/>
            <rFont val="Tahoma"/>
            <family val="2"/>
          </rPr>
          <t>camil:</t>
        </r>
        <r>
          <rPr>
            <sz val="9"/>
            <color indexed="81"/>
            <rFont val="Tahoma"/>
            <family val="2"/>
          </rPr>
          <t xml:space="preserve">
IFRS 16 IMPACT
</t>
        </r>
      </text>
    </comment>
    <comment ref="BQ353" authorId="0" shapeId="0" xr:uid="{C0589B50-99EC-48B4-88BB-B0B15E9E5E00}">
      <text>
        <r>
          <rPr>
            <b/>
            <sz val="9"/>
            <color indexed="81"/>
            <rFont val="Tahoma"/>
            <family val="2"/>
          </rPr>
          <t>camil:</t>
        </r>
        <r>
          <rPr>
            <sz val="9"/>
            <color indexed="81"/>
            <rFont val="Tahoma"/>
            <family val="2"/>
          </rPr>
          <t xml:space="preserve">
pagamento em maio 2028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camil</author>
  </authors>
  <commentList>
    <comment ref="D2" authorId="0" shapeId="0" xr:uid="{00000000-0006-0000-0900-000001000000}">
      <text>
        <r>
          <rPr>
            <b/>
            <sz val="9"/>
            <color indexed="81"/>
            <rFont val="Tahoma"/>
            <family val="2"/>
          </rPr>
          <t>camil:</t>
        </r>
        <r>
          <rPr>
            <sz val="9"/>
            <color indexed="81"/>
            <rFont val="Tahoma"/>
            <family val="2"/>
          </rPr>
          <t xml:space="preserve">
IFRS 16 IMPACT
</t>
        </r>
      </text>
    </comment>
    <comment ref="H2" authorId="0" shapeId="0" xr:uid="{00000000-0006-0000-0900-000002000000}">
      <text>
        <r>
          <rPr>
            <b/>
            <sz val="9"/>
            <color indexed="81"/>
            <rFont val="Tahoma"/>
            <family val="2"/>
          </rPr>
          <t>camil:</t>
        </r>
        <r>
          <rPr>
            <sz val="9"/>
            <color indexed="81"/>
            <rFont val="Tahoma"/>
            <family val="2"/>
          </rPr>
          <t xml:space="preserve">
IFRS 16 IMPACT
</t>
        </r>
      </text>
    </comment>
    <comment ref="X19" authorId="0" shapeId="0" xr:uid="{9F0402D3-506C-496E-B85F-8310C31A963A}">
      <text>
        <r>
          <rPr>
            <b/>
            <sz val="9"/>
            <color indexed="81"/>
            <rFont val="Tahoma"/>
            <family val="2"/>
          </rPr>
          <t>camil:</t>
        </r>
        <r>
          <rPr>
            <sz val="9"/>
            <color indexed="81"/>
            <rFont val="Tahoma"/>
            <family val="2"/>
          </rPr>
          <t xml:space="preserve">
Prepagado. Quedan solo R$3497mln</t>
        </r>
      </text>
    </comment>
    <comment ref="X31" authorId="0" shapeId="0" xr:uid="{2D8A23EE-87E4-4B19-A831-E17CED549163}">
      <text>
        <r>
          <rPr>
            <b/>
            <sz val="9"/>
            <color indexed="81"/>
            <rFont val="Tahoma"/>
            <family val="2"/>
          </rPr>
          <t>camil:</t>
        </r>
        <r>
          <rPr>
            <sz val="9"/>
            <color indexed="81"/>
            <rFont val="Tahoma"/>
            <family val="2"/>
          </rPr>
          <t xml:space="preserve">
Prepagado. Quedan solo R$129mln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camil</author>
  </authors>
  <commentList>
    <comment ref="B20" authorId="0" shapeId="0" xr:uid="{00000000-0006-0000-0B00-000001000000}">
      <text>
        <r>
          <rPr>
            <b/>
            <sz val="9"/>
            <color indexed="81"/>
            <rFont val="Tahoma"/>
            <family val="2"/>
          </rPr>
          <t>camil:</t>
        </r>
        <r>
          <rPr>
            <sz val="9"/>
            <color indexed="81"/>
            <rFont val="Tahoma"/>
            <family val="2"/>
          </rPr>
          <t xml:space="preserve">
GAAP</t>
        </r>
      </text>
    </comment>
    <comment ref="B25" authorId="0" shapeId="0" xr:uid="{00000000-0006-0000-0B00-000002000000}">
      <text>
        <r>
          <rPr>
            <b/>
            <sz val="9"/>
            <color indexed="81"/>
            <rFont val="Tahoma"/>
            <family val="2"/>
          </rPr>
          <t>camil:</t>
        </r>
        <r>
          <rPr>
            <sz val="9"/>
            <color indexed="81"/>
            <rFont val="Tahoma"/>
            <family val="2"/>
          </rPr>
          <t xml:space="preserve">
Non-GAAP</t>
        </r>
      </text>
    </comment>
    <comment ref="AM104" authorId="0" shapeId="0" xr:uid="{00000000-0006-0000-0B00-000003000000}">
      <text>
        <r>
          <rPr>
            <b/>
            <sz val="9"/>
            <color indexed="81"/>
            <rFont val="Tahoma"/>
            <family val="2"/>
          </rPr>
          <t>camil:</t>
        </r>
        <r>
          <rPr>
            <sz val="9"/>
            <color indexed="81"/>
            <rFont val="Tahoma"/>
            <family val="2"/>
          </rPr>
          <t xml:space="preserve">
TAX CREDIT  $164.8</t>
        </r>
      </text>
    </comment>
    <comment ref="AM108" authorId="0" shapeId="0" xr:uid="{00000000-0006-0000-0B00-000004000000}">
      <text>
        <r>
          <rPr>
            <b/>
            <sz val="9"/>
            <color indexed="81"/>
            <rFont val="Tahoma"/>
            <family val="2"/>
          </rPr>
          <t>camil:</t>
        </r>
        <r>
          <rPr>
            <sz val="9"/>
            <color indexed="81"/>
            <rFont val="Tahoma"/>
            <family val="2"/>
          </rPr>
          <t xml:space="preserve">
tax credit $168.4
</t>
        </r>
      </text>
    </comment>
    <comment ref="Q121" authorId="0" shapeId="0" xr:uid="{00000000-0006-0000-0B00-000005000000}">
      <text>
        <r>
          <rPr>
            <b/>
            <sz val="9"/>
            <color indexed="81"/>
            <rFont val="Tahoma"/>
            <family val="2"/>
          </rPr>
          <t>camil:</t>
        </r>
        <r>
          <rPr>
            <sz val="9"/>
            <color indexed="81"/>
            <rFont val="Tahoma"/>
            <family val="2"/>
          </rPr>
          <t xml:space="preserve">
Brazil IPI tax release for $168.4
</t>
        </r>
      </text>
    </comment>
    <comment ref="B129" authorId="0" shapeId="0" xr:uid="{00000000-0006-0000-0B00-000006000000}">
      <text>
        <r>
          <rPr>
            <b/>
            <sz val="9"/>
            <color indexed="81"/>
            <rFont val="Tahoma"/>
            <family val="2"/>
          </rPr>
          <t>camil:</t>
        </r>
        <r>
          <rPr>
            <sz val="9"/>
            <color indexed="81"/>
            <rFont val="Tahoma"/>
            <family val="2"/>
          </rPr>
          <t xml:space="preserve">
Casi todo Mexico. Capaz CAD tmb</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camil</author>
  </authors>
  <commentList>
    <comment ref="S2" authorId="0" shapeId="0" xr:uid="{00000000-0006-0000-0C00-000001000000}">
      <text>
        <r>
          <rPr>
            <b/>
            <sz val="9"/>
            <color indexed="81"/>
            <rFont val="Tahoma"/>
            <family val="2"/>
          </rPr>
          <t>camil:</t>
        </r>
        <r>
          <rPr>
            <sz val="9"/>
            <color indexed="81"/>
            <rFont val="Tahoma"/>
            <family val="2"/>
          </rPr>
          <t xml:space="preserve">
IFRS 16 IMPACT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<sst xmlns="http://schemas.openxmlformats.org/spreadsheetml/2006/main" count="2238" uniqueCount="1009">
  <si>
    <t>Pro-Forma</t>
  </si>
  <si>
    <t>(R$ million)</t>
  </si>
  <si>
    <t>Consolidated</t>
  </si>
  <si>
    <t>Brazil</t>
  </si>
  <si>
    <t>Latam</t>
  </si>
  <si>
    <t>Aesop</t>
  </si>
  <si>
    <t>1Q16</t>
  </si>
  <si>
    <t>2Q16</t>
  </si>
  <si>
    <t>3Q16</t>
  </si>
  <si>
    <t>4Q16</t>
  </si>
  <si>
    <t>Total Consultants - end of period ('000)2</t>
  </si>
  <si>
    <t>Total Consultants - average of period ('000)</t>
  </si>
  <si>
    <t>Units sold – items for resale (in million)</t>
  </si>
  <si>
    <t>Gross Revenue</t>
  </si>
  <si>
    <t>Net Revenue</t>
  </si>
  <si>
    <t>Gross Profit</t>
  </si>
  <si>
    <t>Selling, Marketing and Logistics Expenses</t>
  </si>
  <si>
    <t>Administrative, R&amp;D, IT and Projects Expenses</t>
  </si>
  <si>
    <t>Employee profit sharing</t>
  </si>
  <si>
    <t>Management compensation</t>
  </si>
  <si>
    <t>Other Operating Income / (Expenses), net</t>
  </si>
  <si>
    <t>Financial Income / (Expenses), net</t>
  </si>
  <si>
    <t>Income Tax and Social Contribution</t>
  </si>
  <si>
    <t>Noncontrolling shareholders</t>
  </si>
  <si>
    <t>Net Income**</t>
  </si>
  <si>
    <t>EBITDA*</t>
  </si>
  <si>
    <t xml:space="preserve">Gross Margin </t>
  </si>
  <si>
    <t>Selling, Marketing and Logistics Expenses/Net Revenue</t>
  </si>
  <si>
    <t>Administrative, R&amp;D, IT and Projects Expenses/Net Revenue</t>
  </si>
  <si>
    <t>Net Margin</t>
  </si>
  <si>
    <t>EBITDA Margin</t>
  </si>
  <si>
    <t>(*) EBITDA = Income from operations before financial effects + depreciation &amp; amortization.</t>
  </si>
  <si>
    <t>n/a</t>
  </si>
  <si>
    <t>FATOR</t>
  </si>
  <si>
    <t>HOJE</t>
  </si>
  <si>
    <t>PROJ</t>
  </si>
  <si>
    <t>DIAS</t>
  </si>
  <si>
    <t>Preço Gmat3</t>
  </si>
  <si>
    <t>CAGR</t>
  </si>
  <si>
    <t>Mkt Cap</t>
  </si>
  <si>
    <t>FCF</t>
  </si>
  <si>
    <t>LL 26</t>
  </si>
  <si>
    <t>Soma dos FCF</t>
  </si>
  <si>
    <t>GR%</t>
  </si>
  <si>
    <t>P/E 2026 hj</t>
  </si>
  <si>
    <t>(+) Perpetuidade</t>
  </si>
  <si>
    <t>Upside</t>
  </si>
  <si>
    <t>EV</t>
  </si>
  <si>
    <t>(-) Total Debt</t>
  </si>
  <si>
    <t xml:space="preserve">P/E tgt </t>
  </si>
  <si>
    <t>(+) Caixa</t>
  </si>
  <si>
    <t>(+) VP Outros Ativos Fin Líquidos</t>
  </si>
  <si>
    <t>Lula</t>
  </si>
  <si>
    <t>(+) Investimentos</t>
  </si>
  <si>
    <t>(+) Outros Ativos Não Oper.</t>
  </si>
  <si>
    <t>(-) Opções</t>
  </si>
  <si>
    <t>ROE1</t>
  </si>
  <si>
    <t>(+) Ajuste Dividendos</t>
  </si>
  <si>
    <t>ROE2</t>
  </si>
  <si>
    <t>(-) Minoritários</t>
  </si>
  <si>
    <t>G1</t>
  </si>
  <si>
    <t>Valor de Mercado Proj</t>
  </si>
  <si>
    <t>G2</t>
  </si>
  <si>
    <t>Num Ações</t>
  </si>
  <si>
    <t>Ke</t>
  </si>
  <si>
    <t>N (moat)</t>
  </si>
  <si>
    <t>Cot R$ HOJE PROJ</t>
  </si>
  <si>
    <t xml:space="preserve">Cot R$ 12m </t>
  </si>
  <si>
    <t>INFL</t>
  </si>
  <si>
    <t>GDP Perp</t>
  </si>
  <si>
    <t>Cot R$ HJ</t>
  </si>
  <si>
    <t>Aj. G2</t>
  </si>
  <si>
    <t>var%</t>
  </si>
  <si>
    <t>BNTNB</t>
  </si>
  <si>
    <t>ERP</t>
  </si>
  <si>
    <t>Valor de Mercado hj</t>
  </si>
  <si>
    <t>Beta</t>
  </si>
  <si>
    <t>P/E Target</t>
  </si>
  <si>
    <t>Noplat 2030</t>
  </si>
  <si>
    <t>UPSIDE 2026</t>
  </si>
  <si>
    <t>P/E Target 2026</t>
  </si>
  <si>
    <t>ROIC</t>
  </si>
  <si>
    <t>G</t>
  </si>
  <si>
    <t>Wacc</t>
  </si>
  <si>
    <t>Perp</t>
  </si>
  <si>
    <t>DRE</t>
  </si>
  <si>
    <t>WACC %</t>
  </si>
  <si>
    <t>Alavancagem</t>
  </si>
  <si>
    <t>Rdebt %</t>
  </si>
  <si>
    <t xml:space="preserve">  Debt Bruto %</t>
  </si>
  <si>
    <t xml:space="preserve">  IR %</t>
  </si>
  <si>
    <t>Requity %</t>
  </si>
  <si>
    <t>Juros Real</t>
  </si>
  <si>
    <t xml:space="preserve">Equity risk premium </t>
  </si>
  <si>
    <t>IPCA</t>
  </si>
  <si>
    <t>FCFF</t>
  </si>
  <si>
    <t>FD</t>
  </si>
  <si>
    <t>VP</t>
  </si>
  <si>
    <t>IRR</t>
  </si>
  <si>
    <t>Yield</t>
  </si>
  <si>
    <t>NATURA</t>
  </si>
  <si>
    <t>Preço:</t>
  </si>
  <si>
    <t>DRE - MILLONES BRL</t>
  </si>
  <si>
    <t>Receita Bruta</t>
  </si>
  <si>
    <t>BRL</t>
  </si>
  <si>
    <t>y-o-y</t>
  </si>
  <si>
    <t>Interest</t>
  </si>
  <si>
    <t>Natura &amp; co Latam</t>
  </si>
  <si>
    <t>yoy</t>
  </si>
  <si>
    <t>%RB</t>
  </si>
  <si>
    <t>Avon Int</t>
  </si>
  <si>
    <t>Net Rev 2024</t>
  </si>
  <si>
    <t>Receita Líquida</t>
  </si>
  <si>
    <t>EBITDA mrgn</t>
  </si>
  <si>
    <t>EBITDA</t>
  </si>
  <si>
    <t>CPV</t>
  </si>
  <si>
    <t>Lucro Bruto</t>
  </si>
  <si>
    <t>EBITDA ex Brasil</t>
  </si>
  <si>
    <t>mg Bruta</t>
  </si>
  <si>
    <t>Upside x FX</t>
  </si>
  <si>
    <t>SG&amp;A</t>
  </si>
  <si>
    <t>EBITDA Final</t>
  </si>
  <si>
    <t>% Net Rev</t>
  </si>
  <si>
    <t>Vendas</t>
  </si>
  <si>
    <t>G&amp;A</t>
  </si>
  <si>
    <t>Outras</t>
  </si>
  <si>
    <t>EBIT</t>
  </si>
  <si>
    <t>Resultado Financeiro</t>
  </si>
  <si>
    <t>EBT</t>
  </si>
  <si>
    <t>Res Não Operacional e Descontinuadas</t>
  </si>
  <si>
    <t>LAIR</t>
  </si>
  <si>
    <t>IR &amp; CS</t>
  </si>
  <si>
    <t>taxa efectiva</t>
  </si>
  <si>
    <t>Participações</t>
  </si>
  <si>
    <t>Minoritários</t>
  </si>
  <si>
    <t>FLUXO DE CAIXA FIRMA</t>
  </si>
  <si>
    <t>margem EBITDA</t>
  </si>
  <si>
    <t>EBITDA Adj</t>
  </si>
  <si>
    <t>EBITDA Latam</t>
  </si>
  <si>
    <t>mrgn</t>
  </si>
  <si>
    <t>% do total</t>
  </si>
  <si>
    <t>EBITDA INT</t>
  </si>
  <si>
    <t>Depreciacion</t>
  </si>
  <si>
    <t>Capex</t>
  </si>
  <si>
    <t>Múltiplos</t>
  </si>
  <si>
    <t>Net Debt</t>
  </si>
  <si>
    <t>Cash &amp; Ativos Fin</t>
  </si>
  <si>
    <t>Deuda</t>
  </si>
  <si>
    <t>Net Debt / EBITDA</t>
  </si>
  <si>
    <t>CG</t>
  </si>
  <si>
    <t>Days</t>
  </si>
  <si>
    <t>EPS</t>
  </si>
  <si>
    <t>P/E</t>
  </si>
  <si>
    <t>Paula Mansenaqui.. Trabajaba en banco do brasil.</t>
  </si>
  <si>
    <t xml:space="preserve"> Yield</t>
  </si>
  <si>
    <t># Shares Natura</t>
  </si>
  <si>
    <t>NetDebt/EBITDA</t>
  </si>
  <si>
    <t>P/BV</t>
  </si>
  <si>
    <t>EV/EBITDA</t>
  </si>
  <si>
    <t>EV/Sales</t>
  </si>
  <si>
    <t>ROE</t>
  </si>
  <si>
    <t>DATOS AESOP 2023</t>
  </si>
  <si>
    <t>DATOS TBS</t>
  </si>
  <si>
    <t>Sales 2023</t>
  </si>
  <si>
    <t>EBITDA 2023</t>
  </si>
  <si>
    <t>Venta Aesop</t>
  </si>
  <si>
    <t>Transaccion vs Loreal 2017</t>
  </si>
  <si>
    <t>mln USD</t>
  </si>
  <si>
    <t>Loreal Compra en 2006</t>
  </si>
  <si>
    <t>euros</t>
  </si>
  <si>
    <t>mln BRL</t>
  </si>
  <si>
    <t>Natura compro en 2017</t>
  </si>
  <si>
    <t>Sales 2017</t>
  </si>
  <si>
    <t>Ebitda 2017</t>
  </si>
  <si>
    <t>Pago na compra 2012</t>
  </si>
  <si>
    <t>https://www.ft.com/content/12dc9e7c-400a-3b68-9de0-96f91b11edaa</t>
  </si>
  <si>
    <t>Ganho de Capital</t>
  </si>
  <si>
    <t>tax rate</t>
  </si>
  <si>
    <t>Tax paid</t>
  </si>
  <si>
    <t>Cash Neto</t>
  </si>
  <si>
    <t>Use of cash</t>
  </si>
  <si>
    <t>Bono 2043</t>
  </si>
  <si>
    <t>Neto</t>
  </si>
  <si>
    <t>Latam EBITDA mrgn</t>
  </si>
  <si>
    <t>Avon Int - EBITDA mrgn</t>
  </si>
  <si>
    <t>Revenue Total</t>
  </si>
  <si>
    <t>Nat&amp;co</t>
  </si>
  <si>
    <t>TBS</t>
  </si>
  <si>
    <t>EBITDA Consolidado</t>
  </si>
  <si>
    <t>Corp exp</t>
  </si>
  <si>
    <t>Mrgn Total</t>
  </si>
  <si>
    <t>Resultado Financiero</t>
  </si>
  <si>
    <t>Impostos</t>
  </si>
  <si>
    <t>Ajuste Agio</t>
  </si>
  <si>
    <t>Net Income</t>
  </si>
  <si>
    <t>PE</t>
  </si>
  <si>
    <t>Cenario Sem TBS</t>
  </si>
  <si>
    <t>Nat&amp;co Latam</t>
  </si>
  <si>
    <t>yoy Growth</t>
  </si>
  <si>
    <t>Corporate Exp</t>
  </si>
  <si>
    <t>Mrgn EBITDA Cons</t>
  </si>
  <si>
    <t>Dep TBS</t>
  </si>
  <si>
    <t>Aesop EBITDA Total 2023</t>
  </si>
  <si>
    <t>% vendido</t>
  </si>
  <si>
    <t>Cash x Venta after tax</t>
  </si>
  <si>
    <t xml:space="preserve">Deuda </t>
  </si>
  <si>
    <t>Deuda post Aesop</t>
  </si>
  <si>
    <t>delta</t>
  </si>
  <si>
    <t>Caja</t>
  </si>
  <si>
    <t>Caja post Aesop</t>
  </si>
  <si>
    <t xml:space="preserve">Net Debt </t>
  </si>
  <si>
    <t>Net Debt post Aesop</t>
  </si>
  <si>
    <t>Receita Financeira</t>
  </si>
  <si>
    <t>Despesa Financeira</t>
  </si>
  <si>
    <t>Taxa fin total</t>
  </si>
  <si>
    <t>Resultado Fin Nuevo</t>
  </si>
  <si>
    <t>Receita Selic</t>
  </si>
  <si>
    <t>Despesa Selic+3%</t>
  </si>
  <si>
    <t>con 10bi sacas mas deuda porque esta barata a mercado</t>
  </si>
  <si>
    <t>EV/EBITDA x Aesop</t>
  </si>
  <si>
    <t>Aesop % sold by Natura</t>
  </si>
  <si>
    <t>Inflação IPC-A</t>
  </si>
  <si>
    <t>R$ million</t>
  </si>
  <si>
    <t>1Q15</t>
  </si>
  <si>
    <t>2Q15</t>
  </si>
  <si>
    <t>3Q15</t>
  </si>
  <si>
    <t>4Q15</t>
  </si>
  <si>
    <t>Q1-17</t>
  </si>
  <si>
    <t>Q2-17</t>
  </si>
  <si>
    <r>
      <t>Q3-17</t>
    </r>
    <r>
      <rPr>
        <b/>
        <vertAlign val="superscript"/>
        <sz val="10"/>
        <color rgb="FF3D291E"/>
        <rFont val="Calibri"/>
        <family val="2"/>
        <scheme val="minor"/>
      </rPr>
      <t>(a)</t>
    </r>
  </si>
  <si>
    <r>
      <t>Q4-17</t>
    </r>
    <r>
      <rPr>
        <b/>
        <vertAlign val="superscript"/>
        <sz val="10"/>
        <color rgb="FF3D291E"/>
        <rFont val="Calibri"/>
        <family val="2"/>
        <scheme val="minor"/>
      </rPr>
      <t>(a)</t>
    </r>
  </si>
  <si>
    <t>Q1-18(a)</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</si>
  <si>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</si>
  <si>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</si>
  <si>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</si>
  <si>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</si>
  <si>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</si>
  <si>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</si>
  <si>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</si>
  <si>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</si>
  <si>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</si>
  <si>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</si>
  <si>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</si>
  <si>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</si>
  <si>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</si>
  <si>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</si>
  <si>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</si>
  <si>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</si>
  <si>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</si>
  <si>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</si>
  <si>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</si>
  <si>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</si>
  <si>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</si>
  <si>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</si>
  <si>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</si>
  <si>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</si>
  <si>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</si>
  <si>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</si>
  <si>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</si>
  <si>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</si>
  <si>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</si>
  <si>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</si>
  <si>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Q4-25</t>
  </si>
  <si>
    <t>2019 PROFORMA</t>
  </si>
  <si>
    <t>Total Consultants - end of period ('000)</t>
  </si>
  <si>
    <t>Natura Brasil</t>
  </si>
  <si>
    <t>% Sales</t>
  </si>
  <si>
    <t>Natura Latam</t>
  </si>
  <si>
    <t>The body Shop</t>
  </si>
  <si>
    <t>Others</t>
  </si>
  <si>
    <t>Natura &amp; Co Latam</t>
  </si>
  <si>
    <t>Avon International</t>
  </si>
  <si>
    <t>TBS (ex latam)</t>
  </si>
  <si>
    <t>Aesop (ex latam)</t>
  </si>
  <si>
    <t>% Revs</t>
  </si>
  <si>
    <t>COGS</t>
  </si>
  <si>
    <t xml:space="preserve">   Selling, Marketing and Logistics Expenses</t>
  </si>
  <si>
    <t xml:space="preserve">   Administrative, R&amp;D, IT and Projects Expenses</t>
  </si>
  <si>
    <t xml:space="preserve">   Other Operating Income / (Expenses) net</t>
  </si>
  <si>
    <r>
      <t xml:space="preserve">   Acquisition related expenses</t>
    </r>
    <r>
      <rPr>
        <vertAlign val="superscript"/>
        <sz val="10"/>
        <color theme="1"/>
        <rFont val="Calibri"/>
        <family val="2"/>
        <scheme val="minor"/>
      </rPr>
      <t>(c)</t>
    </r>
  </si>
  <si>
    <r>
      <t xml:space="preserve">   Corporate Expenses</t>
    </r>
    <r>
      <rPr>
        <vertAlign val="superscript"/>
        <sz val="10"/>
        <color theme="1"/>
        <rFont val="Calibri"/>
        <family val="2"/>
        <scheme val="minor"/>
      </rPr>
      <t>(d)</t>
    </r>
  </si>
  <si>
    <t xml:space="preserve">   Transformation Costs</t>
  </si>
  <si>
    <t>Depreciacion Total</t>
  </si>
  <si>
    <t>% sales</t>
  </si>
  <si>
    <t>Depreciation Imob e Intag</t>
  </si>
  <si>
    <t>Inmob</t>
  </si>
  <si>
    <t>Taxa</t>
  </si>
  <si>
    <t>Arrendamento</t>
  </si>
  <si>
    <t>Leases Activo</t>
  </si>
  <si>
    <t>taxa</t>
  </si>
  <si>
    <t>Lojas de varejo</t>
  </si>
  <si>
    <t>Dep</t>
  </si>
  <si>
    <t>tasa</t>
  </si>
  <si>
    <t>Leases Pasivo</t>
  </si>
  <si>
    <t>CP</t>
  </si>
  <si>
    <t>LP</t>
  </si>
  <si>
    <t>Ajustes</t>
  </si>
  <si>
    <t>dif</t>
  </si>
  <si>
    <t>Depreciation</t>
  </si>
  <si>
    <t>NATURA LATAM &amp; CO</t>
  </si>
  <si>
    <t>PRO FORMA</t>
  </si>
  <si>
    <t>Total Gross Revs</t>
  </si>
  <si>
    <t>% revs</t>
  </si>
  <si>
    <t>Total Net Revs</t>
  </si>
  <si>
    <t>Natura</t>
  </si>
  <si>
    <t>Brasil</t>
  </si>
  <si>
    <t>Other Hispanic Latam BRL</t>
  </si>
  <si>
    <t>nat latam adj</t>
  </si>
  <si>
    <t xml:space="preserve">Avon </t>
  </si>
  <si>
    <t>OTHERS</t>
  </si>
  <si>
    <t>avon</t>
  </si>
  <si>
    <t>ajustado total</t>
  </si>
  <si>
    <t>Total Hispanic (BRL)</t>
  </si>
  <si>
    <t>Mexico</t>
  </si>
  <si>
    <t>Argentina</t>
  </si>
  <si>
    <t>LCL</t>
  </si>
  <si>
    <t>% Chg</t>
  </si>
  <si>
    <t>Gross Margin</t>
  </si>
  <si>
    <t>% of Net Revenue</t>
  </si>
  <si>
    <t>Administrative Expenses</t>
  </si>
  <si>
    <t>Other Income (Expense), net</t>
  </si>
  <si>
    <t>Transformation costs</t>
  </si>
  <si>
    <t>Total SG&amp;A</t>
  </si>
  <si>
    <t>Operating Income</t>
  </si>
  <si>
    <t>Operating Margin</t>
  </si>
  <si>
    <t>Depreciation and Amortization</t>
  </si>
  <si>
    <t>% Total</t>
  </si>
  <si>
    <t>EBITDA (adj ex tax credit)</t>
  </si>
  <si>
    <t>EBITDA (adj ex tax credit e ex transf cost)</t>
  </si>
  <si>
    <t>NATURA COSMETICOS S.A. (Natura+TBS+Aesop e Latam)</t>
  </si>
  <si>
    <t xml:space="preserve">Net Revenue </t>
  </si>
  <si>
    <t>% of Total</t>
  </si>
  <si>
    <t>NATURA BRAND LATAM ( tira Aesop e TBS )</t>
  </si>
  <si>
    <t>Net Revenue Brasil</t>
  </si>
  <si>
    <t>EBITDA EX IFRS</t>
  </si>
  <si>
    <t>Dif</t>
  </si>
  <si>
    <t>LatAm Exposure - % of Revenue</t>
  </si>
  <si>
    <t>Chile</t>
  </si>
  <si>
    <t>Peru</t>
  </si>
  <si>
    <t>Colombia</t>
  </si>
  <si>
    <t>Total</t>
  </si>
  <si>
    <t>FX Impact</t>
  </si>
  <si>
    <t>Local vs USD</t>
  </si>
  <si>
    <t>USD vs BRL</t>
  </si>
  <si>
    <t>EXPOSURE EX FX</t>
  </si>
  <si>
    <t>Consultants added</t>
  </si>
  <si>
    <t>Units per consultant</t>
  </si>
  <si>
    <t>Gross Rev per unit</t>
  </si>
  <si>
    <t>Gross Rev per Consultant</t>
  </si>
  <si>
    <t>Gross Revenue EST</t>
  </si>
  <si>
    <t>Gross Revenue REAL</t>
  </si>
  <si>
    <t>Net Revenue Latam Hispanic</t>
  </si>
  <si>
    <t>check</t>
  </si>
  <si>
    <t>Revenues</t>
  </si>
  <si>
    <t>dif yoy</t>
  </si>
  <si>
    <t>AVON BRAND LATAM</t>
  </si>
  <si>
    <t>Other Hispanic Latam</t>
  </si>
  <si>
    <t>% Total Latam</t>
  </si>
  <si>
    <t>AVON INTERNATIONAL</t>
  </si>
  <si>
    <t>--&gt; Desconosolidacao x CHAPTER 11</t>
  </si>
  <si>
    <t>Gross Revs</t>
  </si>
  <si>
    <t>USD</t>
  </si>
  <si>
    <t>Europe, Middle East &amp; Africa</t>
  </si>
  <si>
    <t>Asia Pacific</t>
  </si>
  <si>
    <t>REPORTED NET REVENUES</t>
  </si>
  <si>
    <t>DIF</t>
  </si>
  <si>
    <t>EBITDA Adj.</t>
  </si>
  <si>
    <t>Aesop - AUD</t>
  </si>
  <si>
    <t>"--&gt; VENDIDO"</t>
  </si>
  <si>
    <t>FX Rate (BRL/AUD), Period-End</t>
  </si>
  <si>
    <t>FX Rate (BRL/AUD), Average</t>
  </si>
  <si>
    <t xml:space="preserve">   % Chg Q/Q, Avg</t>
  </si>
  <si>
    <t xml:space="preserve">   % Chg Y/Y, Avg</t>
  </si>
  <si>
    <t>SSS</t>
  </si>
  <si>
    <t>Maturacao</t>
  </si>
  <si>
    <t>Lojas</t>
  </si>
  <si>
    <t>Exclusivas</t>
  </si>
  <si>
    <t>Departamento</t>
  </si>
  <si>
    <t>Add no tri</t>
  </si>
  <si>
    <t>Receita por loja BRL</t>
  </si>
  <si>
    <t>Receita por loja AUD</t>
  </si>
  <si>
    <t>Gross Rev AUD</t>
  </si>
  <si>
    <t>Gross Revenue BRL</t>
  </si>
  <si>
    <t>Other Operating Income (Expenses)</t>
  </si>
  <si>
    <t>% Total Dep</t>
  </si>
  <si>
    <t>The Body Shop (UK, APAC, UE)</t>
  </si>
  <si>
    <t>Propias</t>
  </si>
  <si>
    <t>Franquias</t>
  </si>
  <si>
    <t>Receita por loja GBP</t>
  </si>
  <si>
    <t>Gross Revenue GBP</t>
  </si>
  <si>
    <t>Other Corporate</t>
  </si>
  <si>
    <t>Gross Rev</t>
  </si>
  <si>
    <t>Net Rev</t>
  </si>
  <si>
    <t>Selling</t>
  </si>
  <si>
    <t>Adm</t>
  </si>
  <si>
    <t>Corporativos</t>
  </si>
  <si>
    <t>TOTAL TRANSACTION</t>
  </si>
  <si>
    <t>Synergies x Topline</t>
  </si>
  <si>
    <t>Avon Turnaround (40%)</t>
  </si>
  <si>
    <t>Cross-penetration (50%)</t>
  </si>
  <si>
    <t>New Natura Markets (10%)</t>
  </si>
  <si>
    <t>Synergies x Sourcing</t>
  </si>
  <si>
    <t>Maximos destinados por venue</t>
  </si>
  <si>
    <t>Synergies x Manufacturing &amp;Dist</t>
  </si>
  <si>
    <t>Synergies x Corporate/Administrative</t>
  </si>
  <si>
    <t>Restructuring Costs</t>
  </si>
  <si>
    <t>SYNERGIES ALCANZADAS BRL</t>
  </si>
  <si>
    <t>TOTAL SYNERGIES ESPERADAS USD</t>
  </si>
  <si>
    <t>SYNERGIES ALCANZADAS USD</t>
  </si>
  <si>
    <t>GUIDANCE</t>
  </si>
  <si>
    <t>EL GUIDANCE ES 350-450 PERO HAY UNOS 100MLN QUE PROYECTAN EN REVENUES</t>
  </si>
  <si>
    <t>% DEL ESPERADO</t>
  </si>
  <si>
    <t>datos:</t>
  </si>
  <si>
    <t>TOTAL COST ESPERADO USD</t>
  </si>
  <si>
    <t>TOTAL COST USD</t>
  </si>
  <si>
    <t>NET SYNERGIES BRL</t>
  </si>
  <si>
    <t>NET SYNERGIES ESPERADAS USD</t>
  </si>
  <si>
    <t>NET SYNERGIES ALCANZADAS USD</t>
  </si>
  <si>
    <t>1T15</t>
  </si>
  <si>
    <t>2T15</t>
  </si>
  <si>
    <t>3T15</t>
  </si>
  <si>
    <t>4T15</t>
  </si>
  <si>
    <t>1T16</t>
  </si>
  <si>
    <t>2T16</t>
  </si>
  <si>
    <t>3T16</t>
  </si>
  <si>
    <t>4T16</t>
  </si>
  <si>
    <t>1T17</t>
  </si>
  <si>
    <t>2T17</t>
  </si>
  <si>
    <t>3T17</t>
  </si>
  <si>
    <t>4T17</t>
  </si>
  <si>
    <t>1T18</t>
  </si>
  <si>
    <t>2T18</t>
  </si>
  <si>
    <t>3T18</t>
  </si>
  <si>
    <t>4T18</t>
  </si>
  <si>
    <t>1T19</t>
  </si>
  <si>
    <t>2T19</t>
  </si>
  <si>
    <t>3T19</t>
  </si>
  <si>
    <t>4T19</t>
  </si>
  <si>
    <t>1T20</t>
  </si>
  <si>
    <t>2T20</t>
  </si>
  <si>
    <t>3T20</t>
  </si>
  <si>
    <t>4T20</t>
  </si>
  <si>
    <t>1T21</t>
  </si>
  <si>
    <t>2T21</t>
  </si>
  <si>
    <t>3T21</t>
  </si>
  <si>
    <t>4T21</t>
  </si>
  <si>
    <t>1T22</t>
  </si>
  <si>
    <t>2T22</t>
  </si>
  <si>
    <t>3T22</t>
  </si>
  <si>
    <t>4T22</t>
  </si>
  <si>
    <t>1T23</t>
  </si>
  <si>
    <t>2T23</t>
  </si>
  <si>
    <t>3T23</t>
  </si>
  <si>
    <t>4T23</t>
  </si>
  <si>
    <t>1T24</t>
  </si>
  <si>
    <t>2T24</t>
  </si>
  <si>
    <t>3T24</t>
  </si>
  <si>
    <t>4T24</t>
  </si>
  <si>
    <t>1T25</t>
  </si>
  <si>
    <t>2T25</t>
  </si>
  <si>
    <t>3T25</t>
  </si>
  <si>
    <t>4T25</t>
  </si>
  <si>
    <t>Impostos e Ajustes</t>
  </si>
  <si>
    <t xml:space="preserve">mrgn </t>
  </si>
  <si>
    <t xml:space="preserve">  Desp Vendas</t>
  </si>
  <si>
    <t xml:space="preserve">  Desp Administrativas</t>
  </si>
  <si>
    <t xml:space="preserve">  Depreciação</t>
  </si>
  <si>
    <t xml:space="preserve">  Outras Receitas (Despesas)</t>
  </si>
  <si>
    <t xml:space="preserve">  Receitas Financeiras</t>
  </si>
  <si>
    <t xml:space="preserve">  Despesas Financeiras</t>
  </si>
  <si>
    <t>% Taxa</t>
  </si>
  <si>
    <t>Subv investimento</t>
  </si>
  <si>
    <t>LL Ajustado</t>
  </si>
  <si>
    <t>Subv invst</t>
  </si>
  <si>
    <t>% RL</t>
  </si>
  <si>
    <t>(-) Deprec &amp; Amort</t>
  </si>
  <si>
    <t xml:space="preserve">    (-) Amort</t>
  </si>
  <si>
    <t xml:space="preserve">    (-) Depreciação</t>
  </si>
  <si>
    <t>EBIT IFRS</t>
  </si>
  <si>
    <t xml:space="preserve"> (-) Juros con arrendamentos</t>
  </si>
  <si>
    <t>EBIT IAS</t>
  </si>
  <si>
    <t xml:space="preserve">  (-) Provisão de IR &amp; CS</t>
  </si>
  <si>
    <t xml:space="preserve">  (+) Ajustes Fiscais</t>
  </si>
  <si>
    <t xml:space="preserve">  (-) Part</t>
  </si>
  <si>
    <t>NOPLAT</t>
  </si>
  <si>
    <t xml:space="preserve">  (+) Deprec &amp; Amort Imob</t>
  </si>
  <si>
    <t xml:space="preserve"> (+) Impostos Diferidos</t>
  </si>
  <si>
    <t xml:space="preserve">  (-) Inv Cap Giro</t>
  </si>
  <si>
    <t xml:space="preserve">  (-) Capex</t>
  </si>
  <si>
    <t xml:space="preserve">  (+) Venda de Ativos</t>
  </si>
  <si>
    <t>FCF Firm</t>
  </si>
  <si>
    <t xml:space="preserve">  (-) Outros Ativos Não Oper.</t>
  </si>
  <si>
    <t xml:space="preserve">  (+) Outras Rec (Desp) Não Oper</t>
  </si>
  <si>
    <t xml:space="preserve">  (+) Resultado Financeiro Bruto</t>
  </si>
  <si>
    <t xml:space="preserve">  (+) Ajustes IR</t>
  </si>
  <si>
    <t xml:space="preserve">  (+) Divid. Recebidos Líquidos</t>
  </si>
  <si>
    <t>FCFequity</t>
  </si>
  <si>
    <t xml:space="preserve">  (-) Dividendos Pagos no Período</t>
  </si>
  <si>
    <t xml:space="preserve">  (+) Aumento Dívidas CP</t>
  </si>
  <si>
    <t xml:space="preserve">  (+) Aumento Dívidas LP</t>
  </si>
  <si>
    <t xml:space="preserve">  (+) Subscrição de Ações</t>
  </si>
  <si>
    <t xml:space="preserve">  (-) Outros Ativos Finan</t>
  </si>
  <si>
    <t xml:space="preserve">  (+) Outros Ajustes</t>
  </si>
  <si>
    <t>Aumento No Caixa</t>
  </si>
  <si>
    <t>BALANÇO</t>
  </si>
  <si>
    <t>ATIVO CIRCULANTE</t>
  </si>
  <si>
    <t xml:space="preserve">    Dispon. + Aplic.Fin.</t>
  </si>
  <si>
    <t xml:space="preserve">    Outros Ativos Financeiros CP</t>
  </si>
  <si>
    <t xml:space="preserve">    Clientes</t>
  </si>
  <si>
    <t xml:space="preserve">    Estoques</t>
  </si>
  <si>
    <t xml:space="preserve">    Recoverable Taxes</t>
  </si>
  <si>
    <t>REALIZÁVEL LP</t>
  </si>
  <si>
    <t xml:space="preserve">    Impostos Diferidos</t>
  </si>
  <si>
    <t xml:space="preserve">    Outros Realiz. LP</t>
  </si>
  <si>
    <t>ATIVO PERMANENTE</t>
  </si>
  <si>
    <t xml:space="preserve">    Imobilizado Líquido</t>
  </si>
  <si>
    <t xml:space="preserve">    Diferido Líquido/ Intangível</t>
  </si>
  <si>
    <t>ATIVO TOTAL</t>
  </si>
  <si>
    <t>PASSIVO CIRCULANTE</t>
  </si>
  <si>
    <t xml:space="preserve">    Fornecedores</t>
  </si>
  <si>
    <t xml:space="preserve">    Financiamentos CP</t>
  </si>
  <si>
    <t xml:space="preserve">    Labor Obligations</t>
  </si>
  <si>
    <t xml:space="preserve">    Fiscal Liabilities</t>
  </si>
  <si>
    <t xml:space="preserve">    Dividends</t>
  </si>
  <si>
    <t>EXIGÍVEL LP</t>
  </si>
  <si>
    <t xml:space="preserve">    Financiamentos LP</t>
  </si>
  <si>
    <t xml:space="preserve">    Deferred taxes</t>
  </si>
  <si>
    <t xml:space="preserve">    Patrimônio Líquido</t>
  </si>
  <si>
    <t xml:space="preserve">    Particip. Minorit.</t>
  </si>
  <si>
    <t>PASSIVO TOTAL</t>
  </si>
  <si>
    <t xml:space="preserve">  Dif</t>
  </si>
  <si>
    <t>COI</t>
  </si>
  <si>
    <t xml:space="preserve">  CG</t>
  </si>
  <si>
    <t xml:space="preserve">    Ativos Oper</t>
  </si>
  <si>
    <t xml:space="preserve">    Passivos Oper</t>
  </si>
  <si>
    <t xml:space="preserve">  Imobilizado &amp; Diferido</t>
  </si>
  <si>
    <t xml:space="preserve">  Net Debt</t>
  </si>
  <si>
    <t xml:space="preserve">    CAIXA</t>
  </si>
  <si>
    <t xml:space="preserve">    Outros Ativos Financeiros</t>
  </si>
  <si>
    <t xml:space="preserve">    Financiamentos</t>
  </si>
  <si>
    <t>Dívidas en moeda estrangeira (em R$)</t>
  </si>
  <si>
    <t>en USD</t>
  </si>
  <si>
    <t>Variação de FX não caixa</t>
  </si>
  <si>
    <t>Real Cash Burn</t>
  </si>
  <si>
    <t>Net Debt / EBITDA LTM</t>
  </si>
  <si>
    <t>Patrimônio Ajustado</t>
  </si>
  <si>
    <t xml:space="preserve">    Minoritários</t>
  </si>
  <si>
    <t xml:space="preserve">    Imposto Diferido</t>
  </si>
  <si>
    <t xml:space="preserve">    Dividendos</t>
  </si>
  <si>
    <t xml:space="preserve">    (+) Arrendamento</t>
  </si>
  <si>
    <t xml:space="preserve">    (-) Outros Ativos Não Oper</t>
  </si>
  <si>
    <t xml:space="preserve">    (-) Investimentos</t>
  </si>
  <si>
    <t>Giro dias</t>
  </si>
  <si>
    <t>Giro Clientes (d)</t>
  </si>
  <si>
    <t>Giro Estoques (d)</t>
  </si>
  <si>
    <t>Giro Fornecedores (d)</t>
  </si>
  <si>
    <t>CG/Sales</t>
  </si>
  <si>
    <t>Impostos (d)</t>
  </si>
  <si>
    <t>Outros Ativos Circ/Sales</t>
  </si>
  <si>
    <t>Outros Passivos Oper Circ/Sales</t>
  </si>
  <si>
    <t>WC change in Balance Sheet</t>
  </si>
  <si>
    <t>Accounts Receivable</t>
  </si>
  <si>
    <t>Inventories</t>
  </si>
  <si>
    <t>Other Assets</t>
  </si>
  <si>
    <t>Accounts Payable</t>
  </si>
  <si>
    <t>Other Liabilities</t>
  </si>
  <si>
    <t>WC change reported in Cash Flow St.</t>
  </si>
  <si>
    <t>dif nominal</t>
  </si>
  <si>
    <t>dif %</t>
  </si>
  <si>
    <t>CAPEX / DEPRECIAÇÃO</t>
  </si>
  <si>
    <t>% Depr</t>
  </si>
  <si>
    <t>Dep Total</t>
  </si>
  <si>
    <t xml:space="preserve">   Inmobilizado</t>
  </si>
  <si>
    <t xml:space="preserve">       %</t>
  </si>
  <si>
    <t xml:space="preserve">  Intangible</t>
  </si>
  <si>
    <t xml:space="preserve">   Arrendamento</t>
  </si>
  <si>
    <t xml:space="preserve">      %</t>
  </si>
  <si>
    <t>Goodwill</t>
  </si>
  <si>
    <t>IR / DIVIDENDOS</t>
  </si>
  <si>
    <t>JCP Value</t>
  </si>
  <si>
    <t>MIN (50%LL ou TJLP*PL)</t>
  </si>
  <si>
    <t>Dividendos</t>
  </si>
  <si>
    <t>% Pay out</t>
  </si>
  <si>
    <t>Dividendos + JCP</t>
  </si>
  <si>
    <t>Pay Out total</t>
  </si>
  <si>
    <t>Dividendos e JCP minoritários</t>
  </si>
  <si>
    <t>Pay out div</t>
  </si>
  <si>
    <t>Check</t>
  </si>
  <si>
    <t>MARGENS / IND</t>
  </si>
  <si>
    <t>Net Debt/EBITDA</t>
  </si>
  <si>
    <t>FINANCEIRO</t>
  </si>
  <si>
    <t>Net Financial Result</t>
  </si>
  <si>
    <t>Rec Fin REAL</t>
  </si>
  <si>
    <t>Caixa Inicial</t>
  </si>
  <si>
    <t>Caixa Final Estimado</t>
  </si>
  <si>
    <t>Caixa Final</t>
  </si>
  <si>
    <t>Outros activos fin</t>
  </si>
  <si>
    <t>Media</t>
  </si>
  <si>
    <t>Tx Juros Caixa</t>
  </si>
  <si>
    <t xml:space="preserve">  Juros %</t>
  </si>
  <si>
    <t xml:space="preserve">  CDI %</t>
  </si>
  <si>
    <t xml:space="preserve">% </t>
  </si>
  <si>
    <t>Desp Fin REAL</t>
  </si>
  <si>
    <t>Juros com financiamentos</t>
  </si>
  <si>
    <t>Juros com Leasing</t>
  </si>
  <si>
    <t>Financiamento CP Total</t>
  </si>
  <si>
    <t>Financiamento LP Total</t>
  </si>
  <si>
    <t>Financiamento Total</t>
  </si>
  <si>
    <t>Financiamento Médio</t>
  </si>
  <si>
    <t>CDI</t>
  </si>
  <si>
    <t>Local</t>
  </si>
  <si>
    <t>Debentures (a)</t>
  </si>
  <si>
    <t>%taxa</t>
  </si>
  <si>
    <t>Foreign</t>
  </si>
  <si>
    <t>Notes - Avon BRL</t>
  </si>
  <si>
    <t>Interest BRL</t>
  </si>
  <si>
    <t>Notes - Avon USD</t>
  </si>
  <si>
    <t>Notes BRL</t>
  </si>
  <si>
    <t>Notes USD</t>
  </si>
  <si>
    <t>Interest USD</t>
  </si>
  <si>
    <t>Others BRL</t>
  </si>
  <si>
    <t>Others USD</t>
  </si>
  <si>
    <t>Total Fin</t>
  </si>
  <si>
    <t>Debentures</t>
  </si>
  <si>
    <t>CDI + 1.5% (aprox)</t>
  </si>
  <si>
    <t>Juros</t>
  </si>
  <si>
    <t>Moeda estrangeira</t>
  </si>
  <si>
    <t>en usd</t>
  </si>
  <si>
    <t>Outros</t>
  </si>
  <si>
    <t>Leasing CP Total</t>
  </si>
  <si>
    <t>Leasing LP Total</t>
  </si>
  <si>
    <t>Leasing Total</t>
  </si>
  <si>
    <t>Leasing Médio</t>
  </si>
  <si>
    <t>DEUDA BRL</t>
  </si>
  <si>
    <t>SOFR</t>
  </si>
  <si>
    <t>TOTAL JUROS</t>
  </si>
  <si>
    <t>Total BRL Debt</t>
  </si>
  <si>
    <t>BONOS</t>
  </si>
  <si>
    <t>TOTAL USD</t>
  </si>
  <si>
    <t>Natura Cosmeticos</t>
  </si>
  <si>
    <t>2028/2029</t>
  </si>
  <si>
    <t>Natura&amp;CO Int</t>
  </si>
  <si>
    <t>Avon</t>
  </si>
  <si>
    <t>DEBENTURES</t>
  </si>
  <si>
    <t>ipca +</t>
  </si>
  <si>
    <t>PROMISSORY NOTES</t>
  </si>
  <si>
    <t>Ntco</t>
  </si>
  <si>
    <t>DI +</t>
  </si>
  <si>
    <t xml:space="preserve">SOFR + </t>
  </si>
  <si>
    <t>MATURITIES</t>
  </si>
  <si>
    <t>POST TRANSACTION</t>
  </si>
  <si>
    <t>Original CCY</t>
  </si>
  <si>
    <t>Maturity</t>
  </si>
  <si>
    <t>Conditions</t>
  </si>
  <si>
    <t>https://ri.naturaeco.com/en/financial-information/indebtedness/</t>
  </si>
  <si>
    <t>Local Currency</t>
  </si>
  <si>
    <t>Financing Agency for Studies and Projects (FINEP)</t>
  </si>
  <si>
    <t>Interest of 3.5% p.a. for the installment maturing in June 2023</t>
  </si>
  <si>
    <t>Interest of 108% to 112% of the CDI and 1.4% + CDI and 1.75% + CDI, maturing in August 2019, March 2020, September 2020, September 2021 and September 2022.</t>
  </si>
  <si>
    <t>BNDES</t>
  </si>
  <si>
    <t>TJLP + interest of 0.5% p.a. to 3.96% p.a. and fixed-rate contracts of 3.5% p.a. to 5% p.a. (PSI) (b)</t>
  </si>
  <si>
    <t>BNDES FINAME</t>
  </si>
  <si>
    <t>Interest of 4.5% p.a. + TJLP for contracts up to 2012 and for contracts executed as of 2013 fixed rate of 3% p.a. (PSI) (b); Contracts in August 2014 overpaid in 2016 at fixed rate of 6% p.a. to 10.5% p.a.</t>
  </si>
  <si>
    <t>Working capital - - Operation Peru</t>
  </si>
  <si>
    <t>Peruvian Sol</t>
  </si>
  <si>
    <t>Interest of 3.99% p.a.</t>
  </si>
  <si>
    <t>Working capital - - Operation Mexico</t>
  </si>
  <si>
    <t>MXN</t>
  </si>
  <si>
    <t>Interest of 1.15% p.a. + TIIE (c)</t>
  </si>
  <si>
    <t>Working capital - - Operation Aesop</t>
  </si>
  <si>
    <t>AUD</t>
  </si>
  <si>
    <t>USD Libor + interest of 0.92%</t>
  </si>
  <si>
    <t>Working capital - - Operation TBS</t>
  </si>
  <si>
    <t>Working capital - - Operation Avon</t>
  </si>
  <si>
    <t>Promissory Notes</t>
  </si>
  <si>
    <t>CDI + 2%</t>
  </si>
  <si>
    <t>Títulos representativos de dívida (“Notes”) – Avon</t>
  </si>
  <si>
    <t>Foreign Currency</t>
  </si>
  <si>
    <t>Exchange rate variation + interest of 1.8% p.a. to 2.3% p.a. + Resolution 635 (a)</t>
  </si>
  <si>
    <t>ACE Advances on Exchange Contracts Delivered</t>
  </si>
  <si>
    <t>Discount of 3.72% p.a.</t>
  </si>
  <si>
    <t>Notes</t>
  </si>
  <si>
    <t>Interest of 5.375% p.a. (a)</t>
  </si>
  <si>
    <t>Resolution 4131/62</t>
  </si>
  <si>
    <t>Exchange rate variation + Libor + interest of 1.1% p.a. (a)</t>
  </si>
  <si>
    <t>TOTAL</t>
  </si>
  <si>
    <t>Circulante</t>
  </si>
  <si>
    <t>Nao Circulante</t>
  </si>
  <si>
    <t>Vencimientos Nao Circulantes</t>
  </si>
  <si>
    <t xml:space="preserve">2024 + </t>
  </si>
  <si>
    <t>Títulos representativos de dívida (“Notes”) – Avon USD</t>
  </si>
  <si>
    <t>cost</t>
  </si>
  <si>
    <t>SEM GARANTIA</t>
  </si>
  <si>
    <t>COM GARANTIA</t>
  </si>
  <si>
    <t>Títulos representativos de dívida (“Notes”) – Avon BRL</t>
  </si>
  <si>
    <t>FX</t>
  </si>
  <si>
    <t>fx</t>
  </si>
  <si>
    <t>Cupon rate</t>
  </si>
  <si>
    <t>Par value</t>
  </si>
  <si>
    <t>Mkt price</t>
  </si>
  <si>
    <t>discount</t>
  </si>
  <si>
    <t>Time periods</t>
  </si>
  <si>
    <t>Cash flows</t>
  </si>
  <si>
    <t>NPV</t>
  </si>
  <si>
    <t xml:space="preserve">Millones </t>
  </si>
  <si>
    <t>Net sales</t>
  </si>
  <si>
    <t>Other revenue</t>
  </si>
  <si>
    <t>Total revenue</t>
  </si>
  <si>
    <t>Costs, expenses and other:</t>
  </si>
  <si>
    <t xml:space="preserve"> </t>
  </si>
  <si>
    <t>Cost of sales</t>
  </si>
  <si>
    <t>Selling, general and administrative expenses</t>
  </si>
  <si>
    <t>Operating profit</t>
  </si>
  <si>
    <t>Non Recurring Expenses</t>
  </si>
  <si>
    <t>Adj Operating profit (ex non recurring)</t>
  </si>
  <si>
    <t>Margin</t>
  </si>
  <si>
    <t>Dif yoy</t>
  </si>
  <si>
    <t>Financial Result</t>
  </si>
  <si>
    <t>Interest expense</t>
  </si>
  <si>
    <t>Int Rate</t>
  </si>
  <si>
    <t>Loss on extinguishment of debt and credit facilities</t>
  </si>
  <si>
    <t>Interest income</t>
  </si>
  <si>
    <t>Other (income) expense, net</t>
  </si>
  <si>
    <t>Gain on sale of business</t>
  </si>
  <si>
    <t>Income taxes</t>
  </si>
  <si>
    <t>taxa %</t>
  </si>
  <si>
    <t>Income (loss) from continuing operations, net of tax</t>
  </si>
  <si>
    <t>Loss from discontinued operations, net of tax</t>
  </si>
  <si>
    <t>Net (loss) income</t>
  </si>
  <si>
    <t>Net loss attributable to noncontrolling interest</t>
  </si>
  <si>
    <t>Net income attributable to Avon</t>
  </si>
  <si>
    <t>Amortization</t>
  </si>
  <si>
    <t>Adj EBITDA</t>
  </si>
  <si>
    <t>Breakdown x Region</t>
  </si>
  <si>
    <t>South Latin America</t>
  </si>
  <si>
    <t>GROSS REV USD</t>
  </si>
  <si>
    <t>Brazil USD</t>
  </si>
  <si>
    <t>Brazil BRL</t>
  </si>
  <si>
    <t>Argentina &amp; Others USD</t>
  </si>
  <si>
    <t>Argentina &amp; Others ARS</t>
  </si>
  <si>
    <t>Operating profit USD</t>
  </si>
  <si>
    <t xml:space="preserve">Change in Active Representatives </t>
  </si>
  <si>
    <t>Change in Avg Order</t>
  </si>
  <si>
    <t>Change in units sold</t>
  </si>
  <si>
    <t>North Latin America</t>
  </si>
  <si>
    <t>VAR</t>
  </si>
  <si>
    <t>COGS Net</t>
  </si>
  <si>
    <t>Cash SG&amp;A</t>
  </si>
  <si>
    <t>Operating profit by Region</t>
  </si>
  <si>
    <t>Operating profit mrgn</t>
  </si>
  <si>
    <t>Cash Corporate Expenses</t>
  </si>
  <si>
    <t>ADJ Operating profit Corporate</t>
  </si>
  <si>
    <t>EBIT mrgn</t>
  </si>
  <si>
    <t>Depreciation &amp; Amort</t>
  </si>
  <si>
    <t>Interest Income</t>
  </si>
  <si>
    <t>Interest (Expense)</t>
  </si>
  <si>
    <t>Other</t>
  </si>
  <si>
    <t>Net Financial Income (Expense)</t>
  </si>
  <si>
    <t>Other Income (Expenses)</t>
  </si>
  <si>
    <t>Pre-Tax Income</t>
  </si>
  <si>
    <t>Income Tax</t>
  </si>
  <si>
    <t>Tax Rate</t>
  </si>
  <si>
    <t>After-Tax Income</t>
  </si>
  <si>
    <t>Loss from discontinued operations</t>
  </si>
  <si>
    <t>Minority Interest</t>
  </si>
  <si>
    <t>Net Income for Avon</t>
  </si>
  <si>
    <t>Net income attributable to Avon check</t>
  </si>
  <si>
    <t>Synergies</t>
  </si>
  <si>
    <t>Restructuring Cost</t>
  </si>
  <si>
    <t>Assumpition</t>
  </si>
  <si>
    <t>Synergies of 250mln USD por año es lo que dijo Natura.</t>
  </si>
  <si>
    <t>Suponiendo que 1/3 entra en COGS, lo hacemos aumentar gradualmente hasta que en 2023 se llega a ese monto estipulado</t>
  </si>
  <si>
    <t>In the initial years we assumed that they are not able to extract much synergies in each reported division as they would probably need to retain people working in each division , as well as logistics expenses</t>
  </si>
  <si>
    <t xml:space="preserve">In terms of corporate expenses synergies, the company has been saying it will be able to eliminate some redundant expenses in terms of systems and back office sooner, so we give a higher weight to these expenses in the initial years. </t>
  </si>
  <si>
    <t xml:space="preserve">Regarding COGS, we also didn’t want to put all the potential procurement synergies in the initial years, so just gradually increased year after year until it reached about 1/3 of total synergies by 2023. </t>
  </si>
  <si>
    <t>Current Assets</t>
  </si>
  <si>
    <t>Cash and cash equivalents</t>
  </si>
  <si>
    <t>Restricted cash</t>
  </si>
  <si>
    <t>Accounts receivable, net</t>
  </si>
  <si>
    <t>Prepaid expenses and other</t>
  </si>
  <si>
    <t>Current assets of discontinued operations</t>
  </si>
  <si>
    <t>Assets held for sale</t>
  </si>
  <si>
    <t>Non Current Assets</t>
  </si>
  <si>
    <t>Land</t>
  </si>
  <si>
    <t>Buildings and improvements</t>
  </si>
  <si>
    <t>Equipment</t>
  </si>
  <si>
    <t>Property, plant and equipment, net</t>
  </si>
  <si>
    <t>Right-of-use assets</t>
  </si>
  <si>
    <t>Deferred tax asset</t>
  </si>
  <si>
    <t>Other assets</t>
  </si>
  <si>
    <t>TOTAL ASSETS</t>
  </si>
  <si>
    <t>Current Liabilities</t>
  </si>
  <si>
    <t>Debt maturing within one year</t>
  </si>
  <si>
    <t>Accounts payable</t>
  </si>
  <si>
    <t>Accrued compensation</t>
  </si>
  <si>
    <t>Other accrued liabilities</t>
  </si>
  <si>
    <t>Sales and taxes other than income</t>
  </si>
  <si>
    <t>Held for sale liabilities</t>
  </si>
  <si>
    <t>Current liabilities of discontinued operations</t>
  </si>
  <si>
    <t>Non Current Liabilities</t>
  </si>
  <si>
    <t>Long-term debt</t>
  </si>
  <si>
    <t>Long-term operating lease liability</t>
  </si>
  <si>
    <t>Employee benefit plans</t>
  </si>
  <si>
    <t>Long-term sales taxes and taxes other than income</t>
  </si>
  <si>
    <t>Long-term income taxes</t>
  </si>
  <si>
    <t>Other liabilities</t>
  </si>
  <si>
    <t>Shareholders’ Deficit</t>
  </si>
  <si>
    <t>Noncontrolling interest</t>
  </si>
  <si>
    <t>TOTAL LIABILITIES</t>
  </si>
  <si>
    <t xml:space="preserve">Var WC </t>
  </si>
  <si>
    <t xml:space="preserve">    (+) Arrendamentos</t>
  </si>
  <si>
    <t>2Q21</t>
  </si>
  <si>
    <t>FUNDAMENTA</t>
  </si>
  <si>
    <t>Bofa</t>
  </si>
  <si>
    <t>JPM</t>
  </si>
  <si>
    <t>Bradesco</t>
  </si>
  <si>
    <t>MS</t>
  </si>
  <si>
    <t>BBG</t>
  </si>
  <si>
    <t>Consensus</t>
  </si>
  <si>
    <t>VS Fund</t>
  </si>
  <si>
    <t>REPORTED</t>
  </si>
  <si>
    <t>vs Cons.</t>
  </si>
  <si>
    <t>Net Revs</t>
  </si>
  <si>
    <t>EBITDA adj</t>
  </si>
  <si>
    <t>Avp Int</t>
  </si>
  <si>
    <t>PROJEÇÕES MACROECONÔMICAS</t>
  </si>
  <si>
    <t>1Q17</t>
  </si>
  <si>
    <t>2Q17</t>
  </si>
  <si>
    <t>3Q17</t>
  </si>
  <si>
    <t>4Q17</t>
  </si>
  <si>
    <t>1Q18</t>
  </si>
  <si>
    <t>2Q18</t>
  </si>
  <si>
    <t>3Q18</t>
  </si>
  <si>
    <t>4Q18</t>
  </si>
  <si>
    <t>1Q19</t>
  </si>
  <si>
    <t>2Q19</t>
  </si>
  <si>
    <t>3Q19</t>
  </si>
  <si>
    <t>4Q19</t>
  </si>
  <si>
    <t>1Q20</t>
  </si>
  <si>
    <t>2Q20</t>
  </si>
  <si>
    <t>3Q20</t>
  </si>
  <si>
    <t>4Q20</t>
  </si>
  <si>
    <t>1Q21</t>
  </si>
  <si>
    <t>3Q21</t>
  </si>
  <si>
    <t>4Q21</t>
  </si>
  <si>
    <t>1Q22</t>
  </si>
  <si>
    <t>2Q22</t>
  </si>
  <si>
    <t>3Q22</t>
  </si>
  <si>
    <t>4Q22</t>
  </si>
  <si>
    <t>1Q23</t>
  </si>
  <si>
    <t>2Q23</t>
  </si>
  <si>
    <t>3Q23</t>
  </si>
  <si>
    <t>4Q23</t>
  </si>
  <si>
    <t>1Q24</t>
  </si>
  <si>
    <t>2Q24</t>
  </si>
  <si>
    <t>3Q24</t>
  </si>
  <si>
    <t>4Q24</t>
  </si>
  <si>
    <t>1Q25</t>
  </si>
  <si>
    <t>2Q25</t>
  </si>
  <si>
    <t>3Q25</t>
  </si>
  <si>
    <t>4Q25</t>
  </si>
  <si>
    <t>Taxa Câmbio Nominal Médio</t>
  </si>
  <si>
    <t>Taxa Câmbio Nominal</t>
  </si>
  <si>
    <t>Selic Anual</t>
  </si>
  <si>
    <t>Juro Nominal (Selic)</t>
  </si>
  <si>
    <t>Inflação IGP-M</t>
  </si>
  <si>
    <t>TJLP</t>
  </si>
  <si>
    <t xml:space="preserve">Crec. PIB Brasil </t>
  </si>
  <si>
    <t>Inflação USA</t>
  </si>
  <si>
    <t>Índice IPCA anual</t>
  </si>
  <si>
    <t>CLP/USD, Period-End</t>
  </si>
  <si>
    <t>PEN/USD, Period-End</t>
  </si>
  <si>
    <t>COP/USD, Period-End</t>
  </si>
  <si>
    <t>ARS/USD, Period-End</t>
  </si>
  <si>
    <t>MXN/USD, Period-End</t>
  </si>
  <si>
    <t>CLP/USD, Average</t>
  </si>
  <si>
    <t>PEN/USD, Average</t>
  </si>
  <si>
    <t>COP/USD, Average</t>
  </si>
  <si>
    <t>ARS/USD, Average</t>
  </si>
  <si>
    <t>MXN/USD, Average</t>
  </si>
  <si>
    <t>USD/AUD, Period-End</t>
  </si>
  <si>
    <t>USD/AUD, Average</t>
  </si>
  <si>
    <t>USD/GBP, Period-End</t>
  </si>
  <si>
    <t>USD/GBP, Average</t>
  </si>
  <si>
    <t>FX Rate (BRL/GBP), Period-End</t>
  </si>
  <si>
    <t>FX Rate (BRL/GBP), Average</t>
  </si>
  <si>
    <t>Revenues USD</t>
  </si>
  <si>
    <t xml:space="preserve">Environmental Indicators </t>
  </si>
  <si>
    <t>Industry average</t>
  </si>
  <si>
    <t>LatAm average</t>
  </si>
  <si>
    <t>GHG emission intensity*</t>
  </si>
  <si>
    <t>Energy intensity*</t>
  </si>
  <si>
    <t xml:space="preserve">CO2 reduction policy </t>
  </si>
  <si>
    <t xml:space="preserve">Yes </t>
  </si>
  <si>
    <t>CO2 consumption</t>
  </si>
  <si>
    <t>Latest available information</t>
  </si>
  <si>
    <t>GHG ratio</t>
  </si>
  <si>
    <t xml:space="preserve">Social Indicators </t>
  </si>
  <si>
    <t>Energy consumption</t>
  </si>
  <si>
    <t>GJ</t>
  </si>
  <si>
    <t>1GJ =</t>
  </si>
  <si>
    <t>kwh</t>
  </si>
  <si>
    <t>Employee turnover (%)</t>
  </si>
  <si>
    <t>N/A</t>
  </si>
  <si>
    <t xml:space="preserve">Diversity policy </t>
  </si>
  <si>
    <t>Yes</t>
  </si>
  <si>
    <t>Ratio</t>
  </si>
  <si>
    <t>Women in labor force %</t>
  </si>
  <si>
    <t>Governance Indicators</t>
  </si>
  <si>
    <t>No. of board members</t>
  </si>
  <si>
    <t xml:space="preserve">Female board members (%) </t>
  </si>
  <si>
    <t xml:space="preserve">Board members independence (%) </t>
  </si>
  <si>
    <t>Fully independent audit committee</t>
  </si>
  <si>
    <t>No</t>
  </si>
  <si>
    <t>Fully independent compensation committee</t>
  </si>
  <si>
    <t>Single share class</t>
  </si>
  <si>
    <t>100% tag along rights</t>
  </si>
  <si>
    <t>Governance incident in last X years</t>
  </si>
  <si>
    <t>Source: Company data</t>
  </si>
  <si>
    <t>* GHG intensity and energy intensity are measured in kg and kWh respectively against revenue in USD ‘000s</t>
  </si>
  <si>
    <t>SASB Materiality Map SASB uses the Sustainability Industry Classification System (SICS) to classify companies into sectors (top row) and identify the sustainability issues (leftmost column) that are material in each sector. Cells highlighted in dark gray signal strong materiality, while lighter gray indicates some degree of materiality. For our analysis, we translated SICS to GICS and reclassified the sustainability issues into one of the ESG pillars. The interactive map with details at the industry level is available at http://materiality.sasb.org/.</t>
  </si>
  <si>
    <t>http://materiality.sasb.org/</t>
  </si>
  <si>
    <t>Preguntas</t>
  </si>
  <si>
    <t>Porque acumula "Recoverable tax"? De donde vienen? Como es el plan para recuperarlos?</t>
  </si>
  <si>
    <t>The credits are accumulated in the State of São Paulo and the Company’s Management has already a short and long-term recovery plan.</t>
  </si>
  <si>
    <t>La mitad de estos es por ICMS</t>
  </si>
  <si>
    <t>Interest on leases. Como se calcula? Que tasa se toma como referencia? Si la mayor parte corresponde a Retail Sotres, TBS debe ser el que mas peso tiene, o no?</t>
  </si>
  <si>
    <t>Como es la politica de hedge? Que hedgean?</t>
  </si>
  <si>
    <t xml:space="preserve">Financial Hedge, para los borrowings en moneda extranjera </t>
  </si>
  <si>
    <t>Operational Hedge, para riesgos cambiarios de las operaciones de TBS (export e import)</t>
  </si>
  <si>
    <t>en kWh</t>
  </si>
  <si>
    <t>,000 USD</t>
  </si>
  <si>
    <t>tons</t>
  </si>
  <si>
    <t>kg/,000 USD (or mt/USDm)</t>
  </si>
  <si>
    <t>kWh</t>
  </si>
  <si>
    <t>kWh/,000 USD (or MWh/USDm)</t>
  </si>
  <si>
    <t>Nao Renovaveis</t>
  </si>
  <si>
    <t>Renovaveis</t>
  </si>
  <si>
    <t>Energia por fonte</t>
  </si>
  <si>
    <t>Work Accidents (LTIFR)</t>
  </si>
  <si>
    <t>Q1-26</t>
  </si>
  <si>
    <t>Q2-26</t>
  </si>
  <si>
    <t>Q3-26</t>
  </si>
  <si>
    <t>Q4-26</t>
  </si>
  <si>
    <t>1T26</t>
  </si>
  <si>
    <t>2T26</t>
  </si>
  <si>
    <t>3T26</t>
  </si>
  <si>
    <t>4T26</t>
  </si>
  <si>
    <t>1Q26</t>
  </si>
  <si>
    <t>2Q26</t>
  </si>
  <si>
    <t>3Q26</t>
  </si>
  <si>
    <t>4Q26</t>
  </si>
  <si>
    <t>Home &amp; Style</t>
  </si>
  <si>
    <t>---&gt; Proforma sin Int.</t>
  </si>
  <si>
    <t>Lucro Líquido Reportado</t>
  </si>
  <si>
    <t>Lucro Líquido Op. Continuadas</t>
  </si>
  <si>
    <t xml:space="preserve">   Leases</t>
  </si>
  <si>
    <t xml:space="preserve">   Others</t>
  </si>
  <si>
    <t>Income tax and social contribution</t>
  </si>
  <si>
    <t>Derivative financial instruments</t>
  </si>
  <si>
    <t>Other current assets</t>
  </si>
  <si>
    <t>Accounts receivable - sale of subsidiary</t>
  </si>
  <si>
    <t>Provision for tax, civil and labor risks</t>
  </si>
  <si>
    <t>Other current liabilities</t>
  </si>
  <si>
    <t>Trade accounts payable - related parties</t>
  </si>
  <si>
    <t>Obligations with senior shareholders in Natura Pay FIDC</t>
  </si>
  <si>
    <t>Payroll, profit sharing and social charges</t>
  </si>
  <si>
    <t>Tax liabilities</t>
  </si>
  <si>
    <t>Other non-current liabilities</t>
  </si>
  <si>
    <t>Lucro Líquido Op. Cont.</t>
  </si>
  <si>
    <t>Op. Descontinuadas</t>
  </si>
  <si>
    <t>LL Reportado</t>
  </si>
  <si>
    <t>Minoritarios</t>
  </si>
  <si>
    <t>Tax</t>
  </si>
  <si>
    <t>rate</t>
  </si>
  <si>
    <t>Cot R$ DEZ/2026 PROJ</t>
  </si>
  <si>
    <t>9M25</t>
  </si>
  <si>
    <t>9M24</t>
  </si>
  <si>
    <t>Custos pessoal</t>
  </si>
  <si>
    <t>pessoal selling</t>
  </si>
  <si>
    <t>pessoal G&amp;A</t>
  </si>
  <si>
    <t>qoq</t>
  </si>
  <si>
    <t>2026 ajustando folha</t>
  </si>
  <si>
    <t>SG&amp;A pessoal</t>
  </si>
  <si>
    <t>SG&amp;A total</t>
  </si>
  <si>
    <t>Not Lula</t>
  </si>
  <si>
    <t>IMPOSTOS</t>
  </si>
  <si>
    <t>EBT Reportado</t>
  </si>
  <si>
    <t>EBT ITR</t>
  </si>
  <si>
    <t>Subvencao ICMS</t>
  </si>
  <si>
    <t>Efeito de diferenças de alíquotas de imposto de entidades no exterior</t>
  </si>
  <si>
    <t>Tributação de lucros de controladas no exterio</t>
  </si>
  <si>
    <t>Diferença temporária e prejuízo fiscal sem imposto de renda diferido ativo reconhecido</t>
  </si>
  <si>
    <t>Ajuste de conversão</t>
  </si>
  <si>
    <t>Benefícios fiscais de juros sobre capital próprio</t>
  </si>
  <si>
    <t>Doações e contribuições não dedutíveis</t>
  </si>
  <si>
    <t>Amortização de Mais Valia de Ativos Intangíveis oriundos do PPA Avon Brasil</t>
  </si>
  <si>
    <t>Outras diferenças permanentes</t>
  </si>
  <si>
    <t>Imposto Total</t>
  </si>
  <si>
    <t>taxa efetiva</t>
  </si>
  <si>
    <t>Subvencao de ICMS</t>
  </si>
  <si>
    <t>en teoria agio dura 5 años. Chequear</t>
  </si>
  <si>
    <t>PPA Avon Brasil - Goodwill</t>
  </si>
  <si>
    <t>Imposto de renda diferido ativo (não reconhecido)</t>
  </si>
  <si>
    <t>total</t>
  </si>
  <si>
    <t>x dia</t>
  </si>
  <si>
    <t>4 dias ellos 4:</t>
  </si>
  <si>
    <t>1 dia 4</t>
  </si>
  <si>
    <t>5 dias todos: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</si>
</sst>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quot;$&quot;#,##0.00_);[Red]\(&quot;$&quot;#,##0.00\)"/>
    <numFmt numFmtId="165" formatCode="_(* #,##0.00_);_(* \(#,##0.00\);_(* &quot;-&quot;??_);_(@_)"/>
    <numFmt numFmtId="166" formatCode="_([$€-2]* #,##0.00_);_([$€-2]* \(#,##0.00\);_([$€-2]* &quot;-&quot;??_)"/>
    <numFmt numFmtId="167" formatCode="#,##0.0_);\(#,##0.0\)"/>
    <numFmt numFmtId="168" formatCode="_(* #,##0.0_);_(* \(#,##0.0\);_(* &quot;-&quot;??_);_(@_)"/>
    <numFmt numFmtId="169" formatCode="0.0%;\(0.0\)%"/>
    <numFmt numFmtId="170" formatCode="0.0"/>
    <numFmt numFmtId="171" formatCode="0.0%"/>
    <numFmt numFmtId="172" formatCode="_-* #,##0.0_-;\-* #,##0.0_-;_-* &quot;-&quot;??_-;_-@_-"/>
    <numFmt numFmtId="173" formatCode="_-* #,##0.0_-;\-* #,##0.0_-;_-* &quot;-&quot;?_-;_-@_-"/>
    <numFmt numFmtId="174" formatCode="_(* #,##0_);_(* \(#,##0\);_(* &quot;-&quot;??_);_(@_)"/>
    <numFmt numFmtId="175" formatCode="General_)"/>
    <numFmt numFmtId="176" formatCode="_(* #,##0.0000_);_(* \(#,##0.0000\);_(* &quot;-&quot;??_);_(@_)"/>
    <numFmt numFmtId="177" formatCode="#,##0.00000;\-#,##0.00000"/>
    <numFmt numFmtId="178" formatCode="_(* #,##0.00_);_(* \(#,##0.00\);_(* &quot;-&quot;???_);_(@_)"/>
    <numFmt numFmtId="179" formatCode="_-* #,##0_-;\-* #,##0_-;_-* &quot;-&quot;??_-;_-@_-"/>
    <numFmt numFmtId="180" formatCode="0.0_);\(0.0\)"/>
    <numFmt numFmtId="181" formatCode="#,##0.00_);\(#,##0.00\);&quot;-  &quot;"/>
    <numFmt numFmtId="182" formatCode="#,##0_);\(#,##0\);&quot;-  &quot;"/>
    <numFmt numFmtId="183" formatCode="#,##0.0_);\(#,##0.0\);_(&quot;-&quot;??_)"/>
    <numFmt numFmtId="184" formatCode="#,##0.0"/>
    <numFmt numFmtId="185" formatCode="#,##0.0_ ;\-#,##0.0\ "/>
    <numFmt numFmtId="186" formatCode="_(* #,##0.00000_);_(* \(#,##0.00000\);_(* &quot;-&quot;??_);_(@_)"/>
  </numFmts>
  <fonts count="185">
    <font>
      <sz val="11"/>
      <color theme="1"/>
      <name val="Calibri"/>
      <family val="2"/>
      <scheme val="minor"/>
    </font>
    <font>
      <sz val="11"/>
      <color theme="1"/>
      <name val="Calibri"/>
      <family val="2"/>
      <scheme val="minor"/>
    </font>
    <font>
      <sz val="10"/>
      <name val="Arial"/>
      <family val="2"/>
    </font>
    <font>
      <sz val="10"/>
      <name val="Comic Sans MS"/>
      <family val="4"/>
    </font>
    <font>
      <b/>
      <sz val="10"/>
      <color theme="0"/>
      <name val="Gill Sans Std"/>
      <family val="2"/>
    </font>
    <font>
      <b/>
      <sz val="10"/>
      <color rgb="FF3D291E"/>
      <name val="Gill Sans Std"/>
      <family val="2"/>
    </font>
    <font>
      <sz val="10"/>
      <color theme="1"/>
      <name val="Gill Sans Std"/>
      <family val="2"/>
    </font>
    <font>
      <b/>
      <sz val="10"/>
      <color theme="1"/>
      <name val="Gill Sans Std"/>
      <family val="2"/>
    </font>
    <font>
      <b/>
      <sz val="10"/>
      <name val="Gill Sans Std"/>
      <family val="2"/>
    </font>
    <font>
      <i/>
      <sz val="10"/>
      <color theme="1"/>
      <name val="Gill Sans Std"/>
      <family val="2"/>
    </font>
    <font>
      <sz val="10"/>
      <color theme="1"/>
      <name val="Verdana"/>
      <family val="2"/>
    </font>
    <font>
      <b/>
      <sz val="10"/>
      <color theme="4" tint="-0.249977111117893"/>
      <name val="Gill Sans Std"/>
      <family val="2"/>
    </font>
    <font>
      <b/>
      <sz val="16"/>
      <color rgb="FFEB5638"/>
      <name val="Gill Sans Std"/>
      <family val="2"/>
    </font>
    <font>
      <sz val="9"/>
      <color theme="1"/>
      <name val="Gill Sans Std"/>
      <family val="2"/>
    </font>
    <font>
      <i/>
      <sz val="9"/>
      <color theme="1"/>
      <name val="Gill Sans Std"/>
      <family val="2"/>
    </font>
    <font>
      <sz val="11"/>
      <color rgb="FFFF0000"/>
      <name val="Calibri"/>
      <family val="2"/>
      <scheme val="minor"/>
    </font>
    <font>
      <b/>
      <sz val="11"/>
      <color theme="1"/>
      <name val="Calibri"/>
      <family val="2"/>
      <scheme val="minor"/>
    </font>
    <font>
      <sz val="10"/>
      <color theme="1"/>
      <name val="Calibri"/>
      <family val="2"/>
      <scheme val="minor"/>
    </font>
    <font>
      <b/>
      <sz val="10"/>
      <color theme="0"/>
      <name val="Calibri"/>
      <family val="2"/>
      <scheme val="minor"/>
    </font>
    <font>
      <b/>
      <sz val="10"/>
      <color rgb="FF3D291E"/>
      <name val="Calibri"/>
      <family val="2"/>
      <scheme val="minor"/>
    </font>
    <font>
      <b/>
      <vertAlign val="superscript"/>
      <sz val="10"/>
      <color rgb="FF3D291E"/>
      <name val="Calibri"/>
      <family val="2"/>
      <scheme val="minor"/>
    </font>
    <font>
      <sz val="10"/>
      <name val="Calibri"/>
      <family val="2"/>
      <scheme val="minor"/>
    </font>
    <font>
      <b/>
      <sz val="10"/>
      <color theme="1"/>
      <name val="Calibri"/>
      <family val="2"/>
      <scheme val="minor"/>
    </font>
    <font>
      <b/>
      <sz val="10"/>
      <name val="Calibri"/>
      <family val="2"/>
      <scheme val="minor"/>
    </font>
    <font>
      <vertAlign val="superscript"/>
      <sz val="10"/>
      <color theme="1"/>
      <name val="Calibri"/>
      <family val="2"/>
      <scheme val="minor"/>
    </font>
    <font>
      <i/>
      <sz val="10"/>
      <name val="Calibri"/>
      <family val="2"/>
      <scheme val="minor"/>
    </font>
    <font>
      <b/>
      <i/>
      <sz val="10"/>
      <name val="Calibri"/>
      <family val="2"/>
      <scheme val="minor"/>
    </font>
    <font>
      <i/>
      <sz val="10"/>
      <color theme="1"/>
      <name val="Calibri"/>
      <family val="2"/>
      <scheme val="minor"/>
    </font>
    <font>
      <sz val="8"/>
      <color theme="1"/>
      <name val="Calibri"/>
      <family val="2"/>
      <scheme val="minor"/>
    </font>
    <font>
      <sz val="9"/>
      <color theme="1"/>
      <name val="Calibri"/>
      <family val="2"/>
      <scheme val="minor"/>
    </font>
    <font>
      <b/>
      <sz val="10"/>
      <color rgb="FF0A4137"/>
      <name val="Calibri"/>
      <family val="2"/>
      <scheme val="minor"/>
    </font>
    <font>
      <sz val="11"/>
      <name val="Calibri"/>
      <family val="2"/>
      <scheme val="minor"/>
    </font>
    <font>
      <b/>
      <sz val="11"/>
      <name val="Calibri"/>
      <family val="2"/>
      <scheme val="minor"/>
    </font>
    <font>
      <i/>
      <sz val="11"/>
      <name val="Calibri"/>
      <family val="2"/>
      <scheme val="minor"/>
    </font>
    <font>
      <i/>
      <sz val="11"/>
      <color theme="1"/>
      <name val="Calibri"/>
      <family val="2"/>
      <scheme val="minor"/>
    </font>
    <font>
      <b/>
      <sz val="10"/>
      <color rgb="FFFF0000"/>
      <name val="Calibri"/>
      <family val="2"/>
      <scheme val="minor"/>
    </font>
    <font>
      <sz val="10"/>
      <color rgb="FF0070C0"/>
      <name val="Calibri"/>
      <family val="2"/>
      <scheme val="minor"/>
    </font>
    <font>
      <b/>
      <sz val="10"/>
      <color rgb="FF0070C0"/>
      <name val="Calibri"/>
      <family val="2"/>
      <scheme val="minor"/>
    </font>
    <font>
      <sz val="9"/>
      <name val="Calibri"/>
      <family val="2"/>
      <scheme val="minor"/>
    </font>
    <font>
      <sz val="9"/>
      <color rgb="FFFF0000"/>
      <name val="Calibri"/>
      <family val="2"/>
      <scheme val="minor"/>
    </font>
    <font>
      <sz val="10"/>
      <color theme="9" tint="-0.249977111117893"/>
      <name val="Calibri"/>
      <family val="2"/>
      <scheme val="minor"/>
    </font>
    <font>
      <sz val="10"/>
      <color rgb="FFFF0000"/>
      <name val="Calibri"/>
      <family val="2"/>
      <scheme val="minor"/>
    </font>
    <font>
      <b/>
      <sz val="10"/>
      <name val="Arial"/>
      <family val="2"/>
    </font>
    <font>
      <b/>
      <sz val="10"/>
      <color indexed="9"/>
      <name val="Arial"/>
      <family val="2"/>
    </font>
    <font>
      <b/>
      <sz val="10"/>
      <color indexed="10"/>
      <name val="Arial"/>
      <family val="2"/>
    </font>
    <font>
      <b/>
      <sz val="8"/>
      <color indexed="81"/>
      <name val="Tahoma"/>
      <family val="2"/>
    </font>
    <font>
      <sz val="8"/>
      <color indexed="81"/>
      <name val="Tahoma"/>
      <family val="2"/>
    </font>
    <font>
      <b/>
      <sz val="9"/>
      <color indexed="81"/>
      <name val="Tahoma"/>
      <family val="2"/>
    </font>
    <font>
      <sz val="9"/>
      <color indexed="81"/>
      <name val="Tahoma"/>
      <family val="2"/>
    </font>
    <font>
      <b/>
      <sz val="11"/>
      <color indexed="9"/>
      <name val="Calibri"/>
      <family val="2"/>
      <scheme val="minor"/>
    </font>
    <font>
      <sz val="11"/>
      <color rgb="FF0070C0"/>
      <name val="Calibri"/>
      <family val="2"/>
      <scheme val="minor"/>
    </font>
    <font>
      <sz val="11"/>
      <color indexed="10"/>
      <name val="Calibri"/>
      <family val="2"/>
      <scheme val="minor"/>
    </font>
    <font>
      <b/>
      <sz val="11"/>
      <color indexed="10"/>
      <name val="Calibri"/>
      <family val="2"/>
      <scheme val="minor"/>
    </font>
    <font>
      <sz val="10"/>
      <color rgb="FF008000"/>
      <name val="Arial"/>
      <family val="2"/>
    </font>
    <font>
      <sz val="10"/>
      <color rgb="FF00B050"/>
      <name val="Calibri"/>
      <family val="2"/>
      <scheme val="minor"/>
    </font>
    <font>
      <b/>
      <sz val="10"/>
      <color rgb="FF00B050"/>
      <name val="Calibri"/>
      <family val="2"/>
      <scheme val="minor"/>
    </font>
    <font>
      <sz val="11"/>
      <color rgb="FF00B050"/>
      <name val="Calibri"/>
      <family val="2"/>
      <scheme val="minor"/>
    </font>
    <font>
      <sz val="11"/>
      <color theme="9" tint="-0.249977111117893"/>
      <name val="Calibri"/>
      <family val="2"/>
      <scheme val="minor"/>
    </font>
    <font>
      <b/>
      <sz val="10"/>
      <color theme="9" tint="-0.249977111117893"/>
      <name val="Calibri"/>
      <family val="2"/>
      <scheme val="minor"/>
    </font>
    <font>
      <sz val="10"/>
      <name val="Courier"/>
      <family val="3"/>
    </font>
    <font>
      <b/>
      <sz val="12"/>
      <color indexed="8"/>
      <name val="Times New Roman"/>
      <family val="1"/>
    </font>
    <font>
      <b/>
      <sz val="12"/>
      <color rgb="FFFF0000"/>
      <name val="Times New Roman"/>
      <family val="1"/>
    </font>
    <font>
      <sz val="10"/>
      <color indexed="8"/>
      <name val="Arial"/>
      <family val="2"/>
    </font>
    <font>
      <sz val="12"/>
      <color indexed="8"/>
      <name val="Times New Roman"/>
      <family val="1"/>
    </font>
    <font>
      <sz val="12"/>
      <color rgb="FFFF0000"/>
      <name val="Times New Roman"/>
      <family val="1"/>
    </font>
    <font>
      <sz val="12"/>
      <color indexed="12"/>
      <name val="Times New Roman"/>
      <family val="1"/>
    </font>
    <font>
      <sz val="8"/>
      <color indexed="8"/>
      <name val="Arial"/>
      <family val="2"/>
    </font>
    <font>
      <sz val="10"/>
      <color rgb="FFFF0000"/>
      <name val="Arial"/>
      <family val="2"/>
    </font>
    <font>
      <sz val="10"/>
      <color indexed="12"/>
      <name val="Arial"/>
      <family val="2"/>
    </font>
    <font>
      <b/>
      <sz val="10"/>
      <color indexed="12"/>
      <name val="Arial"/>
      <family val="2"/>
    </font>
    <font>
      <b/>
      <sz val="10"/>
      <color indexed="17"/>
      <name val="Arial"/>
      <family val="2"/>
    </font>
    <font>
      <b/>
      <sz val="10"/>
      <color indexed="8"/>
      <name val="Arial"/>
      <family val="2"/>
    </font>
    <font>
      <b/>
      <sz val="9"/>
      <color rgb="FFFF0000"/>
      <name val="Arial"/>
      <family val="2"/>
    </font>
    <font>
      <sz val="9"/>
      <name val="Arial"/>
      <family val="2"/>
    </font>
    <font>
      <sz val="8"/>
      <color indexed="10"/>
      <name val="Arial"/>
      <family val="2"/>
    </font>
    <font>
      <b/>
      <sz val="8"/>
      <color indexed="14"/>
      <name val="Arial"/>
      <family val="2"/>
    </font>
    <font>
      <u/>
      <sz val="11"/>
      <color theme="10"/>
      <name val="Calibri"/>
      <family val="2"/>
      <scheme val="minor"/>
    </font>
    <font>
      <sz val="10"/>
      <color rgb="FF00B050"/>
      <name val="Arial"/>
      <family val="2"/>
    </font>
    <font>
      <sz val="8"/>
      <color rgb="FFFF0000"/>
      <name val="Calibri"/>
      <family val="2"/>
      <scheme val="minor"/>
    </font>
    <font>
      <i/>
      <sz val="11"/>
      <color rgb="FF0070C0"/>
      <name val="Calibri"/>
      <family val="2"/>
      <scheme val="minor"/>
    </font>
    <font>
      <i/>
      <sz val="9"/>
      <color theme="1"/>
      <name val="Calibri"/>
      <family val="2"/>
      <scheme val="minor"/>
    </font>
    <font>
      <sz val="11"/>
      <color rgb="FF0000FF"/>
      <name val="Calibri"/>
      <family val="2"/>
      <scheme val="minor"/>
    </font>
    <font>
      <b/>
      <sz val="9"/>
      <color rgb="FFFF0000"/>
      <name val="Calibri"/>
      <family val="2"/>
      <scheme val="minor"/>
    </font>
    <font>
      <sz val="9"/>
      <color theme="9" tint="-0.249977111117893"/>
      <name val="Calibri"/>
      <family val="2"/>
      <scheme val="minor"/>
    </font>
    <font>
      <b/>
      <sz val="9"/>
      <color theme="9" tint="-0.249977111117893"/>
      <name val="Calibri"/>
      <family val="2"/>
      <scheme val="minor"/>
    </font>
    <font>
      <b/>
      <sz val="11"/>
      <color theme="0"/>
      <name val="Calibri"/>
      <family val="2"/>
      <scheme val="minor"/>
    </font>
    <font>
      <i/>
      <sz val="10"/>
      <color rgb="FFFF0000"/>
      <name val="Calibri"/>
      <family val="2"/>
      <scheme val="minor"/>
    </font>
    <font>
      <sz val="10"/>
      <color rgb="FFFF00FF"/>
      <name val="Arial Narrow"/>
      <family val="2"/>
    </font>
    <font>
      <sz val="10"/>
      <name val="Arial Narrow"/>
      <family val="2"/>
    </font>
    <font>
      <b/>
      <sz val="10"/>
      <name val="Arial Narrow"/>
      <family val="2"/>
    </font>
    <font>
      <i/>
      <sz val="10"/>
      <name val="Arial Narrow"/>
      <family val="2"/>
    </font>
    <font>
      <sz val="8"/>
      <color indexed="55"/>
      <name val="Arial Narrow"/>
      <family val="2"/>
    </font>
    <font>
      <sz val="10"/>
      <color indexed="14"/>
      <name val="Arial Narrow"/>
      <family val="2"/>
    </font>
    <font>
      <sz val="10"/>
      <color theme="0" tint="-0.499984740745262"/>
      <name val="Arial Narrow"/>
      <family val="2"/>
    </font>
    <font>
      <b/>
      <sz val="9"/>
      <name val="Calibri"/>
      <family val="2"/>
      <scheme val="minor"/>
    </font>
    <font>
      <b/>
      <sz val="10"/>
      <color rgb="FF0000FF"/>
      <name val="Calibri"/>
      <family val="2"/>
      <scheme val="minor"/>
    </font>
    <font>
      <b/>
      <sz val="9"/>
      <color rgb="FF0000FF"/>
      <name val="Calibri"/>
      <family val="2"/>
      <scheme val="minor"/>
    </font>
    <font>
      <b/>
      <sz val="9"/>
      <color theme="1"/>
      <name val="Calibri"/>
      <family val="2"/>
      <scheme val="minor"/>
    </font>
    <font>
      <b/>
      <sz val="8.25"/>
      <name val="Verdana"/>
      <family val="2"/>
    </font>
    <font>
      <sz val="8.25"/>
      <name val="Verdana"/>
      <family val="2"/>
    </font>
    <font>
      <i/>
      <sz val="8.25"/>
      <name val="Verdana"/>
      <family val="2"/>
    </font>
    <font>
      <i/>
      <sz val="8.25"/>
      <color rgb="FF000000"/>
      <name val="Verdana"/>
      <family val="2"/>
    </font>
    <font>
      <i/>
      <sz val="8"/>
      <color theme="1"/>
      <name val="Calibri"/>
      <family val="2"/>
      <scheme val="minor"/>
    </font>
    <font>
      <b/>
      <sz val="11"/>
      <color indexed="8"/>
      <name val="Arial"/>
      <family val="2"/>
    </font>
    <font>
      <b/>
      <i/>
      <sz val="11"/>
      <color theme="1"/>
      <name val="Calibri"/>
      <family val="2"/>
      <scheme val="minor"/>
    </font>
    <font>
      <b/>
      <i/>
      <sz val="11"/>
      <name val="Calibri"/>
      <family val="2"/>
      <scheme val="minor"/>
    </font>
    <font>
      <b/>
      <sz val="11"/>
      <color rgb="FF0070C0"/>
      <name val="Calibri"/>
      <family val="2"/>
      <scheme val="minor"/>
    </font>
    <font>
      <b/>
      <sz val="8"/>
      <name val="Calibri"/>
      <family val="2"/>
      <scheme val="minor"/>
    </font>
    <font>
      <sz val="8"/>
      <name val="Calibri"/>
      <family val="2"/>
      <scheme val="minor"/>
    </font>
    <font>
      <i/>
      <sz val="10"/>
      <color rgb="FF0070C0"/>
      <name val="Calibri"/>
      <family val="2"/>
      <scheme val="minor"/>
    </font>
    <font>
      <b/>
      <sz val="8.25"/>
      <color theme="8" tint="-0.249977111117893"/>
      <name val="Verdana"/>
      <family val="2"/>
    </font>
    <font>
      <sz val="8.25"/>
      <color theme="8" tint="-0.249977111117893"/>
      <name val="Verdana"/>
      <family val="2"/>
    </font>
    <font>
      <i/>
      <sz val="8.25"/>
      <color theme="8" tint="-0.249977111117893"/>
      <name val="Verdana"/>
      <family val="2"/>
    </font>
    <font>
      <i/>
      <sz val="8"/>
      <color rgb="FF0000FF"/>
      <name val="Calibri"/>
      <family val="2"/>
      <scheme val="minor"/>
    </font>
    <font>
      <i/>
      <sz val="10"/>
      <color theme="9" tint="-0.249977111117893"/>
      <name val="Calibri"/>
      <family val="2"/>
      <scheme val="minor"/>
    </font>
    <font>
      <b/>
      <sz val="8"/>
      <color rgb="FFFF0000"/>
      <name val="Calibri"/>
      <family val="2"/>
      <scheme val="minor"/>
    </font>
    <font>
      <b/>
      <sz val="11"/>
      <color theme="9" tint="-0.249977111117893"/>
      <name val="Calibri"/>
      <family val="2"/>
      <scheme val="minor"/>
    </font>
    <font>
      <b/>
      <sz val="10"/>
      <color theme="9" tint="-0.249977111117893"/>
      <name val="Arial"/>
      <family val="2"/>
    </font>
    <font>
      <b/>
      <i/>
      <sz val="11"/>
      <color theme="9" tint="-0.249977111117893"/>
      <name val="Calibri"/>
      <family val="2"/>
      <scheme val="minor"/>
    </font>
    <font>
      <sz val="10"/>
      <color theme="9" tint="-0.249977111117893"/>
      <name val="Arial"/>
      <family val="2"/>
    </font>
    <font>
      <b/>
      <i/>
      <sz val="10"/>
      <color theme="1"/>
      <name val="Calibri"/>
      <family val="2"/>
      <scheme val="minor"/>
    </font>
    <font>
      <i/>
      <sz val="10"/>
      <color rgb="FFFF00FF"/>
      <name val="Arial Narrow"/>
      <family val="2"/>
    </font>
    <font>
      <sz val="8.25"/>
      <color rgb="FFFF0000"/>
      <name val="Verdana"/>
      <family val="2"/>
    </font>
    <font>
      <b/>
      <i/>
      <sz val="9"/>
      <name val="Calibri"/>
      <family val="2"/>
      <scheme val="minor"/>
    </font>
    <font>
      <i/>
      <sz val="9"/>
      <name val="Calibri"/>
      <family val="2"/>
      <scheme val="minor"/>
    </font>
    <font>
      <b/>
      <sz val="11"/>
      <color rgb="FFFF0000"/>
      <name val="Calibri"/>
      <family val="2"/>
      <scheme val="minor"/>
    </font>
    <font>
      <b/>
      <u/>
      <sz val="12"/>
      <color theme="1"/>
      <name val="Calibri"/>
      <family val="2"/>
      <scheme val="minor"/>
    </font>
    <font>
      <b/>
      <i/>
      <sz val="8"/>
      <color theme="1"/>
      <name val="Calibri"/>
      <family val="2"/>
      <scheme val="minor"/>
    </font>
    <font>
      <b/>
      <i/>
      <sz val="8"/>
      <name val="Calibri"/>
      <family val="2"/>
      <scheme val="minor"/>
    </font>
    <font>
      <b/>
      <sz val="9"/>
      <color rgb="FF0070C0"/>
      <name val="Calibri"/>
      <family val="2"/>
      <scheme val="minor"/>
    </font>
    <font>
      <sz val="9"/>
      <color rgb="FF0000FF"/>
      <name val="Arial"/>
      <family val="2"/>
    </font>
    <font>
      <sz val="10"/>
      <color rgb="FFFF0000"/>
      <name val="Arial Narrow"/>
      <family val="2"/>
    </font>
    <font>
      <b/>
      <sz val="12"/>
      <name val="Times New Roman"/>
      <family val="1"/>
    </font>
    <font>
      <sz val="12"/>
      <name val="Times New Roman"/>
      <family val="1"/>
    </font>
    <font>
      <sz val="10"/>
      <color rgb="FF0000FF"/>
      <name val="Calibri"/>
      <family val="2"/>
      <scheme val="minor"/>
    </font>
    <font>
      <i/>
      <sz val="10"/>
      <color theme="9" tint="-0.249977111117893"/>
      <name val="Arial Narrow"/>
      <family val="2"/>
    </font>
    <font>
      <sz val="9"/>
      <color rgb="FF0070C0"/>
      <name val="Calibri"/>
      <family val="2"/>
      <scheme val="minor"/>
    </font>
    <font>
      <sz val="10"/>
      <color rgb="FF0070C0"/>
      <name val="Arial Narrow"/>
      <family val="2"/>
    </font>
    <font>
      <sz val="9"/>
      <color rgb="FF0000FF"/>
      <name val="Calibri"/>
      <family val="2"/>
      <scheme val="minor"/>
    </font>
    <font>
      <b/>
      <i/>
      <sz val="11"/>
      <color rgb="FF7030A0"/>
      <name val="Calibri"/>
      <family val="2"/>
      <scheme val="minor"/>
    </font>
    <font>
      <i/>
      <sz val="10"/>
      <color rgb="FF7030A0"/>
      <name val="Calibri"/>
      <family val="2"/>
      <scheme val="minor"/>
    </font>
    <font>
      <b/>
      <i/>
      <sz val="10"/>
      <color rgb="FF7030A0"/>
      <name val="Calibri"/>
      <family val="2"/>
      <scheme val="minor"/>
    </font>
    <font>
      <b/>
      <sz val="10"/>
      <color rgb="FF0070C0"/>
      <name val="Arial Narrow"/>
      <family val="2"/>
    </font>
    <font>
      <i/>
      <sz val="8"/>
      <name val="Calibri"/>
      <family val="2"/>
      <scheme val="minor"/>
    </font>
    <font>
      <sz val="8"/>
      <name val="Arial Narrow"/>
      <family val="2"/>
    </font>
    <font>
      <sz val="11"/>
      <color rgb="FF000000"/>
      <name val="Calibri"/>
      <family val="2"/>
      <scheme val="minor"/>
    </font>
    <font>
      <sz val="8"/>
      <name val="Arial"/>
      <family val="2"/>
    </font>
    <font>
      <b/>
      <sz val="10"/>
      <color rgb="FF7030A0"/>
      <name val="Calibri"/>
      <family val="2"/>
      <scheme val="minor"/>
    </font>
    <font>
      <b/>
      <sz val="11"/>
      <color rgb="FF7030A0"/>
      <name val="Calibri"/>
      <family val="2"/>
      <scheme val="minor"/>
    </font>
    <font>
      <b/>
      <sz val="10"/>
      <color indexed="9"/>
      <name val="Calibri"/>
      <family val="2"/>
      <scheme val="minor"/>
    </font>
    <font>
      <sz val="10"/>
      <color indexed="9"/>
      <name val="Calibri"/>
      <family val="2"/>
      <scheme val="minor"/>
    </font>
    <font>
      <b/>
      <sz val="10"/>
      <color indexed="62"/>
      <name val="Calibri"/>
      <family val="2"/>
      <scheme val="minor"/>
    </font>
    <font>
      <b/>
      <sz val="10"/>
      <color indexed="20"/>
      <name val="Calibri"/>
      <family val="2"/>
      <scheme val="minor"/>
    </font>
    <font>
      <b/>
      <sz val="10"/>
      <color theme="8" tint="-0.249977111117893"/>
      <name val="Calibri"/>
      <family val="2"/>
      <scheme val="minor"/>
    </font>
    <font>
      <b/>
      <sz val="10"/>
      <color indexed="10"/>
      <name val="Calibri"/>
      <family val="2"/>
      <scheme val="minor"/>
    </font>
    <font>
      <b/>
      <sz val="10"/>
      <color indexed="8"/>
      <name val="Calibri"/>
      <family val="2"/>
      <scheme val="minor"/>
    </font>
    <font>
      <sz val="10"/>
      <color indexed="8"/>
      <name val="Calibri"/>
      <family val="2"/>
      <scheme val="minor"/>
    </font>
    <font>
      <sz val="11"/>
      <color rgb="FF444444"/>
      <name val="Calibri"/>
      <family val="2"/>
      <scheme val="minor"/>
    </font>
    <font>
      <b/>
      <sz val="11"/>
      <color rgb="FF444444"/>
      <name val="Calibri"/>
      <family val="2"/>
      <scheme val="minor"/>
    </font>
    <font>
      <sz val="10"/>
      <color theme="8" tint="-0.249977111117893"/>
      <name val="Calibri"/>
      <family val="2"/>
      <scheme val="minor"/>
    </font>
    <font>
      <i/>
      <sz val="8"/>
      <color rgb="FF0070C0"/>
      <name val="Calibri"/>
      <family val="2"/>
      <scheme val="minor"/>
    </font>
    <font>
      <i/>
      <sz val="8"/>
      <color theme="9" tint="-0.249977111117893"/>
      <name val="Calibri"/>
      <family val="2"/>
      <scheme val="minor"/>
    </font>
    <font>
      <b/>
      <sz val="8"/>
      <color rgb="FF7030A0"/>
      <name val="Calibri"/>
      <family val="2"/>
      <scheme val="minor"/>
    </font>
    <font>
      <b/>
      <sz val="10"/>
      <color theme="9" tint="-0.499984740745262"/>
      <name val="Calibri"/>
      <family val="2"/>
      <scheme val="minor"/>
    </font>
    <font>
      <b/>
      <sz val="10"/>
      <color rgb="FF000000"/>
      <name val="Calibri"/>
      <family val="2"/>
      <scheme val="minor"/>
    </font>
    <font>
      <sz val="10"/>
      <color rgb="FF7030A0"/>
      <name val="Calibri"/>
      <family val="2"/>
      <scheme val="minor"/>
    </font>
    <font>
      <sz val="8"/>
      <color rgb="FF7030A0"/>
      <name val="Calibri"/>
      <family val="2"/>
      <scheme val="minor"/>
    </font>
    <font>
      <b/>
      <sz val="9"/>
      <color rgb="FF7030A0"/>
      <name val="Calibri"/>
      <family val="2"/>
      <scheme val="minor"/>
    </font>
    <font>
      <sz val="9"/>
      <color rgb="FF000000"/>
      <name val="Calibri"/>
      <family val="2"/>
      <scheme val="minor"/>
    </font>
    <font>
      <sz val="9"/>
      <color theme="9" tint="-0.499984740745262"/>
      <name val="Calibri"/>
      <family val="2"/>
      <scheme val="minor"/>
    </font>
    <font>
      <b/>
      <i/>
      <sz val="10"/>
      <color rgb="FF3D291E"/>
      <name val="Calibri"/>
      <family val="2"/>
      <scheme val="minor"/>
    </font>
    <font>
      <b/>
      <i/>
      <sz val="10"/>
      <color rgb="FF0000FF"/>
      <name val="Calibri"/>
      <family val="2"/>
      <scheme val="minor"/>
    </font>
    <font>
      <b/>
      <i/>
      <sz val="9"/>
      <color theme="9" tint="-0.249977111117893"/>
      <name val="Calibri"/>
      <family val="2"/>
      <scheme val="minor"/>
    </font>
    <font>
      <b/>
      <i/>
      <sz val="8"/>
      <color rgb="FF7030A0"/>
      <name val="Calibri"/>
      <family val="2"/>
      <scheme val="minor"/>
    </font>
    <font>
      <b/>
      <i/>
      <sz val="9"/>
      <color theme="1"/>
      <name val="Calibri"/>
      <family val="2"/>
      <scheme val="minor"/>
    </font>
    <font>
      <sz val="9"/>
      <color rgb="FF7030A0"/>
      <name val="Calibri"/>
      <family val="2"/>
      <scheme val="minor"/>
    </font>
    <font>
      <sz val="8"/>
      <color theme="1"/>
      <name val="Calibri"/>
      <family val="2"/>
    </font>
    <font>
      <sz val="10"/>
      <color theme="1"/>
      <name val="Gill Sans MT"/>
      <family val="2"/>
    </font>
    <font>
      <b/>
      <sz val="10"/>
      <color theme="9" tint="-0.249977111117893"/>
      <name val="Arial Narrow"/>
      <family val="2"/>
    </font>
    <font>
      <sz val="10"/>
      <color rgb="FFFF5050"/>
      <name val="Arial"/>
      <family val="2"/>
    </font>
    <font>
      <b/>
      <sz val="10"/>
      <name val="Tahoma"/>
      <family val="2"/>
    </font>
    <font>
      <b/>
      <sz val="10"/>
      <color rgb="FF7030A0"/>
      <name val="Arial"/>
      <family val="2"/>
    </font>
    <font>
      <sz val="11"/>
      <color rgb="FF7030A0"/>
      <name val="Calibri"/>
      <family val="2"/>
      <scheme val="minor"/>
    </font>
    <font>
      <sz val="9"/>
      <color indexed="81"/>
      <name val="Tahoma"/>
      <charset val="1"/>
    </font>
    <font>
      <b/>
      <sz val="9"/>
      <color indexed="81"/>
      <name val="Tahoma"/>
      <charset val="1"/>
    </font>
  </fonts>
  <fills count="3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EB5638"/>
        <bgColor indexed="64"/>
      </patternFill>
    </fill>
    <fill>
      <patternFill patternType="solid">
        <fgColor rgb="FF0A4137"/>
        <bgColor indexed="64"/>
      </patternFill>
    </fill>
    <fill>
      <patternFill patternType="solid">
        <fgColor rgb="FFCDC3BE"/>
        <bgColor indexed="64"/>
      </patternFill>
    </fill>
    <fill>
      <patternFill patternType="solid">
        <fgColor indexed="22"/>
        <bgColor indexed="64"/>
      </patternFill>
    </fill>
    <fill>
      <patternFill patternType="solid">
        <fgColor indexed="8"/>
        <bgColor indexed="64"/>
      </patternFill>
    </fill>
    <fill>
      <patternFill patternType="solid">
        <fgColor indexed="9"/>
        <bgColor indexed="64"/>
      </patternFill>
    </fill>
    <fill>
      <patternFill patternType="solid">
        <fgColor indexed="63"/>
        <bgColor indexed="64"/>
      </patternFill>
    </fill>
    <fill>
      <patternFill patternType="solid">
        <fgColor rgb="FFFFFF00"/>
        <bgColor indexed="64"/>
      </patternFill>
    </fill>
    <fill>
      <patternFill patternType="solid">
        <fgColor indexed="23"/>
        <bgColor indexed="64"/>
      </patternFill>
    </fill>
    <fill>
      <patternFill patternType="solid">
        <fgColor indexed="41"/>
        <bgColor indexed="64"/>
      </patternFill>
    </fill>
    <fill>
      <patternFill patternType="solid">
        <fgColor indexed="43"/>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DEB0FA"/>
        <bgColor indexed="64"/>
      </patternFill>
    </fill>
    <fill>
      <patternFill patternType="solid">
        <fgColor theme="9" tint="0.79998168889431442"/>
        <bgColor indexed="64"/>
      </patternFill>
    </fill>
    <fill>
      <patternFill patternType="solid">
        <fgColor theme="1" tint="0.34998626667073579"/>
        <bgColor indexed="64"/>
      </patternFill>
    </fill>
    <fill>
      <patternFill patternType="solid">
        <fgColor rgb="FFFFCCFF"/>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EF5BE"/>
        <bgColor indexed="64"/>
      </patternFill>
    </fill>
    <fill>
      <patternFill patternType="solid">
        <fgColor theme="5" tint="0.39997558519241921"/>
        <bgColor indexed="64"/>
      </patternFill>
    </fill>
    <fill>
      <patternFill patternType="solid">
        <fgColor rgb="FF00B050"/>
        <bgColor indexed="64"/>
      </patternFill>
    </fill>
    <fill>
      <patternFill patternType="solid">
        <fgColor theme="7" tint="0.79998168889431442"/>
        <bgColor indexed="64"/>
      </patternFill>
    </fill>
    <fill>
      <patternFill patternType="solid">
        <fgColor rgb="FFFF9999"/>
        <bgColor indexed="64"/>
      </patternFill>
    </fill>
  </fills>
  <borders count="60">
    <border>
      <left/>
      <right/>
      <top/>
      <bottom/>
      <diagonal/>
    </border>
    <border>
      <left/>
      <right/>
      <top style="hair">
        <color rgb="FFEB5638"/>
      </top>
      <bottom/>
      <diagonal/>
    </border>
    <border>
      <left style="thick">
        <color theme="0"/>
      </left>
      <right/>
      <top/>
      <bottom/>
      <diagonal/>
    </border>
    <border>
      <left/>
      <right/>
      <top/>
      <bottom style="dashed">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thick">
        <color theme="0"/>
      </left>
      <right/>
      <top style="hair">
        <color rgb="FFEB5638"/>
      </top>
      <bottom/>
      <diagonal/>
    </border>
    <border>
      <left/>
      <right/>
      <top/>
      <bottom style="hair">
        <color rgb="FFEB5638"/>
      </bottom>
      <diagonal/>
    </border>
    <border>
      <left style="thick">
        <color theme="0"/>
      </left>
      <right/>
      <top/>
      <bottom style="hair">
        <color rgb="FFEB5638"/>
      </bottom>
      <diagonal/>
    </border>
    <border>
      <left style="thick">
        <color theme="0"/>
      </left>
      <right/>
      <top/>
      <bottom style="thin">
        <color theme="0"/>
      </bottom>
      <diagonal/>
    </border>
    <border>
      <left style="thin">
        <color theme="0"/>
      </left>
      <right/>
      <top style="thin">
        <color theme="0"/>
      </top>
      <bottom/>
      <diagonal/>
    </border>
    <border>
      <left/>
      <right/>
      <top style="thin">
        <color theme="0"/>
      </top>
      <bottom/>
      <diagonal/>
    </border>
    <border>
      <left/>
      <right style="thin">
        <color theme="0" tint="-4.9989318521683403E-2"/>
      </right>
      <top style="thin">
        <color theme="0" tint="-4.9989318521683403E-2"/>
      </top>
      <bottom style="thin">
        <color theme="0" tint="-4.9989318521683403E-2"/>
      </bottom>
      <diagonal/>
    </border>
    <border>
      <left/>
      <right style="thick">
        <color theme="0"/>
      </right>
      <top/>
      <bottom/>
      <diagonal/>
    </border>
    <border>
      <left style="thin">
        <color theme="0"/>
      </left>
      <right/>
      <top style="thin">
        <color theme="0"/>
      </top>
      <bottom style="thin">
        <color theme="0"/>
      </bottom>
      <diagonal/>
    </border>
    <border>
      <left style="thick">
        <color theme="0"/>
      </left>
      <right style="thick">
        <color theme="0"/>
      </right>
      <top/>
      <bottom/>
      <diagonal/>
    </border>
    <border>
      <left style="thick">
        <color theme="0"/>
      </left>
      <right style="thick">
        <color theme="0"/>
      </right>
      <top style="hair">
        <color rgb="FFEB5638"/>
      </top>
      <bottom/>
      <diagonal/>
    </border>
    <border>
      <left style="thick">
        <color theme="0"/>
      </left>
      <right style="thick">
        <color theme="0"/>
      </right>
      <top/>
      <bottom style="hair">
        <color rgb="FFEB5638"/>
      </bottom>
      <diagonal/>
    </border>
    <border>
      <left style="thick">
        <color theme="0"/>
      </left>
      <right style="thick">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23"/>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s>
  <cellStyleXfs count="53">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166" fontId="3" fillId="0" borderId="0"/>
    <xf numFmtId="165" fontId="2" fillId="0" borderId="0" applyFont="0" applyFill="0" applyBorder="0" applyAlignment="0" applyProtection="0"/>
    <xf numFmtId="9" fontId="2" fillId="0" borderId="0" applyFont="0" applyFill="0" applyBorder="0" applyAlignment="0" applyProtection="0"/>
    <xf numFmtId="0" fontId="10" fillId="0" borderId="0"/>
    <xf numFmtId="43" fontId="10" fillId="0" borderId="0" applyFont="0" applyFill="0" applyBorder="0" applyAlignment="0" applyProtection="0"/>
    <xf numFmtId="9" fontId="10" fillId="0" borderId="0" applyFont="0" applyFill="0" applyBorder="0" applyAlignment="0" applyProtection="0"/>
    <xf numFmtId="175" fontId="59"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applyNumberFormat="0" applyFill="0" applyBorder="0" applyAlignment="0" applyProtection="0"/>
    <xf numFmtId="0" fontId="2" fillId="0" borderId="0"/>
    <xf numFmtId="165" fontId="2" fillId="0" borderId="0" applyFont="0" applyFill="0" applyBorder="0" applyAlignment="0" applyProtection="0"/>
    <xf numFmtId="0" fontId="76" fillId="0" borderId="0" applyNumberFormat="0" applyFill="0" applyBorder="0" applyAlignment="0" applyProtection="0"/>
    <xf numFmtId="0" fontId="2" fillId="0" borderId="0"/>
    <xf numFmtId="43" fontId="2" fillId="0" borderId="0" applyFont="0" applyFill="0" applyBorder="0" applyAlignment="0" applyProtection="0"/>
    <xf numFmtId="43" fontId="1" fillId="0" borderId="0" applyFont="0" applyFill="0" applyBorder="0" applyAlignment="0" applyProtection="0"/>
    <xf numFmtId="0" fontId="176" fillId="0" borderId="0"/>
    <xf numFmtId="9" fontId="177" fillId="0" borderId="0" applyFont="0" applyFill="0" applyBorder="0" applyAlignment="0" applyProtection="0"/>
    <xf numFmtId="0" fontId="10" fillId="0" borderId="0"/>
    <xf numFmtId="0" fontId="2" fillId="0" borderId="0"/>
    <xf numFmtId="0" fontId="3" fillId="0" borderId="0"/>
    <xf numFmtId="43" fontId="3"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1" fillId="0" borderId="0"/>
    <xf numFmtId="0" fontId="146"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xf numFmtId="43" fontId="1" fillId="0" borderId="0" applyFont="0" applyFill="0" applyBorder="0" applyAlignment="0" applyProtection="0"/>
  </cellStyleXfs>
  <cellXfs count="2692">
    <xf numFmtId="0" fontId="0" fillId="0" borderId="0" xfId="0"/>
    <xf numFmtId="0" fontId="6" fillId="0" borderId="0" xfId="7" applyFont="1"/>
    <xf numFmtId="0" fontId="12" fillId="0" borderId="3" xfId="7" applyFont="1" applyBorder="1" applyAlignment="1">
      <alignment horizontal="left"/>
    </xf>
    <xf numFmtId="0" fontId="11" fillId="0" borderId="0" xfId="7" applyFont="1" applyAlignment="1">
      <alignment horizontal="centerContinuous"/>
    </xf>
    <xf numFmtId="0" fontId="4" fillId="4" borderId="4" xfId="7" applyFont="1" applyFill="1" applyBorder="1" applyAlignment="1">
      <alignment horizontal="centerContinuous"/>
    </xf>
    <xf numFmtId="0" fontId="4" fillId="4" borderId="0" xfId="3" applyFont="1" applyFill="1" applyAlignment="1">
      <alignment horizontal="center" vertical="center"/>
    </xf>
    <xf numFmtId="0" fontId="4" fillId="4" borderId="5" xfId="7" applyFont="1" applyFill="1" applyBorder="1" applyAlignment="1">
      <alignment horizontal="centerContinuous"/>
    </xf>
    <xf numFmtId="0" fontId="4" fillId="4" borderId="6" xfId="7" applyFont="1" applyFill="1" applyBorder="1" applyAlignment="1">
      <alignment horizontal="centerContinuous"/>
    </xf>
    <xf numFmtId="0" fontId="5" fillId="2" borderId="7" xfId="3" applyFont="1" applyFill="1" applyBorder="1" applyAlignment="1">
      <alignment horizontal="center" vertical="center"/>
    </xf>
    <xf numFmtId="0" fontId="5" fillId="2" borderId="8" xfId="3" applyFont="1" applyFill="1" applyBorder="1" applyAlignment="1">
      <alignment horizontal="center" vertical="center"/>
    </xf>
    <xf numFmtId="0" fontId="5" fillId="2" borderId="9" xfId="3" applyFont="1" applyFill="1" applyBorder="1" applyAlignment="1">
      <alignment horizontal="center" vertical="center"/>
    </xf>
    <xf numFmtId="166" fontId="6" fillId="0" borderId="0" xfId="4" applyFont="1" applyAlignment="1">
      <alignment horizontal="left" vertical="center"/>
    </xf>
    <xf numFmtId="167" fontId="6" fillId="0" borderId="2" xfId="5" applyNumberFormat="1" applyFont="1" applyFill="1" applyBorder="1" applyAlignment="1">
      <alignment horizontal="center" vertical="center"/>
    </xf>
    <xf numFmtId="167" fontId="6" fillId="2" borderId="2" xfId="5" applyNumberFormat="1" applyFont="1" applyFill="1" applyBorder="1" applyAlignment="1">
      <alignment horizontal="center" vertical="center"/>
    </xf>
    <xf numFmtId="167" fontId="6" fillId="0" borderId="0" xfId="7" applyNumberFormat="1" applyFont="1"/>
    <xf numFmtId="166" fontId="7" fillId="0" borderId="1" xfId="4" applyFont="1" applyBorder="1" applyAlignment="1">
      <alignment horizontal="left" vertical="center"/>
    </xf>
    <xf numFmtId="167" fontId="7" fillId="0" borderId="10" xfId="5" applyNumberFormat="1" applyFont="1" applyFill="1" applyBorder="1" applyAlignment="1">
      <alignment horizontal="center" vertical="center"/>
    </xf>
    <xf numFmtId="167" fontId="7" fillId="2" borderId="10" xfId="5" applyNumberFormat="1" applyFont="1" applyFill="1" applyBorder="1" applyAlignment="1">
      <alignment horizontal="center" vertical="center"/>
    </xf>
    <xf numFmtId="43" fontId="6" fillId="0" borderId="0" xfId="8" applyFont="1"/>
    <xf numFmtId="166" fontId="7" fillId="0" borderId="0" xfId="4" applyFont="1" applyAlignment="1">
      <alignment horizontal="left" vertical="center"/>
    </xf>
    <xf numFmtId="167" fontId="7" fillId="0" borderId="2" xfId="5" applyNumberFormat="1" applyFont="1" applyFill="1" applyBorder="1" applyAlignment="1">
      <alignment horizontal="center" vertical="center"/>
    </xf>
    <xf numFmtId="167" fontId="7" fillId="2" borderId="2" xfId="5" applyNumberFormat="1" applyFont="1" applyFill="1" applyBorder="1" applyAlignment="1">
      <alignment horizontal="center" vertical="center"/>
    </xf>
    <xf numFmtId="166" fontId="7" fillId="0" borderId="11" xfId="4" applyFont="1" applyBorder="1" applyAlignment="1">
      <alignment horizontal="left" vertical="center"/>
    </xf>
    <xf numFmtId="167" fontId="7" fillId="0" borderId="12" xfId="5" applyNumberFormat="1" applyFont="1" applyFill="1" applyBorder="1" applyAlignment="1">
      <alignment horizontal="center" vertical="center"/>
    </xf>
    <xf numFmtId="167" fontId="7" fillId="2" borderId="12" xfId="5" applyNumberFormat="1" applyFont="1" applyFill="1" applyBorder="1" applyAlignment="1">
      <alignment horizontal="center" vertical="center"/>
    </xf>
    <xf numFmtId="166" fontId="6" fillId="0" borderId="1" xfId="4" applyFont="1" applyBorder="1" applyAlignment="1">
      <alignment horizontal="left" vertical="center"/>
    </xf>
    <xf numFmtId="167" fontId="6" fillId="0" borderId="10" xfId="5" applyNumberFormat="1" applyFont="1" applyFill="1" applyBorder="1" applyAlignment="1">
      <alignment horizontal="center" vertical="center"/>
    </xf>
    <xf numFmtId="167" fontId="6" fillId="2" borderId="10" xfId="5" applyNumberFormat="1" applyFont="1" applyFill="1" applyBorder="1" applyAlignment="1">
      <alignment horizontal="center" vertical="center"/>
    </xf>
    <xf numFmtId="166" fontId="6" fillId="0" borderId="11" xfId="4" applyFont="1" applyBorder="1" applyAlignment="1">
      <alignment horizontal="left" vertical="center"/>
    </xf>
    <xf numFmtId="167" fontId="6" fillId="0" borderId="12" xfId="5" applyNumberFormat="1" applyFont="1" applyFill="1" applyBorder="1" applyAlignment="1">
      <alignment horizontal="center" vertical="center"/>
    </xf>
    <xf numFmtId="167" fontId="6" fillId="2" borderId="12" xfId="5" applyNumberFormat="1" applyFont="1" applyFill="1" applyBorder="1" applyAlignment="1">
      <alignment horizontal="center" vertical="center"/>
    </xf>
    <xf numFmtId="167" fontId="7" fillId="2" borderId="13" xfId="5" applyNumberFormat="1" applyFont="1" applyFill="1" applyBorder="1" applyAlignment="1">
      <alignment horizontal="center" vertical="center"/>
    </xf>
    <xf numFmtId="0" fontId="4" fillId="4" borderId="6" xfId="3" applyFont="1" applyFill="1" applyBorder="1" applyAlignment="1">
      <alignment horizontal="center" vertical="center"/>
    </xf>
    <xf numFmtId="0" fontId="4" fillId="4" borderId="14" xfId="7" applyFont="1" applyFill="1" applyBorder="1" applyAlignment="1">
      <alignment horizontal="centerContinuous"/>
    </xf>
    <xf numFmtId="0" fontId="4" fillId="4" borderId="15" xfId="7" applyFont="1" applyFill="1" applyBorder="1" applyAlignment="1">
      <alignment horizontal="centerContinuous"/>
    </xf>
    <xf numFmtId="0" fontId="5" fillId="2" borderId="16" xfId="3" applyFont="1" applyFill="1" applyBorder="1" applyAlignment="1">
      <alignment horizontal="center" vertical="center"/>
    </xf>
    <xf numFmtId="0" fontId="13" fillId="0" borderId="0" xfId="7" applyFont="1"/>
    <xf numFmtId="169" fontId="9" fillId="0" borderId="2" xfId="9" applyNumberFormat="1" applyFont="1" applyFill="1" applyBorder="1" applyAlignment="1">
      <alignment horizontal="center" vertical="center"/>
    </xf>
    <xf numFmtId="0" fontId="14" fillId="0" borderId="0" xfId="7" applyFont="1"/>
    <xf numFmtId="4" fontId="6" fillId="0" borderId="0" xfId="7" applyNumberFormat="1" applyFont="1"/>
    <xf numFmtId="172" fontId="8" fillId="0" borderId="0" xfId="8" applyNumberFormat="1" applyFont="1" applyFill="1" applyBorder="1" applyAlignment="1">
      <alignment horizontal="centerContinuous"/>
    </xf>
    <xf numFmtId="0" fontId="8" fillId="0" borderId="0" xfId="7" applyFont="1" applyAlignment="1">
      <alignment horizontal="centerContinuous"/>
    </xf>
    <xf numFmtId="173" fontId="8" fillId="0" borderId="17" xfId="7" applyNumberFormat="1" applyFont="1" applyBorder="1" applyAlignment="1">
      <alignment horizontal="centerContinuous"/>
    </xf>
    <xf numFmtId="4" fontId="8" fillId="0" borderId="0" xfId="7" applyNumberFormat="1" applyFont="1" applyAlignment="1">
      <alignment horizontal="centerContinuous"/>
    </xf>
    <xf numFmtId="43" fontId="6" fillId="0" borderId="2" xfId="8" applyFont="1" applyFill="1" applyBorder="1" applyAlignment="1">
      <alignment horizontal="center" vertical="center"/>
    </xf>
    <xf numFmtId="43" fontId="6" fillId="2" borderId="2" xfId="8" applyFont="1" applyFill="1" applyBorder="1" applyAlignment="1">
      <alignment horizontal="center" vertical="center"/>
    </xf>
    <xf numFmtId="0" fontId="11" fillId="0" borderId="17" xfId="7" applyFont="1" applyBorder="1" applyAlignment="1">
      <alignment horizontal="centerContinuous"/>
    </xf>
    <xf numFmtId="4" fontId="11" fillId="0" borderId="0" xfId="7" applyNumberFormat="1" applyFont="1" applyAlignment="1">
      <alignment horizontal="centerContinuous"/>
    </xf>
    <xf numFmtId="0" fontId="4" fillId="4" borderId="18" xfId="7" applyFont="1" applyFill="1" applyBorder="1" applyAlignment="1">
      <alignment horizontal="centerContinuous"/>
    </xf>
    <xf numFmtId="167" fontId="6" fillId="2" borderId="19" xfId="5" applyNumberFormat="1" applyFont="1" applyFill="1" applyBorder="1" applyAlignment="1">
      <alignment horizontal="center" vertical="center"/>
    </xf>
    <xf numFmtId="167" fontId="6" fillId="0" borderId="0" xfId="5" applyNumberFormat="1" applyFont="1" applyFill="1" applyBorder="1" applyAlignment="1">
      <alignment horizontal="center" vertical="center"/>
    </xf>
    <xf numFmtId="167" fontId="7" fillId="2" borderId="20" xfId="5" applyNumberFormat="1" applyFont="1" applyFill="1" applyBorder="1" applyAlignment="1">
      <alignment horizontal="center" vertical="center"/>
    </xf>
    <xf numFmtId="167" fontId="7" fillId="0" borderId="1" xfId="5" applyNumberFormat="1" applyFont="1" applyFill="1" applyBorder="1" applyAlignment="1">
      <alignment horizontal="center" vertical="center"/>
    </xf>
    <xf numFmtId="43" fontId="6" fillId="0" borderId="0" xfId="8" applyFont="1" applyBorder="1"/>
    <xf numFmtId="167" fontId="7" fillId="2" borderId="19" xfId="5" applyNumberFormat="1" applyFont="1" applyFill="1" applyBorder="1" applyAlignment="1">
      <alignment horizontal="center" vertical="center"/>
    </xf>
    <xf numFmtId="167" fontId="7" fillId="0" borderId="0" xfId="5" applyNumberFormat="1" applyFont="1" applyFill="1" applyBorder="1" applyAlignment="1">
      <alignment horizontal="center" vertical="center"/>
    </xf>
    <xf numFmtId="167" fontId="7" fillId="2" borderId="21" xfId="5" applyNumberFormat="1" applyFont="1" applyFill="1" applyBorder="1" applyAlignment="1">
      <alignment horizontal="center" vertical="center"/>
    </xf>
    <xf numFmtId="167" fontId="7" fillId="0" borderId="11" xfId="5" applyNumberFormat="1" applyFont="1" applyFill="1" applyBorder="1" applyAlignment="1">
      <alignment horizontal="center" vertical="center"/>
    </xf>
    <xf numFmtId="167" fontId="6" fillId="2" borderId="20" xfId="5" applyNumberFormat="1" applyFont="1" applyFill="1" applyBorder="1" applyAlignment="1">
      <alignment horizontal="center" vertical="center"/>
    </xf>
    <xf numFmtId="167" fontId="6" fillId="0" borderId="1" xfId="5" applyNumberFormat="1" applyFont="1" applyFill="1" applyBorder="1" applyAlignment="1">
      <alignment horizontal="center" vertical="center"/>
    </xf>
    <xf numFmtId="166" fontId="6" fillId="0" borderId="0" xfId="4" applyFont="1" applyAlignment="1">
      <alignment horizontal="left" vertical="top"/>
    </xf>
    <xf numFmtId="167" fontId="6" fillId="0" borderId="2" xfId="5" applyNumberFormat="1" applyFont="1" applyFill="1" applyBorder="1" applyAlignment="1">
      <alignment horizontal="center" vertical="top"/>
    </xf>
    <xf numFmtId="167" fontId="6" fillId="2" borderId="19" xfId="5" applyNumberFormat="1" applyFont="1" applyFill="1" applyBorder="1" applyAlignment="1">
      <alignment horizontal="center" vertical="top"/>
    </xf>
    <xf numFmtId="167" fontId="6" fillId="0" borderId="0" xfId="5" applyNumberFormat="1" applyFont="1" applyFill="1" applyBorder="1" applyAlignment="1">
      <alignment horizontal="center" vertical="top"/>
    </xf>
    <xf numFmtId="167" fontId="6" fillId="2" borderId="2" xfId="5" applyNumberFormat="1" applyFont="1" applyFill="1" applyBorder="1" applyAlignment="1">
      <alignment horizontal="center" vertical="top"/>
    </xf>
    <xf numFmtId="167" fontId="6" fillId="2" borderId="21" xfId="5" applyNumberFormat="1" applyFont="1" applyFill="1" applyBorder="1" applyAlignment="1">
      <alignment horizontal="center" vertical="center"/>
    </xf>
    <xf numFmtId="167" fontId="6" fillId="0" borderId="11" xfId="5" applyNumberFormat="1" applyFont="1" applyFill="1" applyBorder="1" applyAlignment="1">
      <alignment horizontal="center" vertical="center"/>
    </xf>
    <xf numFmtId="167" fontId="7" fillId="2" borderId="22" xfId="5" applyNumberFormat="1" applyFont="1" applyFill="1" applyBorder="1" applyAlignment="1">
      <alignment horizontal="center" vertical="center"/>
    </xf>
    <xf numFmtId="0" fontId="9" fillId="0" borderId="0" xfId="7" applyFont="1"/>
    <xf numFmtId="43" fontId="0" fillId="0" borderId="0" xfId="1" applyFont="1"/>
    <xf numFmtId="172" fontId="0" fillId="0" borderId="0" xfId="1" applyNumberFormat="1" applyFont="1"/>
    <xf numFmtId="167" fontId="0" fillId="0" borderId="0" xfId="1" applyNumberFormat="1" applyFont="1"/>
    <xf numFmtId="0" fontId="17" fillId="0" borderId="0" xfId="0" applyFont="1"/>
    <xf numFmtId="0" fontId="18" fillId="5" borderId="0" xfId="3" applyFont="1" applyFill="1" applyAlignment="1">
      <alignment horizontal="center" vertical="center" wrapText="1"/>
    </xf>
    <xf numFmtId="0" fontId="19" fillId="6" borderId="0" xfId="3" applyFont="1" applyFill="1" applyAlignment="1">
      <alignment horizontal="center" vertical="center" wrapText="1"/>
    </xf>
    <xf numFmtId="166" fontId="17" fillId="0" borderId="0" xfId="4" applyFont="1" applyAlignment="1">
      <alignment horizontal="left" vertical="center" wrapText="1"/>
    </xf>
    <xf numFmtId="167" fontId="17" fillId="0" borderId="0" xfId="1" applyNumberFormat="1" applyFont="1" applyFill="1" applyBorder="1" applyAlignment="1">
      <alignment horizontal="center" vertical="center"/>
    </xf>
    <xf numFmtId="167" fontId="21" fillId="0" borderId="0" xfId="1" applyNumberFormat="1" applyFont="1" applyFill="1" applyBorder="1" applyAlignment="1">
      <alignment horizontal="center" vertical="center"/>
    </xf>
    <xf numFmtId="166" fontId="22" fillId="0" borderId="0" xfId="4" applyFont="1" applyAlignment="1">
      <alignment horizontal="left" vertical="center" wrapText="1"/>
    </xf>
    <xf numFmtId="167" fontId="22" fillId="0" borderId="0" xfId="1" applyNumberFormat="1" applyFont="1" applyFill="1" applyBorder="1" applyAlignment="1">
      <alignment horizontal="center" vertical="center"/>
    </xf>
    <xf numFmtId="167" fontId="23" fillId="0" borderId="0" xfId="1" applyNumberFormat="1" applyFont="1" applyFill="1" applyBorder="1" applyAlignment="1">
      <alignment horizontal="center" vertical="center"/>
    </xf>
    <xf numFmtId="167" fontId="18" fillId="5" borderId="0" xfId="1" applyNumberFormat="1" applyFont="1" applyFill="1" applyBorder="1" applyAlignment="1">
      <alignment horizontal="center" vertical="center" wrapText="1"/>
    </xf>
    <xf numFmtId="167" fontId="23" fillId="5" borderId="0" xfId="1" applyNumberFormat="1" applyFont="1" applyFill="1" applyBorder="1" applyAlignment="1">
      <alignment horizontal="center" vertical="center" wrapText="1"/>
    </xf>
    <xf numFmtId="0" fontId="17" fillId="0" borderId="0" xfId="0" applyFont="1" applyAlignment="1">
      <alignment vertical="center"/>
    </xf>
    <xf numFmtId="169" fontId="25" fillId="0" borderId="0" xfId="2" applyNumberFormat="1" applyFont="1" applyFill="1" applyBorder="1" applyAlignment="1">
      <alignment horizontal="center" vertical="center"/>
    </xf>
    <xf numFmtId="0" fontId="22" fillId="0" borderId="0" xfId="0" applyFont="1"/>
    <xf numFmtId="167" fontId="17" fillId="0" borderId="0" xfId="1" applyNumberFormat="1" applyFont="1" applyBorder="1" applyAlignment="1">
      <alignment horizontal="center"/>
    </xf>
    <xf numFmtId="167" fontId="22" fillId="0" borderId="0" xfId="1" applyNumberFormat="1" applyFont="1" applyBorder="1" applyAlignment="1">
      <alignment horizontal="center"/>
    </xf>
    <xf numFmtId="0" fontId="35" fillId="0" borderId="0" xfId="0" applyFont="1" applyAlignment="1">
      <alignment vertical="center"/>
    </xf>
    <xf numFmtId="0" fontId="35" fillId="0" borderId="0" xfId="0" applyFont="1"/>
    <xf numFmtId="167" fontId="36" fillId="0" borderId="0" xfId="1" applyNumberFormat="1" applyFont="1" applyFill="1" applyBorder="1" applyAlignment="1">
      <alignment horizontal="center" vertical="center"/>
    </xf>
    <xf numFmtId="167" fontId="36" fillId="0" borderId="0" xfId="1" applyNumberFormat="1" applyFont="1" applyBorder="1" applyAlignment="1">
      <alignment horizontal="center"/>
    </xf>
    <xf numFmtId="167" fontId="37" fillId="0" borderId="0" xfId="1" applyNumberFormat="1" applyFont="1" applyFill="1" applyBorder="1" applyAlignment="1">
      <alignment horizontal="center" vertical="center"/>
    </xf>
    <xf numFmtId="0" fontId="27" fillId="0" borderId="0" xfId="0" applyFont="1"/>
    <xf numFmtId="0" fontId="27" fillId="0" borderId="0" xfId="0" applyFont="1" applyAlignment="1">
      <alignment horizontal="right" vertical="center"/>
    </xf>
    <xf numFmtId="171" fontId="38" fillId="0" borderId="0" xfId="2" applyNumberFormat="1" applyFont="1" applyFill="1" applyBorder="1" applyAlignment="1">
      <alignment horizontal="center" vertical="center"/>
    </xf>
    <xf numFmtId="166" fontId="27" fillId="0" borderId="0" xfId="4" applyFont="1" applyAlignment="1">
      <alignment horizontal="right" vertical="center" wrapText="1"/>
    </xf>
    <xf numFmtId="171" fontId="39" fillId="0" borderId="0" xfId="2" applyNumberFormat="1" applyFont="1" applyFill="1" applyBorder="1" applyAlignment="1">
      <alignment horizontal="center" vertical="center"/>
    </xf>
    <xf numFmtId="167" fontId="40" fillId="0" borderId="0" xfId="1" applyNumberFormat="1" applyFont="1" applyFill="1" applyBorder="1" applyAlignment="1">
      <alignment horizontal="center" vertical="center"/>
    </xf>
    <xf numFmtId="0" fontId="22" fillId="0" borderId="24" xfId="0" applyFont="1" applyBorder="1"/>
    <xf numFmtId="0" fontId="22" fillId="0" borderId="25" xfId="0" applyFont="1" applyBorder="1"/>
    <xf numFmtId="167" fontId="41" fillId="0" borderId="0" xfId="1" applyNumberFormat="1" applyFont="1" applyFill="1" applyBorder="1" applyAlignment="1">
      <alignment horizontal="center" vertical="center"/>
    </xf>
    <xf numFmtId="174" fontId="0" fillId="0" borderId="26" xfId="1" applyNumberFormat="1" applyFont="1" applyBorder="1" applyAlignment="1">
      <alignment vertical="center"/>
    </xf>
    <xf numFmtId="174" fontId="0" fillId="9" borderId="26" xfId="1" applyNumberFormat="1" applyFont="1" applyFill="1" applyBorder="1" applyAlignment="1">
      <alignment vertical="center"/>
    </xf>
    <xf numFmtId="171" fontId="0" fillId="0" borderId="26" xfId="2" applyNumberFormat="1" applyFont="1" applyBorder="1" applyAlignment="1">
      <alignment vertical="center"/>
    </xf>
    <xf numFmtId="0" fontId="16" fillId="0" borderId="0" xfId="0" applyFont="1"/>
    <xf numFmtId="43" fontId="16" fillId="0" borderId="0" xfId="1" applyFont="1"/>
    <xf numFmtId="172" fontId="16" fillId="0" borderId="0" xfId="1" applyNumberFormat="1" applyFont="1"/>
    <xf numFmtId="165" fontId="0" fillId="0" borderId="0" xfId="0" applyNumberFormat="1"/>
    <xf numFmtId="165" fontId="16" fillId="0" borderId="0" xfId="0" applyNumberFormat="1" applyFont="1"/>
    <xf numFmtId="37" fontId="0" fillId="0" borderId="26" xfId="1" applyNumberFormat="1" applyFont="1" applyBorder="1" applyAlignment="1">
      <alignment vertical="center"/>
    </xf>
    <xf numFmtId="37" fontId="0" fillId="9" borderId="26" xfId="0" applyNumberFormat="1" applyFill="1" applyBorder="1" applyAlignment="1">
      <alignment vertical="center"/>
    </xf>
    <xf numFmtId="43" fontId="0" fillId="0" borderId="26" xfId="1" applyFont="1" applyBorder="1" applyAlignment="1">
      <alignment vertical="center"/>
    </xf>
    <xf numFmtId="37" fontId="0" fillId="0" borderId="26" xfId="0" applyNumberFormat="1" applyBorder="1" applyAlignment="1">
      <alignment vertical="center"/>
    </xf>
    <xf numFmtId="37" fontId="0" fillId="0" borderId="27" xfId="1" applyNumberFormat="1" applyFont="1" applyBorder="1" applyAlignment="1">
      <alignment vertical="center"/>
    </xf>
    <xf numFmtId="37" fontId="0" fillId="0" borderId="27" xfId="1" applyNumberFormat="1" applyFont="1" applyBorder="1" applyAlignment="1">
      <alignment horizontal="right" vertical="center"/>
    </xf>
    <xf numFmtId="37" fontId="0" fillId="2" borderId="27" xfId="1" applyNumberFormat="1" applyFont="1" applyFill="1" applyBorder="1" applyAlignment="1">
      <alignment vertical="center"/>
    </xf>
    <xf numFmtId="171" fontId="0" fillId="0" borderId="27" xfId="2" applyNumberFormat="1" applyFont="1" applyBorder="1" applyAlignment="1">
      <alignment vertical="center"/>
    </xf>
    <xf numFmtId="174" fontId="31" fillId="0" borderId="26" xfId="1" applyNumberFormat="1" applyFont="1" applyBorder="1" applyAlignment="1">
      <alignment vertical="center"/>
    </xf>
    <xf numFmtId="174" fontId="32" fillId="0" borderId="26" xfId="1" applyNumberFormat="1" applyFont="1" applyBorder="1" applyAlignment="1">
      <alignment vertical="center"/>
    </xf>
    <xf numFmtId="174" fontId="50" fillId="0" borderId="26" xfId="1" applyNumberFormat="1" applyFont="1" applyBorder="1" applyAlignment="1">
      <alignment vertical="center"/>
    </xf>
    <xf numFmtId="174" fontId="32" fillId="9" borderId="26" xfId="1" applyNumberFormat="1" applyFont="1" applyFill="1" applyBorder="1" applyAlignment="1">
      <alignment vertical="center"/>
    </xf>
    <xf numFmtId="174" fontId="49" fillId="10" borderId="0" xfId="1" applyNumberFormat="1" applyFont="1" applyFill="1" applyAlignment="1">
      <alignment vertical="center"/>
    </xf>
    <xf numFmtId="174" fontId="31" fillId="9" borderId="26" xfId="1" applyNumberFormat="1" applyFont="1" applyFill="1" applyBorder="1" applyAlignment="1">
      <alignment vertical="center"/>
    </xf>
    <xf numFmtId="37" fontId="49" fillId="10" borderId="0" xfId="1" applyNumberFormat="1" applyFont="1" applyFill="1" applyAlignment="1">
      <alignment vertical="center"/>
    </xf>
    <xf numFmtId="37" fontId="32" fillId="0" borderId="26" xfId="0" applyNumberFormat="1" applyFont="1" applyBorder="1" applyAlignment="1">
      <alignment vertical="center"/>
    </xf>
    <xf numFmtId="37" fontId="31" fillId="0" borderId="26" xfId="0" applyNumberFormat="1" applyFont="1" applyBorder="1" applyAlignment="1">
      <alignment vertical="center"/>
    </xf>
    <xf numFmtId="37" fontId="31" fillId="3" borderId="26" xfId="0" applyNumberFormat="1" applyFont="1" applyFill="1" applyBorder="1" applyAlignment="1">
      <alignment vertical="center"/>
    </xf>
    <xf numFmtId="37" fontId="31" fillId="9" borderId="26" xfId="0" applyNumberFormat="1" applyFont="1" applyFill="1" applyBorder="1" applyAlignment="1">
      <alignment vertical="center"/>
    </xf>
    <xf numFmtId="37" fontId="52" fillId="0" borderId="26" xfId="0" applyNumberFormat="1" applyFont="1" applyBorder="1" applyAlignment="1">
      <alignment vertical="center"/>
    </xf>
    <xf numFmtId="9" fontId="31" fillId="0" borderId="27" xfId="2" applyFont="1" applyBorder="1" applyAlignment="1">
      <alignment vertical="center"/>
    </xf>
    <xf numFmtId="171" fontId="21" fillId="0" borderId="0" xfId="2" applyNumberFormat="1" applyFont="1" applyFill="1" applyBorder="1" applyAlignment="1">
      <alignment horizontal="center" vertical="center"/>
    </xf>
    <xf numFmtId="174" fontId="1" fillId="9" borderId="0" xfId="1" applyNumberFormat="1" applyFill="1" applyAlignment="1">
      <alignment horizontal="right" vertical="center"/>
    </xf>
    <xf numFmtId="37" fontId="1" fillId="9" borderId="0" xfId="1" applyNumberFormat="1" applyFill="1" applyAlignment="1">
      <alignment horizontal="right" vertical="center"/>
    </xf>
    <xf numFmtId="39" fontId="1" fillId="9" borderId="0" xfId="1" applyNumberFormat="1" applyFill="1" applyAlignment="1">
      <alignment horizontal="right" vertical="center"/>
    </xf>
    <xf numFmtId="171" fontId="1" fillId="9" borderId="0" xfId="2" applyNumberFormat="1" applyFill="1" applyAlignment="1">
      <alignment horizontal="right" vertical="center"/>
    </xf>
    <xf numFmtId="172" fontId="31" fillId="0" borderId="0" xfId="1" applyNumberFormat="1" applyFont="1"/>
    <xf numFmtId="0" fontId="50" fillId="0" borderId="0" xfId="0" applyFont="1"/>
    <xf numFmtId="174" fontId="16" fillId="0" borderId="26" xfId="1" applyNumberFormat="1" applyFont="1" applyBorder="1" applyAlignment="1">
      <alignment vertical="center"/>
    </xf>
    <xf numFmtId="9" fontId="0" fillId="0" borderId="0" xfId="2" applyFont="1"/>
    <xf numFmtId="171" fontId="0" fillId="0" borderId="0" xfId="2" applyNumberFormat="1" applyFont="1"/>
    <xf numFmtId="171" fontId="17" fillId="0" borderId="0" xfId="2" applyNumberFormat="1" applyFont="1"/>
    <xf numFmtId="172" fontId="0" fillId="0" borderId="0" xfId="0" applyNumberFormat="1"/>
    <xf numFmtId="174" fontId="31" fillId="11" borderId="26" xfId="1" applyNumberFormat="1" applyFont="1" applyFill="1" applyBorder="1" applyAlignment="1">
      <alignment vertical="center"/>
    </xf>
    <xf numFmtId="167" fontId="16" fillId="9" borderId="0" xfId="1" applyNumberFormat="1" applyFont="1" applyFill="1" applyAlignment="1">
      <alignment horizontal="right" vertical="center"/>
    </xf>
    <xf numFmtId="167" fontId="1" fillId="9" borderId="0" xfId="1" applyNumberFormat="1" applyFill="1" applyAlignment="1">
      <alignment horizontal="right" vertical="center"/>
    </xf>
    <xf numFmtId="167" fontId="0" fillId="0" borderId="0" xfId="0" applyNumberFormat="1"/>
    <xf numFmtId="167" fontId="42" fillId="9" borderId="0" xfId="1" applyNumberFormat="1" applyFont="1" applyFill="1" applyAlignment="1">
      <alignment horizontal="right" vertical="center"/>
    </xf>
    <xf numFmtId="167" fontId="50" fillId="9" borderId="0" xfId="1" applyNumberFormat="1" applyFont="1" applyFill="1" applyAlignment="1">
      <alignment horizontal="right" vertical="center"/>
    </xf>
    <xf numFmtId="37" fontId="44" fillId="9" borderId="0" xfId="1" applyNumberFormat="1" applyFont="1" applyFill="1" applyAlignment="1">
      <alignment horizontal="right" vertical="center"/>
    </xf>
    <xf numFmtId="171" fontId="36" fillId="0" borderId="0" xfId="2" applyNumberFormat="1" applyFont="1" applyFill="1" applyBorder="1" applyAlignment="1">
      <alignment horizontal="center" vertical="center"/>
    </xf>
    <xf numFmtId="167" fontId="54" fillId="0" borderId="0" xfId="1" applyNumberFormat="1" applyFont="1" applyFill="1" applyBorder="1" applyAlignment="1">
      <alignment horizontal="center" vertical="center"/>
    </xf>
    <xf numFmtId="167" fontId="55" fillId="0" borderId="0" xfId="1" applyNumberFormat="1" applyFont="1" applyFill="1" applyBorder="1" applyAlignment="1">
      <alignment horizontal="center" vertical="center"/>
    </xf>
    <xf numFmtId="9" fontId="17" fillId="0" borderId="0" xfId="2" applyFont="1"/>
    <xf numFmtId="171" fontId="15" fillId="0" borderId="0" xfId="0" applyNumberFormat="1" applyFont="1"/>
    <xf numFmtId="174" fontId="15" fillId="0" borderId="0" xfId="0" applyNumberFormat="1" applyFont="1"/>
    <xf numFmtId="167" fontId="58" fillId="0" borderId="0" xfId="1" applyNumberFormat="1" applyFont="1" applyFill="1" applyBorder="1" applyAlignment="1">
      <alignment horizontal="center" vertical="center"/>
    </xf>
    <xf numFmtId="167" fontId="41" fillId="11" borderId="0" xfId="1" applyNumberFormat="1" applyFont="1" applyFill="1" applyBorder="1" applyAlignment="1">
      <alignment horizontal="center" vertical="center"/>
    </xf>
    <xf numFmtId="167" fontId="21" fillId="0" borderId="0" xfId="1" applyNumberFormat="1" applyFont="1" applyFill="1" applyBorder="1" applyAlignment="1">
      <alignment horizontal="center" vertical="center" wrapText="1"/>
    </xf>
    <xf numFmtId="167" fontId="22" fillId="0" borderId="0" xfId="1" applyNumberFormat="1" applyFont="1" applyFill="1" applyBorder="1" applyAlignment="1">
      <alignment horizontal="center"/>
    </xf>
    <xf numFmtId="0" fontId="49" fillId="10" borderId="0" xfId="1" applyNumberFormat="1" applyFont="1" applyFill="1" applyAlignment="1">
      <alignment vertical="center"/>
    </xf>
    <xf numFmtId="175" fontId="60" fillId="9" borderId="0" xfId="10" applyFont="1" applyFill="1"/>
    <xf numFmtId="175" fontId="60" fillId="9" borderId="0" xfId="10" applyFont="1" applyFill="1" applyAlignment="1">
      <alignment horizontal="center"/>
    </xf>
    <xf numFmtId="175" fontId="61" fillId="9" borderId="0" xfId="10" applyFont="1" applyFill="1" applyAlignment="1">
      <alignment horizontal="center"/>
    </xf>
    <xf numFmtId="0" fontId="62" fillId="9" borderId="0" xfId="11" applyFont="1" applyFill="1"/>
    <xf numFmtId="0" fontId="63" fillId="9" borderId="23" xfId="11" applyFont="1" applyFill="1" applyBorder="1"/>
    <xf numFmtId="10" fontId="63" fillId="3" borderId="23" xfId="2" applyNumberFormat="1" applyFont="1" applyFill="1" applyBorder="1"/>
    <xf numFmtId="10" fontId="64" fillId="3" borderId="23" xfId="12" applyNumberFormat="1" applyFont="1" applyFill="1" applyBorder="1"/>
    <xf numFmtId="9" fontId="63" fillId="9" borderId="23" xfId="2" applyFont="1" applyFill="1" applyBorder="1"/>
    <xf numFmtId="165" fontId="63" fillId="3" borderId="23" xfId="13" applyFont="1" applyFill="1" applyBorder="1"/>
    <xf numFmtId="176" fontId="64" fillId="3" borderId="23" xfId="13" applyNumberFormat="1" applyFont="1" applyFill="1" applyBorder="1"/>
    <xf numFmtId="176" fontId="62" fillId="9" borderId="0" xfId="1" applyNumberFormat="1" applyFont="1" applyFill="1"/>
    <xf numFmtId="0" fontId="66" fillId="9" borderId="0" xfId="0" applyFont="1" applyFill="1"/>
    <xf numFmtId="0" fontId="62" fillId="9" borderId="0" xfId="0" applyFont="1" applyFill="1"/>
    <xf numFmtId="165" fontId="62" fillId="9" borderId="0" xfId="11" applyNumberFormat="1" applyFont="1" applyFill="1"/>
    <xf numFmtId="0" fontId="2" fillId="0" borderId="0" xfId="11"/>
    <xf numFmtId="14" fontId="62" fillId="9" borderId="0" xfId="11" applyNumberFormat="1" applyFont="1" applyFill="1"/>
    <xf numFmtId="0" fontId="0" fillId="0" borderId="0" xfId="0" applyAlignment="1">
      <alignment horizontal="center"/>
    </xf>
    <xf numFmtId="165" fontId="2" fillId="0" borderId="0" xfId="13"/>
    <xf numFmtId="15" fontId="68" fillId="0" borderId="0" xfId="0" applyNumberFormat="1" applyFont="1" applyAlignment="1">
      <alignment horizontal="center"/>
    </xf>
    <xf numFmtId="174" fontId="69" fillId="0" borderId="0" xfId="13" applyNumberFormat="1" applyFont="1" applyAlignment="1">
      <alignment horizontal="center" vertical="center"/>
    </xf>
    <xf numFmtId="37" fontId="43" fillId="8" borderId="0" xfId="13" applyNumberFormat="1" applyFont="1" applyFill="1" applyAlignment="1">
      <alignment vertical="center"/>
    </xf>
    <xf numFmtId="37" fontId="43" fillId="8" borderId="0" xfId="13" applyNumberFormat="1" applyFont="1" applyFill="1" applyAlignment="1">
      <alignment horizontal="center" vertical="center"/>
    </xf>
    <xf numFmtId="37" fontId="62" fillId="0" borderId="0" xfId="13" applyNumberFormat="1" applyFont="1" applyAlignment="1">
      <alignment vertical="center"/>
    </xf>
    <xf numFmtId="37" fontId="62" fillId="0" borderId="0" xfId="13" applyNumberFormat="1" applyFont="1" applyAlignment="1">
      <alignment horizontal="center" vertical="center"/>
    </xf>
    <xf numFmtId="171" fontId="69" fillId="0" borderId="0" xfId="12" applyNumberFormat="1" applyFont="1" applyAlignment="1">
      <alignment vertical="center"/>
    </xf>
    <xf numFmtId="0" fontId="16" fillId="0" borderId="0" xfId="0" applyFont="1" applyAlignment="1">
      <alignment horizontal="center"/>
    </xf>
    <xf numFmtId="37" fontId="2" fillId="0" borderId="0" xfId="13" applyNumberFormat="1" applyAlignment="1">
      <alignment vertical="center"/>
    </xf>
    <xf numFmtId="15" fontId="62" fillId="0" borderId="0" xfId="13" applyNumberFormat="1" applyFont="1" applyAlignment="1">
      <alignment vertical="center"/>
    </xf>
    <xf numFmtId="37" fontId="68" fillId="0" borderId="0" xfId="13" applyNumberFormat="1" applyFont="1" applyAlignment="1">
      <alignment vertical="center"/>
    </xf>
    <xf numFmtId="171" fontId="0" fillId="0" borderId="0" xfId="12" applyNumberFormat="1" applyFont="1"/>
    <xf numFmtId="171" fontId="67" fillId="0" borderId="0" xfId="12" applyNumberFormat="1" applyFont="1"/>
    <xf numFmtId="10" fontId="0" fillId="0" borderId="0" xfId="0" applyNumberFormat="1"/>
    <xf numFmtId="10" fontId="67" fillId="0" borderId="0" xfId="0" applyNumberFormat="1" applyFont="1"/>
    <xf numFmtId="170" fontId="0" fillId="0" borderId="0" xfId="0" applyNumberFormat="1"/>
    <xf numFmtId="10" fontId="31" fillId="0" borderId="0" xfId="12" applyNumberFormat="1" applyFont="1"/>
    <xf numFmtId="37" fontId="42" fillId="0" borderId="32" xfId="13" applyNumberFormat="1" applyFont="1" applyBorder="1" applyAlignment="1">
      <alignment vertical="center"/>
    </xf>
    <xf numFmtId="177" fontId="62" fillId="0" borderId="0" xfId="13" applyNumberFormat="1" applyFont="1" applyAlignment="1">
      <alignment vertical="center"/>
    </xf>
    <xf numFmtId="10" fontId="15" fillId="11" borderId="0" xfId="12" applyNumberFormat="1" applyFont="1" applyFill="1"/>
    <xf numFmtId="165" fontId="62" fillId="0" borderId="0" xfId="13" applyFont="1" applyAlignment="1">
      <alignment vertical="center"/>
    </xf>
    <xf numFmtId="174" fontId="62" fillId="0" borderId="0" xfId="13" applyNumberFormat="1" applyFont="1" applyAlignment="1">
      <alignment vertical="center"/>
    </xf>
    <xf numFmtId="170" fontId="62" fillId="0" borderId="0" xfId="13" applyNumberFormat="1" applyFont="1" applyAlignment="1">
      <alignment vertical="center"/>
    </xf>
    <xf numFmtId="165" fontId="0" fillId="0" borderId="0" xfId="13" applyFont="1"/>
    <xf numFmtId="165" fontId="15" fillId="11" borderId="0" xfId="13" applyFont="1" applyFill="1"/>
    <xf numFmtId="37" fontId="71" fillId="0" borderId="0" xfId="13" applyNumberFormat="1" applyFont="1" applyAlignment="1">
      <alignment vertical="center"/>
    </xf>
    <xf numFmtId="165" fontId="69" fillId="0" borderId="34" xfId="13" applyFont="1" applyBorder="1" applyAlignment="1">
      <alignment vertical="center"/>
    </xf>
    <xf numFmtId="171" fontId="62" fillId="0" borderId="0" xfId="12" applyNumberFormat="1" applyFont="1" applyAlignment="1">
      <alignment vertical="center"/>
    </xf>
    <xf numFmtId="37" fontId="72" fillId="0" borderId="0" xfId="13" applyNumberFormat="1" applyFont="1" applyAlignment="1">
      <alignment vertical="center"/>
    </xf>
    <xf numFmtId="171" fontId="72" fillId="0" borderId="0" xfId="12" applyNumberFormat="1" applyFont="1" applyAlignment="1">
      <alignment vertical="center"/>
    </xf>
    <xf numFmtId="9" fontId="0" fillId="0" borderId="0" xfId="12" applyFont="1"/>
    <xf numFmtId="0" fontId="73" fillId="0" borderId="0" xfId="0" applyFont="1"/>
    <xf numFmtId="9" fontId="73" fillId="0" borderId="0" xfId="12" applyFont="1"/>
    <xf numFmtId="171" fontId="42" fillId="0" borderId="0" xfId="12" applyNumberFormat="1" applyFont="1"/>
    <xf numFmtId="168" fontId="2" fillId="9" borderId="0" xfId="14" applyNumberFormat="1" applyFill="1"/>
    <xf numFmtId="174" fontId="0" fillId="0" borderId="0" xfId="0" applyNumberFormat="1"/>
    <xf numFmtId="170" fontId="42" fillId="0" borderId="0" xfId="0" applyNumberFormat="1" applyFont="1"/>
    <xf numFmtId="0" fontId="0" fillId="0" borderId="30" xfId="0" applyBorder="1"/>
    <xf numFmtId="37" fontId="0" fillId="0" borderId="35" xfId="0" applyNumberFormat="1" applyBorder="1"/>
    <xf numFmtId="0" fontId="0" fillId="0" borderId="26" xfId="0" applyBorder="1"/>
    <xf numFmtId="171" fontId="69" fillId="0" borderId="36" xfId="0" applyNumberFormat="1" applyFont="1" applyBorder="1"/>
    <xf numFmtId="171" fontId="0" fillId="0" borderId="36" xfId="0" applyNumberFormat="1" applyBorder="1"/>
    <xf numFmtId="10" fontId="0" fillId="0" borderId="36" xfId="0" applyNumberFormat="1" applyBorder="1"/>
    <xf numFmtId="174" fontId="2" fillId="0" borderId="0" xfId="13" applyNumberFormat="1"/>
    <xf numFmtId="0" fontId="0" fillId="0" borderId="31" xfId="0" applyBorder="1"/>
    <xf numFmtId="37" fontId="0" fillId="0" borderId="37" xfId="0" applyNumberFormat="1" applyBorder="1"/>
    <xf numFmtId="168" fontId="0" fillId="0" borderId="0" xfId="0" applyNumberFormat="1"/>
    <xf numFmtId="0" fontId="0" fillId="0" borderId="0" xfId="0" applyAlignment="1">
      <alignment horizontal="right"/>
    </xf>
    <xf numFmtId="9" fontId="2" fillId="0" borderId="0" xfId="12"/>
    <xf numFmtId="9" fontId="0" fillId="0" borderId="0" xfId="0" applyNumberFormat="1"/>
    <xf numFmtId="0" fontId="44" fillId="0" borderId="0" xfId="0" applyFont="1" applyAlignment="1">
      <alignment horizontal="left"/>
    </xf>
    <xf numFmtId="168" fontId="2" fillId="0" borderId="0" xfId="13" applyNumberFormat="1"/>
    <xf numFmtId="165" fontId="42" fillId="0" borderId="0" xfId="13" applyFont="1"/>
    <xf numFmtId="168" fontId="0" fillId="0" borderId="0" xfId="0" applyNumberFormat="1" applyAlignment="1">
      <alignment horizontal="right"/>
    </xf>
    <xf numFmtId="0" fontId="42" fillId="0" borderId="0" xfId="0" applyFont="1"/>
    <xf numFmtId="168" fontId="42" fillId="0" borderId="0" xfId="0" applyNumberFormat="1" applyFont="1" applyAlignment="1">
      <alignment horizontal="right"/>
    </xf>
    <xf numFmtId="0" fontId="2" fillId="0" borderId="0" xfId="0" applyFont="1" applyAlignment="1">
      <alignment horizontal="left"/>
    </xf>
    <xf numFmtId="0" fontId="2" fillId="9" borderId="0" xfId="0" applyFont="1" applyFill="1" applyAlignment="1">
      <alignment horizontal="left"/>
    </xf>
    <xf numFmtId="0" fontId="42" fillId="0" borderId="0" xfId="0" applyFont="1" applyAlignment="1">
      <alignment horizontal="left"/>
    </xf>
    <xf numFmtId="174" fontId="2" fillId="0" borderId="0" xfId="13" applyNumberFormat="1" applyAlignment="1">
      <alignment horizontal="right"/>
    </xf>
    <xf numFmtId="0" fontId="42" fillId="0" borderId="0" xfId="0" applyFont="1" applyAlignment="1">
      <alignment horizontal="center"/>
    </xf>
    <xf numFmtId="0" fontId="2" fillId="0" borderId="0" xfId="15"/>
    <xf numFmtId="0" fontId="74" fillId="0" borderId="0" xfId="15" applyFont="1"/>
    <xf numFmtId="171" fontId="74" fillId="0" borderId="0" xfId="12" applyNumberFormat="1" applyFont="1"/>
    <xf numFmtId="0" fontId="75" fillId="0" borderId="0" xfId="15" applyFont="1"/>
    <xf numFmtId="10" fontId="75" fillId="0" borderId="0" xfId="0" applyNumberFormat="1" applyFont="1"/>
    <xf numFmtId="171" fontId="73" fillId="0" borderId="0" xfId="12" applyNumberFormat="1" applyFont="1"/>
    <xf numFmtId="17" fontId="43" fillId="8" borderId="0" xfId="13" applyNumberFormat="1" applyFont="1" applyFill="1" applyAlignment="1">
      <alignment horizontal="center" vertical="center"/>
    </xf>
    <xf numFmtId="10" fontId="71" fillId="0" borderId="0" xfId="12" applyNumberFormat="1" applyFont="1" applyAlignment="1">
      <alignment vertical="center"/>
    </xf>
    <xf numFmtId="39" fontId="67" fillId="0" borderId="0" xfId="13" applyNumberFormat="1" applyFont="1" applyAlignment="1">
      <alignment vertical="center"/>
    </xf>
    <xf numFmtId="39" fontId="68" fillId="0" borderId="0" xfId="13" applyNumberFormat="1" applyFont="1" applyAlignment="1">
      <alignment vertical="center"/>
    </xf>
    <xf numFmtId="171" fontId="67" fillId="0" borderId="0" xfId="12" applyNumberFormat="1" applyFont="1" applyAlignment="1">
      <alignment vertical="center"/>
    </xf>
    <xf numFmtId="171" fontId="68" fillId="0" borderId="0" xfId="12" applyNumberFormat="1" applyFont="1" applyAlignment="1">
      <alignment vertical="center"/>
    </xf>
    <xf numFmtId="37" fontId="62" fillId="0" borderId="0" xfId="17" applyNumberFormat="1" applyFont="1" applyAlignment="1">
      <alignment horizontal="left" vertical="center" indent="1"/>
    </xf>
    <xf numFmtId="10" fontId="67" fillId="0" borderId="0" xfId="12" applyNumberFormat="1" applyFont="1" applyAlignment="1">
      <alignment vertical="center"/>
    </xf>
    <xf numFmtId="10" fontId="68" fillId="0" borderId="0" xfId="12" applyNumberFormat="1" applyFont="1" applyAlignment="1">
      <alignment vertical="center"/>
    </xf>
    <xf numFmtId="37" fontId="62" fillId="13" borderId="25" xfId="13" applyNumberFormat="1" applyFont="1" applyFill="1" applyBorder="1" applyAlignment="1">
      <alignment vertical="center"/>
    </xf>
    <xf numFmtId="37" fontId="62" fillId="14" borderId="25" xfId="13" applyNumberFormat="1" applyFont="1" applyFill="1" applyBorder="1" applyAlignment="1">
      <alignment vertical="center"/>
    </xf>
    <xf numFmtId="37" fontId="62" fillId="0" borderId="0" xfId="13" quotePrefix="1" applyNumberFormat="1" applyFont="1" applyAlignment="1">
      <alignment vertical="center"/>
    </xf>
    <xf numFmtId="37" fontId="62" fillId="0" borderId="0" xfId="0" applyNumberFormat="1" applyFont="1" applyAlignment="1">
      <alignment vertical="center"/>
    </xf>
    <xf numFmtId="37" fontId="62" fillId="0" borderId="0" xfId="12" applyNumberFormat="1" applyFont="1" applyAlignment="1">
      <alignment vertical="center"/>
    </xf>
    <xf numFmtId="10" fontId="67" fillId="0" borderId="0" xfId="2" applyNumberFormat="1" applyFont="1" applyAlignment="1">
      <alignment vertical="center"/>
    </xf>
    <xf numFmtId="0" fontId="76" fillId="0" borderId="0" xfId="18"/>
    <xf numFmtId="171" fontId="35" fillId="0" borderId="0" xfId="2" applyNumberFormat="1" applyFont="1"/>
    <xf numFmtId="171" fontId="22" fillId="0" borderId="0" xfId="2" applyNumberFormat="1" applyFont="1"/>
    <xf numFmtId="167" fontId="16" fillId="0" borderId="0" xfId="0" applyNumberFormat="1" applyFont="1"/>
    <xf numFmtId="167" fontId="16" fillId="0" borderId="0" xfId="1" applyNumberFormat="1" applyFont="1"/>
    <xf numFmtId="167" fontId="0" fillId="0" borderId="0" xfId="1" applyNumberFormat="1" applyFont="1" applyAlignment="1">
      <alignment wrapText="1"/>
    </xf>
    <xf numFmtId="167" fontId="57" fillId="0" borderId="0" xfId="1" applyNumberFormat="1" applyFont="1"/>
    <xf numFmtId="167" fontId="15" fillId="0" borderId="0" xfId="1" applyNumberFormat="1" applyFont="1"/>
    <xf numFmtId="167" fontId="15" fillId="0" borderId="0" xfId="0" applyNumberFormat="1" applyFont="1"/>
    <xf numFmtId="167" fontId="57" fillId="0" borderId="0" xfId="0" applyNumberFormat="1" applyFont="1"/>
    <xf numFmtId="167" fontId="1" fillId="9" borderId="0" xfId="1" applyNumberFormat="1" applyFont="1" applyFill="1" applyAlignment="1">
      <alignment horizontal="right" vertical="center"/>
    </xf>
    <xf numFmtId="167" fontId="31" fillId="9" borderId="0" xfId="1" applyNumberFormat="1" applyFont="1" applyFill="1" applyAlignment="1">
      <alignment horizontal="right" vertical="center"/>
    </xf>
    <xf numFmtId="167" fontId="53" fillId="9" borderId="0" xfId="1" applyNumberFormat="1" applyFont="1" applyFill="1" applyAlignment="1">
      <alignment horizontal="right" vertical="center"/>
    </xf>
    <xf numFmtId="37" fontId="49" fillId="0" borderId="0" xfId="1" applyNumberFormat="1" applyFont="1" applyFill="1" applyAlignment="1">
      <alignment vertical="center"/>
    </xf>
    <xf numFmtId="0" fontId="49" fillId="0" borderId="0" xfId="1" applyNumberFormat="1" applyFont="1" applyFill="1" applyAlignment="1">
      <alignment vertical="center"/>
    </xf>
    <xf numFmtId="37" fontId="50" fillId="9" borderId="26" xfId="0" applyNumberFormat="1" applyFont="1" applyFill="1" applyBorder="1" applyAlignment="1">
      <alignment vertical="center"/>
    </xf>
    <xf numFmtId="0" fontId="31" fillId="0" borderId="0" xfId="0" applyFont="1"/>
    <xf numFmtId="9" fontId="15" fillId="0" borderId="0" xfId="2" applyFont="1"/>
    <xf numFmtId="171" fontId="29" fillId="0" borderId="0" xfId="2" applyNumberFormat="1" applyFont="1"/>
    <xf numFmtId="0" fontId="56" fillId="0" borderId="0" xfId="0" applyFont="1"/>
    <xf numFmtId="0" fontId="49" fillId="15" borderId="0" xfId="1" applyNumberFormat="1" applyFont="1" applyFill="1" applyAlignment="1">
      <alignment vertical="center"/>
    </xf>
    <xf numFmtId="0" fontId="49" fillId="16" borderId="0" xfId="1" applyNumberFormat="1" applyFont="1" applyFill="1" applyAlignment="1">
      <alignment horizontal="right" vertical="center"/>
    </xf>
    <xf numFmtId="165" fontId="56" fillId="0" borderId="0" xfId="0" applyNumberFormat="1" applyFont="1"/>
    <xf numFmtId="171" fontId="21" fillId="0" borderId="0" xfId="2" applyNumberFormat="1" applyFont="1"/>
    <xf numFmtId="43" fontId="50" fillId="11" borderId="0" xfId="1" applyFont="1" applyFill="1"/>
    <xf numFmtId="39" fontId="0" fillId="0" borderId="0" xfId="0" applyNumberFormat="1"/>
    <xf numFmtId="0" fontId="0" fillId="0" borderId="0" xfId="0" applyAlignment="1">
      <alignment vertical="center"/>
    </xf>
    <xf numFmtId="167" fontId="77" fillId="9" borderId="0" xfId="1" applyNumberFormat="1" applyFont="1" applyFill="1" applyAlignment="1">
      <alignment horizontal="right" vertical="center"/>
    </xf>
    <xf numFmtId="0" fontId="49" fillId="0" borderId="0" xfId="1" applyNumberFormat="1" applyFont="1" applyFill="1" applyAlignment="1">
      <alignment horizontal="right" vertical="center"/>
    </xf>
    <xf numFmtId="9" fontId="32" fillId="7" borderId="26" xfId="2" applyFont="1" applyFill="1" applyBorder="1" applyAlignment="1">
      <alignment vertical="center"/>
    </xf>
    <xf numFmtId="0" fontId="49" fillId="15" borderId="26" xfId="1" applyNumberFormat="1" applyFont="1" applyFill="1" applyBorder="1" applyAlignment="1">
      <alignment vertical="center"/>
    </xf>
    <xf numFmtId="174" fontId="51" fillId="0" borderId="26" xfId="1" applyNumberFormat="1" applyFont="1" applyBorder="1" applyAlignment="1">
      <alignment vertical="center"/>
    </xf>
    <xf numFmtId="174" fontId="49" fillId="10" borderId="26" xfId="1" applyNumberFormat="1" applyFont="1" applyFill="1" applyBorder="1" applyAlignment="1">
      <alignment vertical="center"/>
    </xf>
    <xf numFmtId="37" fontId="49" fillId="10" borderId="26" xfId="1" applyNumberFormat="1" applyFont="1" applyFill="1" applyBorder="1" applyAlignment="1">
      <alignment vertical="center"/>
    </xf>
    <xf numFmtId="37" fontId="52" fillId="0" borderId="26" xfId="1" applyNumberFormat="1" applyFont="1" applyBorder="1" applyAlignment="1">
      <alignment vertical="center"/>
    </xf>
    <xf numFmtId="37" fontId="49" fillId="0" borderId="26" xfId="1" applyNumberFormat="1" applyFont="1" applyFill="1" applyBorder="1" applyAlignment="1">
      <alignment vertical="center"/>
    </xf>
    <xf numFmtId="0" fontId="79" fillId="0" borderId="0" xfId="0" applyFont="1"/>
    <xf numFmtId="37" fontId="79" fillId="17" borderId="26" xfId="0" applyNumberFormat="1" applyFont="1" applyFill="1" applyBorder="1" applyAlignment="1">
      <alignment vertical="center"/>
    </xf>
    <xf numFmtId="0" fontId="0" fillId="18" borderId="0" xfId="0" applyFill="1"/>
    <xf numFmtId="37" fontId="32" fillId="18" borderId="27" xfId="1" applyNumberFormat="1" applyFont="1" applyFill="1" applyBorder="1" applyAlignment="1">
      <alignment vertical="center"/>
    </xf>
    <xf numFmtId="0" fontId="16" fillId="18" borderId="0" xfId="0" applyFont="1" applyFill="1"/>
    <xf numFmtId="165" fontId="80" fillId="0" borderId="0" xfId="0" applyNumberFormat="1" applyFont="1"/>
    <xf numFmtId="178" fontId="0" fillId="0" borderId="0" xfId="0" applyNumberFormat="1"/>
    <xf numFmtId="39" fontId="16" fillId="18" borderId="0" xfId="0" applyNumberFormat="1" applyFont="1" applyFill="1"/>
    <xf numFmtId="178" fontId="0" fillId="0" borderId="0" xfId="0" applyNumberFormat="1" applyAlignment="1">
      <alignment vertical="center"/>
    </xf>
    <xf numFmtId="10" fontId="15" fillId="0" borderId="0" xfId="0" applyNumberFormat="1" applyFont="1"/>
    <xf numFmtId="43" fontId="0" fillId="0" borderId="0" xfId="0" applyNumberFormat="1"/>
    <xf numFmtId="43" fontId="16" fillId="18" borderId="0" xfId="1" applyFont="1" applyFill="1"/>
    <xf numFmtId="43" fontId="81" fillId="0" borderId="0" xfId="1" applyFont="1"/>
    <xf numFmtId="37" fontId="79" fillId="0" borderId="26" xfId="0" applyNumberFormat="1" applyFont="1" applyBorder="1" applyAlignment="1">
      <alignment vertical="center"/>
    </xf>
    <xf numFmtId="43" fontId="79" fillId="0" borderId="0" xfId="1" applyFont="1" applyFill="1"/>
    <xf numFmtId="0" fontId="34" fillId="0" borderId="0" xfId="0" applyFont="1"/>
    <xf numFmtId="43" fontId="81" fillId="0" borderId="0" xfId="1" applyFont="1" applyFill="1"/>
    <xf numFmtId="9" fontId="15" fillId="0" borderId="0" xfId="0" applyNumberFormat="1" applyFont="1"/>
    <xf numFmtId="43" fontId="16" fillId="0" borderId="0" xfId="1" applyFont="1" applyFill="1"/>
    <xf numFmtId="43" fontId="32" fillId="9" borderId="26" xfId="1" applyFont="1" applyFill="1" applyBorder="1" applyAlignment="1">
      <alignment vertical="center"/>
    </xf>
    <xf numFmtId="167" fontId="16" fillId="0" borderId="0" xfId="1" applyNumberFormat="1" applyFont="1" applyAlignment="1">
      <alignment horizontal="right"/>
    </xf>
    <xf numFmtId="167" fontId="0" fillId="0" borderId="0" xfId="1" applyNumberFormat="1" applyFont="1" applyAlignment="1">
      <alignment horizontal="right"/>
    </xf>
    <xf numFmtId="167" fontId="31" fillId="0" borderId="0" xfId="1" applyNumberFormat="1" applyFont="1" applyAlignment="1">
      <alignment horizontal="right"/>
    </xf>
    <xf numFmtId="167" fontId="0" fillId="0" borderId="0" xfId="0" applyNumberFormat="1" applyAlignment="1">
      <alignment horizontal="right"/>
    </xf>
    <xf numFmtId="167" fontId="16" fillId="0" borderId="0" xfId="0" applyNumberFormat="1" applyFont="1" applyAlignment="1">
      <alignment horizontal="right"/>
    </xf>
    <xf numFmtId="167" fontId="50" fillId="0" borderId="0" xfId="0" applyNumberFormat="1" applyFont="1" applyAlignment="1">
      <alignment horizontal="right"/>
    </xf>
    <xf numFmtId="167" fontId="50" fillId="0" borderId="0" xfId="1" applyNumberFormat="1" applyFont="1" applyFill="1" applyBorder="1" applyAlignment="1">
      <alignment horizontal="right" vertical="center"/>
    </xf>
    <xf numFmtId="167" fontId="50" fillId="0" borderId="0" xfId="1" applyNumberFormat="1" applyFont="1"/>
    <xf numFmtId="0" fontId="17" fillId="19" borderId="0" xfId="0" applyFont="1" applyFill="1"/>
    <xf numFmtId="0" fontId="22" fillId="19" borderId="0" xfId="0" applyFont="1" applyFill="1"/>
    <xf numFmtId="166" fontId="17" fillId="19" borderId="0" xfId="4" applyFont="1" applyFill="1" applyAlignment="1">
      <alignment horizontal="left" vertical="center" wrapText="1"/>
    </xf>
    <xf numFmtId="167" fontId="17" fillId="19" borderId="0" xfId="0" applyNumberFormat="1" applyFont="1" applyFill="1"/>
    <xf numFmtId="167" fontId="41" fillId="19" borderId="0" xfId="0" applyNumberFormat="1" applyFont="1" applyFill="1"/>
    <xf numFmtId="43" fontId="17" fillId="19" borderId="0" xfId="1" applyFont="1" applyFill="1" applyBorder="1"/>
    <xf numFmtId="43" fontId="40" fillId="19" borderId="0" xfId="1" applyFont="1" applyFill="1" applyBorder="1"/>
    <xf numFmtId="171" fontId="17" fillId="19" borderId="0" xfId="2" applyNumberFormat="1" applyFont="1" applyFill="1" applyBorder="1"/>
    <xf numFmtId="171" fontId="41" fillId="19" borderId="0" xfId="0" applyNumberFormat="1" applyFont="1" applyFill="1"/>
    <xf numFmtId="166" fontId="22" fillId="19" borderId="0" xfId="4" applyFont="1" applyFill="1" applyAlignment="1">
      <alignment horizontal="left" vertical="center" wrapText="1"/>
    </xf>
    <xf numFmtId="172" fontId="58" fillId="19" borderId="0" xfId="1" applyNumberFormat="1" applyFont="1" applyFill="1" applyBorder="1" applyAlignment="1">
      <alignment horizontal="center" vertical="center"/>
    </xf>
    <xf numFmtId="172" fontId="22" fillId="19" borderId="0" xfId="1" applyNumberFormat="1" applyFont="1" applyFill="1" applyBorder="1"/>
    <xf numFmtId="10" fontId="82" fillId="19" borderId="0" xfId="2" applyNumberFormat="1" applyFont="1" applyFill="1" applyBorder="1"/>
    <xf numFmtId="10" fontId="82" fillId="19" borderId="0" xfId="0" applyNumberFormat="1" applyFont="1" applyFill="1"/>
    <xf numFmtId="170" fontId="23" fillId="19" borderId="0" xfId="0" applyNumberFormat="1" applyFont="1" applyFill="1"/>
    <xf numFmtId="0" fontId="17" fillId="20" borderId="0" xfId="0" applyFont="1" applyFill="1"/>
    <xf numFmtId="0" fontId="22" fillId="20" borderId="0" xfId="0" applyFont="1" applyFill="1"/>
    <xf numFmtId="43" fontId="17" fillId="20" borderId="0" xfId="1" applyFont="1" applyFill="1" applyBorder="1"/>
    <xf numFmtId="10" fontId="82" fillId="20" borderId="0" xfId="2" applyNumberFormat="1" applyFont="1" applyFill="1" applyBorder="1"/>
    <xf numFmtId="0" fontId="17" fillId="0" borderId="28" xfId="0" applyFont="1" applyBorder="1"/>
    <xf numFmtId="167" fontId="23" fillId="0" borderId="28" xfId="1" applyNumberFormat="1" applyFont="1" applyFill="1" applyBorder="1" applyAlignment="1">
      <alignment horizontal="center" vertical="center"/>
    </xf>
    <xf numFmtId="0" fontId="27" fillId="0" borderId="28" xfId="0" applyFont="1" applyBorder="1" applyAlignment="1">
      <alignment horizontal="right" vertical="center"/>
    </xf>
    <xf numFmtId="167" fontId="37" fillId="0" borderId="28" xfId="1" applyNumberFormat="1" applyFont="1" applyFill="1" applyBorder="1" applyAlignment="1">
      <alignment horizontal="center" vertical="center"/>
    </xf>
    <xf numFmtId="169" fontId="25" fillId="0" borderId="28" xfId="2" applyNumberFormat="1" applyFont="1" applyFill="1" applyBorder="1" applyAlignment="1">
      <alignment horizontal="center" vertical="center"/>
    </xf>
    <xf numFmtId="0" fontId="17" fillId="0" borderId="39" xfId="0" applyFont="1" applyBorder="1"/>
    <xf numFmtId="166" fontId="22" fillId="0" borderId="40" xfId="4" applyFont="1" applyBorder="1" applyAlignment="1">
      <alignment horizontal="left" vertical="center" wrapText="1"/>
    </xf>
    <xf numFmtId="167" fontId="37" fillId="0" borderId="40" xfId="1" applyNumberFormat="1" applyFont="1" applyFill="1" applyBorder="1" applyAlignment="1">
      <alignment horizontal="center" vertical="center"/>
    </xf>
    <xf numFmtId="167" fontId="58" fillId="0" borderId="40" xfId="1" applyNumberFormat="1" applyFont="1" applyFill="1" applyBorder="1" applyAlignment="1">
      <alignment horizontal="center" vertical="center"/>
    </xf>
    <xf numFmtId="167" fontId="23" fillId="0" borderId="40" xfId="1" applyNumberFormat="1" applyFont="1" applyFill="1" applyBorder="1" applyAlignment="1">
      <alignment horizontal="center" vertical="center"/>
    </xf>
    <xf numFmtId="0" fontId="17" fillId="0" borderId="40" xfId="0" applyFont="1" applyBorder="1"/>
    <xf numFmtId="166" fontId="17" fillId="0" borderId="0" xfId="4" applyFont="1" applyAlignment="1">
      <alignment vertical="center" wrapText="1"/>
    </xf>
    <xf numFmtId="0" fontId="27" fillId="0" borderId="0" xfId="0" applyFont="1" applyAlignment="1">
      <alignment vertical="center"/>
    </xf>
    <xf numFmtId="0" fontId="22" fillId="2" borderId="0" xfId="0" applyFont="1" applyFill="1"/>
    <xf numFmtId="167" fontId="23" fillId="2" borderId="0" xfId="1" applyNumberFormat="1" applyFont="1" applyFill="1" applyBorder="1" applyAlignment="1">
      <alignment horizontal="center" vertical="center"/>
    </xf>
    <xf numFmtId="10" fontId="82" fillId="2" borderId="0" xfId="2" applyNumberFormat="1" applyFont="1" applyFill="1" applyBorder="1"/>
    <xf numFmtId="0" fontId="17" fillId="2" borderId="0" xfId="0" applyFont="1" applyFill="1"/>
    <xf numFmtId="0" fontId="22" fillId="21" borderId="0" xfId="0" applyFont="1" applyFill="1"/>
    <xf numFmtId="167" fontId="23" fillId="21" borderId="0" xfId="1" applyNumberFormat="1" applyFont="1" applyFill="1" applyBorder="1" applyAlignment="1">
      <alignment horizontal="center" vertical="center"/>
    </xf>
    <xf numFmtId="0" fontId="17" fillId="21" borderId="0" xfId="0" applyFont="1" applyFill="1"/>
    <xf numFmtId="167" fontId="22" fillId="21" borderId="0" xfId="0" applyNumberFormat="1" applyFont="1" applyFill="1"/>
    <xf numFmtId="172" fontId="17" fillId="21" borderId="0" xfId="1" applyNumberFormat="1" applyFont="1" applyFill="1" applyBorder="1"/>
    <xf numFmtId="172" fontId="22" fillId="21" borderId="0" xfId="1" applyNumberFormat="1" applyFont="1" applyFill="1" applyBorder="1"/>
    <xf numFmtId="179" fontId="17" fillId="21" borderId="0" xfId="1" applyNumberFormat="1" applyFont="1" applyFill="1" applyBorder="1"/>
    <xf numFmtId="179" fontId="22" fillId="21" borderId="0" xfId="1" applyNumberFormat="1" applyFont="1" applyFill="1" applyBorder="1"/>
    <xf numFmtId="179" fontId="17" fillId="21" borderId="0" xfId="0" applyNumberFormat="1" applyFont="1" applyFill="1"/>
    <xf numFmtId="171" fontId="17" fillId="21" borderId="0" xfId="2" applyNumberFormat="1" applyFont="1" applyFill="1" applyBorder="1"/>
    <xf numFmtId="171" fontId="41" fillId="21" borderId="0" xfId="0" applyNumberFormat="1" applyFont="1" applyFill="1"/>
    <xf numFmtId="172" fontId="17" fillId="21" borderId="0" xfId="0" applyNumberFormat="1" applyFont="1" applyFill="1"/>
    <xf numFmtId="179" fontId="17" fillId="2" borderId="0" xfId="0" applyNumberFormat="1" applyFont="1" applyFill="1"/>
    <xf numFmtId="172" fontId="17" fillId="2" borderId="0" xfId="0" applyNumberFormat="1" applyFont="1" applyFill="1"/>
    <xf numFmtId="171" fontId="17" fillId="2" borderId="0" xfId="2" applyNumberFormat="1" applyFont="1" applyFill="1" applyBorder="1"/>
    <xf numFmtId="171" fontId="41" fillId="2" borderId="0" xfId="0" applyNumberFormat="1" applyFont="1" applyFill="1"/>
    <xf numFmtId="179" fontId="40" fillId="21" borderId="0" xfId="1" applyNumberFormat="1" applyFont="1" applyFill="1" applyBorder="1"/>
    <xf numFmtId="43" fontId="22" fillId="2" borderId="0" xfId="1" applyFont="1" applyFill="1" applyBorder="1"/>
    <xf numFmtId="179" fontId="22" fillId="2" borderId="0" xfId="1" applyNumberFormat="1" applyFont="1" applyFill="1" applyBorder="1"/>
    <xf numFmtId="179" fontId="40" fillId="2" borderId="0" xfId="1" applyNumberFormat="1" applyFont="1" applyFill="1" applyBorder="1"/>
    <xf numFmtId="172" fontId="58" fillId="21" borderId="0" xfId="1" applyNumberFormat="1" applyFont="1" applyFill="1" applyBorder="1"/>
    <xf numFmtId="43" fontId="84" fillId="2" borderId="0" xfId="1" applyFont="1" applyFill="1" applyBorder="1"/>
    <xf numFmtId="43" fontId="58" fillId="2" borderId="0" xfId="1" applyFont="1" applyFill="1" applyBorder="1"/>
    <xf numFmtId="0" fontId="22" fillId="2" borderId="38" xfId="0" applyFont="1" applyFill="1" applyBorder="1"/>
    <xf numFmtId="0" fontId="22" fillId="21" borderId="38" xfId="0" applyFont="1" applyFill="1" applyBorder="1"/>
    <xf numFmtId="172" fontId="41" fillId="19" borderId="0" xfId="1" applyNumberFormat="1" applyFont="1" applyFill="1" applyBorder="1"/>
    <xf numFmtId="172" fontId="40" fillId="19" borderId="0" xfId="1" applyNumberFormat="1" applyFont="1" applyFill="1" applyBorder="1" applyAlignment="1">
      <alignment horizontal="center" vertical="center"/>
    </xf>
    <xf numFmtId="39" fontId="0" fillId="0" borderId="0" xfId="1" applyNumberFormat="1" applyFont="1"/>
    <xf numFmtId="0" fontId="22" fillId="0" borderId="0" xfId="0" applyFont="1" applyAlignment="1">
      <alignment horizontal="left" vertical="center"/>
    </xf>
    <xf numFmtId="0" fontId="23" fillId="0" borderId="0" xfId="0" applyFont="1" applyAlignment="1">
      <alignment vertical="center"/>
    </xf>
    <xf numFmtId="167" fontId="58" fillId="0" borderId="0" xfId="1" applyNumberFormat="1" applyFont="1" applyBorder="1" applyAlignment="1">
      <alignment horizontal="center"/>
    </xf>
    <xf numFmtId="0" fontId="17" fillId="0" borderId="24" xfId="0" applyFont="1" applyBorder="1"/>
    <xf numFmtId="10" fontId="30" fillId="0" borderId="25" xfId="0" applyNumberFormat="1" applyFont="1" applyBorder="1" applyAlignment="1">
      <alignment horizontal="left"/>
    </xf>
    <xf numFmtId="0" fontId="17" fillId="0" borderId="25" xfId="0" applyFont="1" applyBorder="1"/>
    <xf numFmtId="0" fontId="27" fillId="19" borderId="0" xfId="0" applyFont="1" applyFill="1"/>
    <xf numFmtId="43" fontId="27" fillId="19" borderId="0" xfId="1" applyFont="1" applyFill="1" applyBorder="1"/>
    <xf numFmtId="166" fontId="27" fillId="19" borderId="0" xfId="4" applyFont="1" applyFill="1" applyAlignment="1">
      <alignment horizontal="right" vertical="center" wrapText="1"/>
    </xf>
    <xf numFmtId="167" fontId="40" fillId="19" borderId="0" xfId="0" applyNumberFormat="1" applyFont="1" applyFill="1"/>
    <xf numFmtId="172" fontId="17" fillId="19" borderId="0" xfId="1" applyNumberFormat="1" applyFont="1" applyFill="1" applyBorder="1"/>
    <xf numFmtId="9" fontId="22" fillId="2" borderId="0" xfId="2" applyFont="1" applyFill="1" applyBorder="1"/>
    <xf numFmtId="171" fontId="35" fillId="2" borderId="0" xfId="0" applyNumberFormat="1" applyFont="1" applyFill="1"/>
    <xf numFmtId="171" fontId="22" fillId="2" borderId="0" xfId="2" applyNumberFormat="1" applyFont="1" applyFill="1" applyBorder="1"/>
    <xf numFmtId="0" fontId="17" fillId="2" borderId="41" xfId="0" applyFont="1" applyFill="1" applyBorder="1"/>
    <xf numFmtId="0" fontId="17" fillId="2" borderId="26" xfId="0" applyFont="1" applyFill="1" applyBorder="1"/>
    <xf numFmtId="0" fontId="17" fillId="2" borderId="31" xfId="0" applyFont="1" applyFill="1" applyBorder="1"/>
    <xf numFmtId="43" fontId="17" fillId="2" borderId="0" xfId="1" applyFont="1" applyFill="1" applyBorder="1"/>
    <xf numFmtId="0" fontId="17" fillId="11" borderId="0" xfId="0" applyFont="1" applyFill="1"/>
    <xf numFmtId="9" fontId="17" fillId="11" borderId="0" xfId="0" applyNumberFormat="1" applyFont="1" applyFill="1"/>
    <xf numFmtId="171" fontId="17" fillId="11" borderId="0" xfId="2" applyNumberFormat="1" applyFont="1" applyFill="1" applyBorder="1"/>
    <xf numFmtId="171" fontId="41" fillId="11" borderId="0" xfId="0" applyNumberFormat="1" applyFont="1" applyFill="1"/>
    <xf numFmtId="171" fontId="28" fillId="2" borderId="0" xfId="2" applyNumberFormat="1" applyFont="1" applyFill="1" applyBorder="1"/>
    <xf numFmtId="180" fontId="17" fillId="21" borderId="0" xfId="0" applyNumberFormat="1" applyFont="1" applyFill="1"/>
    <xf numFmtId="180" fontId="41" fillId="21" borderId="0" xfId="0" applyNumberFormat="1" applyFont="1" applyFill="1"/>
    <xf numFmtId="180" fontId="86" fillId="19" borderId="0" xfId="0" applyNumberFormat="1" applyFont="1" applyFill="1"/>
    <xf numFmtId="179" fontId="27" fillId="19" borderId="0" xfId="1" applyNumberFormat="1" applyFont="1" applyFill="1" applyBorder="1"/>
    <xf numFmtId="0" fontId="85" fillId="22" borderId="0" xfId="0" applyFont="1" applyFill="1" applyAlignment="1">
      <alignment horizontal="center"/>
    </xf>
    <xf numFmtId="17" fontId="85" fillId="22" borderId="0" xfId="0" applyNumberFormat="1" applyFont="1" applyFill="1" applyAlignment="1">
      <alignment horizontal="center"/>
    </xf>
    <xf numFmtId="3" fontId="16" fillId="0" borderId="0" xfId="0" applyNumberFormat="1" applyFont="1" applyAlignment="1">
      <alignment horizontal="center"/>
    </xf>
    <xf numFmtId="3" fontId="0" fillId="0" borderId="0" xfId="0" applyNumberFormat="1" applyAlignment="1">
      <alignment horizontal="center" vertical="center"/>
    </xf>
    <xf numFmtId="0" fontId="0" fillId="0" borderId="0" xfId="0" applyAlignment="1">
      <alignment horizontal="center" vertical="center"/>
    </xf>
    <xf numFmtId="17" fontId="0" fillId="0" borderId="0" xfId="0" applyNumberFormat="1" applyAlignment="1">
      <alignment vertical="center"/>
    </xf>
    <xf numFmtId="0" fontId="16" fillId="0" borderId="0" xfId="0" applyFont="1" applyAlignment="1">
      <alignment vertical="center"/>
    </xf>
    <xf numFmtId="3" fontId="16" fillId="0" borderId="0" xfId="0" applyNumberFormat="1" applyFont="1" applyAlignment="1">
      <alignment horizontal="center" vertical="center"/>
    </xf>
    <xf numFmtId="0" fontId="0" fillId="23" borderId="0" xfId="0" applyFill="1" applyAlignment="1">
      <alignment vertical="center"/>
    </xf>
    <xf numFmtId="3" fontId="0" fillId="23" borderId="0" xfId="0" applyNumberFormat="1" applyFill="1" applyAlignment="1">
      <alignment horizontal="center" vertical="center"/>
    </xf>
    <xf numFmtId="0" fontId="0" fillId="23" borderId="0" xfId="0" applyFill="1" applyAlignment="1">
      <alignment horizontal="center" vertical="center"/>
    </xf>
    <xf numFmtId="17" fontId="0" fillId="23" borderId="0" xfId="0" applyNumberFormat="1" applyFill="1" applyAlignment="1">
      <alignment vertical="center"/>
    </xf>
    <xf numFmtId="0" fontId="0" fillId="23" borderId="0" xfId="0" applyFill="1" applyAlignment="1">
      <alignment vertical="center" wrapText="1"/>
    </xf>
    <xf numFmtId="10" fontId="15" fillId="0" borderId="0" xfId="2" applyNumberFormat="1" applyFont="1"/>
    <xf numFmtId="37" fontId="16" fillId="0" borderId="23" xfId="1" applyNumberFormat="1" applyFont="1" applyBorder="1" applyAlignment="1">
      <alignment vertical="center"/>
    </xf>
    <xf numFmtId="0" fontId="0" fillId="23" borderId="26" xfId="0" applyFill="1" applyBorder="1" applyAlignment="1">
      <alignment vertical="center"/>
    </xf>
    <xf numFmtId="180" fontId="0" fillId="0" borderId="0" xfId="1" applyNumberFormat="1" applyFont="1"/>
    <xf numFmtId="180" fontId="15" fillId="0" borderId="0" xfId="1" applyNumberFormat="1" applyFont="1"/>
    <xf numFmtId="180" fontId="31" fillId="0" borderId="0" xfId="1" applyNumberFormat="1" applyFont="1"/>
    <xf numFmtId="171" fontId="41" fillId="0" borderId="0" xfId="2" applyNumberFormat="1" applyFont="1"/>
    <xf numFmtId="171" fontId="41" fillId="0" borderId="0" xfId="0" applyNumberFormat="1" applyFont="1"/>
    <xf numFmtId="9" fontId="22" fillId="19" borderId="0" xfId="0" applyNumberFormat="1" applyFont="1" applyFill="1"/>
    <xf numFmtId="39" fontId="88" fillId="0" borderId="0" xfId="0" applyNumberFormat="1" applyFont="1"/>
    <xf numFmtId="39" fontId="89" fillId="0" borderId="0" xfId="0" applyNumberFormat="1" applyFont="1"/>
    <xf numFmtId="171" fontId="90" fillId="0" borderId="0" xfId="12" applyNumberFormat="1" applyFont="1"/>
    <xf numFmtId="39" fontId="91" fillId="0" borderId="0" xfId="0" applyNumberFormat="1" applyFont="1" applyAlignment="1">
      <alignment horizontal="right"/>
    </xf>
    <xf numFmtId="37" fontId="88" fillId="0" borderId="0" xfId="0" applyNumberFormat="1" applyFont="1"/>
    <xf numFmtId="37" fontId="89" fillId="0" borderId="0" xfId="0" applyNumberFormat="1" applyFont="1"/>
    <xf numFmtId="39" fontId="92" fillId="0" borderId="0" xfId="0" applyNumberFormat="1" applyFont="1"/>
    <xf numFmtId="39" fontId="87" fillId="0" borderId="0" xfId="0" applyNumberFormat="1" applyFont="1"/>
    <xf numFmtId="181" fontId="88" fillId="24" borderId="0" xfId="0" applyNumberFormat="1" applyFont="1" applyFill="1"/>
    <xf numFmtId="39" fontId="87" fillId="0" borderId="0" xfId="19" applyNumberFormat="1" applyFont="1" applyAlignment="1">
      <alignment horizontal="right"/>
    </xf>
    <xf numFmtId="181" fontId="89" fillId="24" borderId="0" xfId="0" applyNumberFormat="1" applyFont="1" applyFill="1"/>
    <xf numFmtId="39" fontId="91" fillId="24" borderId="0" xfId="0" applyNumberFormat="1" applyFont="1" applyFill="1" applyAlignment="1">
      <alignment wrapText="1"/>
    </xf>
    <xf numFmtId="0" fontId="88" fillId="0" borderId="0" xfId="19" applyFont="1"/>
    <xf numFmtId="182" fontId="88" fillId="24" borderId="0" xfId="0" applyNumberFormat="1" applyFont="1" applyFill="1"/>
    <xf numFmtId="182" fontId="89" fillId="24" borderId="0" xfId="0" applyNumberFormat="1" applyFont="1" applyFill="1"/>
    <xf numFmtId="165" fontId="93" fillId="24" borderId="0" xfId="13" applyFont="1" applyFill="1"/>
    <xf numFmtId="0" fontId="93" fillId="0" borderId="0" xfId="19" applyFont="1"/>
    <xf numFmtId="9" fontId="63" fillId="9" borderId="0" xfId="2" applyFont="1" applyFill="1" applyBorder="1"/>
    <xf numFmtId="176" fontId="63" fillId="3" borderId="0" xfId="13" applyNumberFormat="1" applyFont="1" applyFill="1" applyBorder="1"/>
    <xf numFmtId="176" fontId="63" fillId="9" borderId="0" xfId="1" applyNumberFormat="1" applyFont="1" applyFill="1" applyBorder="1"/>
    <xf numFmtId="176" fontId="64" fillId="3" borderId="0" xfId="13" applyNumberFormat="1" applyFont="1" applyFill="1" applyBorder="1"/>
    <xf numFmtId="171" fontId="22" fillId="19" borderId="0" xfId="2" applyNumberFormat="1" applyFont="1" applyFill="1" applyBorder="1"/>
    <xf numFmtId="9" fontId="41" fillId="19" borderId="0" xfId="2" applyFont="1" applyFill="1" applyBorder="1"/>
    <xf numFmtId="167" fontId="40" fillId="19" borderId="0" xfId="1" applyNumberFormat="1" applyFont="1" applyFill="1" applyBorder="1" applyAlignment="1">
      <alignment horizontal="right" vertical="center"/>
    </xf>
    <xf numFmtId="43" fontId="94" fillId="19" borderId="0" xfId="1" applyFont="1" applyFill="1" applyBorder="1"/>
    <xf numFmtId="43" fontId="38" fillId="19" borderId="0" xfId="1" applyFont="1" applyFill="1" applyBorder="1"/>
    <xf numFmtId="10" fontId="38" fillId="19" borderId="0" xfId="2" applyNumberFormat="1" applyFont="1" applyFill="1" applyBorder="1"/>
    <xf numFmtId="10" fontId="39" fillId="19" borderId="0" xfId="0" applyNumberFormat="1" applyFont="1" applyFill="1"/>
    <xf numFmtId="10" fontId="39" fillId="19" borderId="0" xfId="2" applyNumberFormat="1" applyFont="1" applyFill="1" applyBorder="1"/>
    <xf numFmtId="43" fontId="82" fillId="19" borderId="0" xfId="2" applyNumberFormat="1" applyFont="1" applyFill="1" applyBorder="1"/>
    <xf numFmtId="0" fontId="95" fillId="19" borderId="0" xfId="0" applyFont="1" applyFill="1"/>
    <xf numFmtId="10" fontId="96" fillId="19" borderId="0" xfId="2" applyNumberFormat="1" applyFont="1" applyFill="1" applyBorder="1"/>
    <xf numFmtId="43" fontId="84" fillId="19" borderId="0" xfId="1" applyFont="1" applyFill="1" applyBorder="1"/>
    <xf numFmtId="171" fontId="38" fillId="19" borderId="0" xfId="2" applyNumberFormat="1" applyFont="1" applyFill="1" applyBorder="1"/>
    <xf numFmtId="10" fontId="21" fillId="19" borderId="0" xfId="2" applyNumberFormat="1" applyFont="1" applyFill="1" applyBorder="1"/>
    <xf numFmtId="43" fontId="23" fillId="19" borderId="0" xfId="1" applyFont="1" applyFill="1" applyBorder="1"/>
    <xf numFmtId="43" fontId="22" fillId="19" borderId="0" xfId="1" applyFont="1" applyFill="1" applyBorder="1"/>
    <xf numFmtId="10" fontId="41" fillId="19" borderId="0" xfId="2" applyNumberFormat="1" applyFont="1" applyFill="1" applyBorder="1"/>
    <xf numFmtId="43" fontId="94" fillId="20" borderId="0" xfId="1" applyFont="1" applyFill="1" applyBorder="1"/>
    <xf numFmtId="43" fontId="82" fillId="20" borderId="0" xfId="2" applyNumberFormat="1" applyFont="1" applyFill="1" applyBorder="1"/>
    <xf numFmtId="171" fontId="39" fillId="20" borderId="0" xfId="2" applyNumberFormat="1" applyFont="1" applyFill="1" applyBorder="1"/>
    <xf numFmtId="171" fontId="38" fillId="20" borderId="0" xfId="2" applyNumberFormat="1" applyFont="1" applyFill="1" applyBorder="1"/>
    <xf numFmtId="43" fontId="84" fillId="20" borderId="0" xfId="1" applyFont="1" applyFill="1" applyBorder="1"/>
    <xf numFmtId="0" fontId="95" fillId="20" borderId="0" xfId="0" applyFont="1" applyFill="1"/>
    <xf numFmtId="171" fontId="96" fillId="20" borderId="0" xfId="2" applyNumberFormat="1" applyFont="1" applyFill="1" applyBorder="1"/>
    <xf numFmtId="0" fontId="22" fillId="19" borderId="24" xfId="0" applyFont="1" applyFill="1" applyBorder="1"/>
    <xf numFmtId="0" fontId="22" fillId="19" borderId="25" xfId="0" applyFont="1" applyFill="1" applyBorder="1"/>
    <xf numFmtId="43" fontId="94" fillId="19" borderId="25" xfId="1" applyFont="1" applyFill="1" applyBorder="1"/>
    <xf numFmtId="10" fontId="38" fillId="20" borderId="0" xfId="2" applyNumberFormat="1" applyFont="1" applyFill="1" applyBorder="1"/>
    <xf numFmtId="0" fontId="22" fillId="20" borderId="24" xfId="0" applyFont="1" applyFill="1" applyBorder="1"/>
    <xf numFmtId="0" fontId="22" fillId="20" borderId="25" xfId="0" applyFont="1" applyFill="1" applyBorder="1"/>
    <xf numFmtId="43" fontId="94" fillId="20" borderId="25" xfId="1" applyFont="1" applyFill="1" applyBorder="1"/>
    <xf numFmtId="43" fontId="40" fillId="2" borderId="0" xfId="1" applyFont="1" applyFill="1" applyBorder="1"/>
    <xf numFmtId="0" fontId="22" fillId="2" borderId="29" xfId="0" applyFont="1" applyFill="1" applyBorder="1"/>
    <xf numFmtId="0" fontId="17" fillId="2" borderId="29" xfId="0" applyFont="1" applyFill="1" applyBorder="1"/>
    <xf numFmtId="171" fontId="17" fillId="2" borderId="29" xfId="2" applyNumberFormat="1" applyFont="1" applyFill="1" applyBorder="1"/>
    <xf numFmtId="10" fontId="39" fillId="2" borderId="0" xfId="2" applyNumberFormat="1" applyFont="1" applyFill="1" applyBorder="1"/>
    <xf numFmtId="171" fontId="29" fillId="2" borderId="0" xfId="2" applyNumberFormat="1" applyFont="1" applyFill="1" applyBorder="1"/>
    <xf numFmtId="172" fontId="22" fillId="2" borderId="0" xfId="1" applyNumberFormat="1" applyFont="1" applyFill="1" applyBorder="1"/>
    <xf numFmtId="0" fontId="95" fillId="2" borderId="0" xfId="0" applyFont="1" applyFill="1"/>
    <xf numFmtId="171" fontId="96" fillId="2" borderId="0" xfId="2" applyNumberFormat="1" applyFont="1" applyFill="1" applyBorder="1"/>
    <xf numFmtId="172" fontId="58" fillId="2" borderId="0" xfId="1" applyNumberFormat="1" applyFont="1" applyFill="1" applyBorder="1"/>
    <xf numFmtId="167" fontId="17" fillId="2" borderId="0" xfId="0" applyNumberFormat="1" applyFont="1" applyFill="1"/>
    <xf numFmtId="167" fontId="40" fillId="2" borderId="0" xfId="0" applyNumberFormat="1" applyFont="1" applyFill="1"/>
    <xf numFmtId="0" fontId="22" fillId="2" borderId="24" xfId="0" applyFont="1" applyFill="1" applyBorder="1"/>
    <xf numFmtId="0" fontId="22" fillId="2" borderId="25" xfId="0" applyFont="1" applyFill="1" applyBorder="1"/>
    <xf numFmtId="43" fontId="22" fillId="2" borderId="25" xfId="1" applyFont="1" applyFill="1" applyBorder="1"/>
    <xf numFmtId="43" fontId="84" fillId="2" borderId="25" xfId="1" applyFont="1" applyFill="1" applyBorder="1"/>
    <xf numFmtId="171" fontId="38" fillId="2" borderId="0" xfId="2" applyNumberFormat="1" applyFont="1" applyFill="1" applyBorder="1"/>
    <xf numFmtId="43" fontId="97" fillId="2" borderId="0" xfId="1" applyFont="1" applyFill="1" applyBorder="1"/>
    <xf numFmtId="171" fontId="39" fillId="2" borderId="0" xfId="2" applyNumberFormat="1" applyFont="1" applyFill="1" applyBorder="1"/>
    <xf numFmtId="171" fontId="94" fillId="2" borderId="0" xfId="2" applyNumberFormat="1" applyFont="1" applyFill="1" applyBorder="1"/>
    <xf numFmtId="43" fontId="97" fillId="2" borderId="25" xfId="1" applyFont="1" applyFill="1" applyBorder="1"/>
    <xf numFmtId="43" fontId="22" fillId="2" borderId="25" xfId="0" applyNumberFormat="1" applyFont="1" applyFill="1" applyBorder="1"/>
    <xf numFmtId="165" fontId="17" fillId="21" borderId="0" xfId="0" applyNumberFormat="1" applyFont="1" applyFill="1"/>
    <xf numFmtId="165" fontId="40" fillId="21" borderId="0" xfId="0" applyNumberFormat="1" applyFont="1" applyFill="1"/>
    <xf numFmtId="165" fontId="22" fillId="21" borderId="0" xfId="0" applyNumberFormat="1" applyFont="1" applyFill="1"/>
    <xf numFmtId="9" fontId="17" fillId="21" borderId="0" xfId="2" applyFont="1" applyFill="1" applyBorder="1"/>
    <xf numFmtId="10" fontId="17" fillId="21" borderId="0" xfId="2" applyNumberFormat="1" applyFont="1" applyFill="1" applyBorder="1"/>
    <xf numFmtId="43" fontId="22" fillId="21" borderId="0" xfId="1" applyFont="1" applyFill="1" applyBorder="1"/>
    <xf numFmtId="171" fontId="95" fillId="21" borderId="0" xfId="2" applyNumberFormat="1" applyFont="1" applyFill="1" applyBorder="1"/>
    <xf numFmtId="43" fontId="17" fillId="21" borderId="0" xfId="0" applyNumberFormat="1" applyFont="1" applyFill="1"/>
    <xf numFmtId="172" fontId="22" fillId="21" borderId="24" xfId="1" applyNumberFormat="1" applyFont="1" applyFill="1" applyBorder="1"/>
    <xf numFmtId="172" fontId="22" fillId="21" borderId="25" xfId="1" applyNumberFormat="1" applyFont="1" applyFill="1" applyBorder="1"/>
    <xf numFmtId="172" fontId="58" fillId="21" borderId="25" xfId="1" applyNumberFormat="1" applyFont="1" applyFill="1" applyBorder="1"/>
    <xf numFmtId="0" fontId="21" fillId="21" borderId="0" xfId="0" applyFont="1" applyFill="1"/>
    <xf numFmtId="171" fontId="21" fillId="21" borderId="0" xfId="2" applyNumberFormat="1" applyFont="1" applyFill="1" applyBorder="1"/>
    <xf numFmtId="171" fontId="23" fillId="21" borderId="0" xfId="2" applyNumberFormat="1" applyFont="1" applyFill="1" applyBorder="1"/>
    <xf numFmtId="10" fontId="41" fillId="21" borderId="0" xfId="2" applyNumberFormat="1" applyFont="1" applyFill="1" applyBorder="1"/>
    <xf numFmtId="171" fontId="41" fillId="21" borderId="0" xfId="2" applyNumberFormat="1" applyFont="1" applyFill="1" applyBorder="1"/>
    <xf numFmtId="0" fontId="22" fillId="21" borderId="24" xfId="0" applyFont="1" applyFill="1" applyBorder="1"/>
    <xf numFmtId="0" fontId="22" fillId="21" borderId="25" xfId="0" applyFont="1" applyFill="1" applyBorder="1"/>
    <xf numFmtId="165" fontId="22" fillId="21" borderId="25" xfId="0" applyNumberFormat="1" applyFont="1" applyFill="1" applyBorder="1"/>
    <xf numFmtId="0" fontId="95" fillId="21" borderId="0" xfId="0" applyFont="1" applyFill="1"/>
    <xf numFmtId="43" fontId="22" fillId="20" borderId="0" xfId="1" applyFont="1" applyFill="1" applyBorder="1"/>
    <xf numFmtId="9" fontId="17" fillId="19" borderId="0" xfId="2" applyFont="1" applyFill="1" applyBorder="1"/>
    <xf numFmtId="0" fontId="17" fillId="25" borderId="0" xfId="0" applyFont="1" applyFill="1"/>
    <xf numFmtId="0" fontId="22" fillId="25" borderId="0" xfId="0" applyFont="1" applyFill="1"/>
    <xf numFmtId="0" fontId="17" fillId="25" borderId="24" xfId="0" applyFont="1" applyFill="1" applyBorder="1"/>
    <xf numFmtId="0" fontId="22" fillId="25" borderId="25" xfId="0" applyFont="1" applyFill="1" applyBorder="1"/>
    <xf numFmtId="0" fontId="17" fillId="25" borderId="25" xfId="0" applyFont="1" applyFill="1" applyBorder="1"/>
    <xf numFmtId="43" fontId="17" fillId="25" borderId="25" xfId="0" applyNumberFormat="1" applyFont="1" applyFill="1" applyBorder="1"/>
    <xf numFmtId="165" fontId="17" fillId="25" borderId="0" xfId="0" applyNumberFormat="1" applyFont="1" applyFill="1"/>
    <xf numFmtId="43" fontId="17" fillId="25" borderId="0" xfId="1" applyFont="1" applyFill="1" applyBorder="1"/>
    <xf numFmtId="43" fontId="41" fillId="25" borderId="0" xfId="1" applyFont="1" applyFill="1" applyBorder="1"/>
    <xf numFmtId="165" fontId="41" fillId="11" borderId="0" xfId="0" applyNumberFormat="1" applyFont="1" applyFill="1"/>
    <xf numFmtId="171" fontId="17" fillId="25" borderId="0" xfId="2" applyNumberFormat="1" applyFont="1" applyFill="1" applyBorder="1"/>
    <xf numFmtId="171" fontId="41" fillId="25" borderId="0" xfId="0" applyNumberFormat="1" applyFont="1" applyFill="1"/>
    <xf numFmtId="165" fontId="40" fillId="25" borderId="0" xfId="0" applyNumberFormat="1" applyFont="1" applyFill="1"/>
    <xf numFmtId="0" fontId="98" fillId="0" borderId="0" xfId="0" applyFont="1" applyAlignment="1">
      <alignment horizontal="left" vertical="center"/>
    </xf>
    <xf numFmtId="0" fontId="98" fillId="0" borderId="0" xfId="0" applyFont="1" applyAlignment="1">
      <alignment horizontal="right" vertical="center"/>
    </xf>
    <xf numFmtId="0" fontId="99" fillId="0" borderId="0" xfId="0" applyFont="1" applyAlignment="1">
      <alignment horizontal="left" vertical="center"/>
    </xf>
    <xf numFmtId="183" fontId="99" fillId="0" borderId="0" xfId="0" applyNumberFormat="1" applyFont="1" applyAlignment="1">
      <alignment horizontal="right" vertical="center"/>
    </xf>
    <xf numFmtId="0" fontId="100" fillId="0" borderId="0" xfId="0" applyFont="1" applyAlignment="1">
      <alignment horizontal="left" vertical="center"/>
    </xf>
    <xf numFmtId="183" fontId="100" fillId="0" borderId="0" xfId="0" applyNumberFormat="1" applyFont="1" applyAlignment="1">
      <alignment horizontal="right" vertical="center"/>
    </xf>
    <xf numFmtId="0" fontId="100" fillId="0" borderId="0" xfId="0" applyFont="1" applyAlignment="1">
      <alignment horizontal="left" vertical="center" indent="4"/>
    </xf>
    <xf numFmtId="0" fontId="99" fillId="0" borderId="0" xfId="0" applyFont="1" applyAlignment="1">
      <alignment vertical="center"/>
    </xf>
    <xf numFmtId="0" fontId="99" fillId="0" borderId="0" xfId="0" applyFont="1" applyAlignment="1">
      <alignment horizontal="left" vertical="center" indent="2"/>
    </xf>
    <xf numFmtId="183" fontId="98" fillId="0" borderId="0" xfId="0" applyNumberFormat="1" applyFont="1" applyAlignment="1">
      <alignment horizontal="right" vertical="center"/>
    </xf>
    <xf numFmtId="0" fontId="101" fillId="0" borderId="0" xfId="0" applyFont="1" applyAlignment="1">
      <alignment horizontal="left" vertical="center"/>
    </xf>
    <xf numFmtId="0" fontId="102" fillId="0" borderId="0" xfId="0" applyFont="1"/>
    <xf numFmtId="167" fontId="102" fillId="0" borderId="0" xfId="0" applyNumberFormat="1" applyFont="1"/>
    <xf numFmtId="165" fontId="22" fillId="25" borderId="0" xfId="0" applyNumberFormat="1" applyFont="1" applyFill="1"/>
    <xf numFmtId="165" fontId="58" fillId="25" borderId="0" xfId="0" applyNumberFormat="1" applyFont="1" applyFill="1"/>
    <xf numFmtId="43" fontId="22" fillId="25" borderId="0" xfId="0" applyNumberFormat="1" applyFont="1" applyFill="1"/>
    <xf numFmtId="43" fontId="58" fillId="25" borderId="0" xfId="0" applyNumberFormat="1" applyFont="1" applyFill="1"/>
    <xf numFmtId="167" fontId="17" fillId="25" borderId="0" xfId="0" applyNumberFormat="1" applyFont="1" applyFill="1"/>
    <xf numFmtId="43" fontId="22" fillId="25" borderId="0" xfId="1" applyFont="1" applyFill="1" applyBorder="1"/>
    <xf numFmtId="0" fontId="41" fillId="25" borderId="0" xfId="0" applyFont="1" applyFill="1"/>
    <xf numFmtId="171" fontId="38" fillId="21" borderId="0" xfId="2" applyNumberFormat="1" applyFont="1" applyFill="1" applyBorder="1"/>
    <xf numFmtId="165" fontId="35" fillId="25" borderId="0" xfId="0" applyNumberFormat="1" applyFont="1" applyFill="1"/>
    <xf numFmtId="37" fontId="103" fillId="0" borderId="0" xfId="13" applyNumberFormat="1" applyFont="1" applyAlignment="1">
      <alignment vertical="center"/>
    </xf>
    <xf numFmtId="174" fontId="103" fillId="0" borderId="0" xfId="13" applyNumberFormat="1" applyFont="1" applyAlignment="1">
      <alignment vertical="center"/>
    </xf>
    <xf numFmtId="43" fontId="25" fillId="0" borderId="0" xfId="1" applyFont="1" applyFill="1" applyBorder="1" applyAlignment="1">
      <alignment horizontal="center" vertical="center"/>
    </xf>
    <xf numFmtId="9" fontId="41" fillId="25" borderId="0" xfId="0" applyNumberFormat="1" applyFont="1" applyFill="1"/>
    <xf numFmtId="167" fontId="36" fillId="0" borderId="0" xfId="1" applyNumberFormat="1" applyFont="1" applyAlignment="1">
      <alignment horizontal="center" vertical="center"/>
    </xf>
    <xf numFmtId="171" fontId="21" fillId="0" borderId="0" xfId="2" applyNumberFormat="1" applyFont="1" applyAlignment="1">
      <alignment horizontal="center" vertical="center"/>
    </xf>
    <xf numFmtId="167" fontId="37" fillId="0" borderId="0" xfId="1" applyNumberFormat="1" applyFont="1" applyAlignment="1">
      <alignment horizontal="center" vertical="center"/>
    </xf>
    <xf numFmtId="167" fontId="22" fillId="20" borderId="0" xfId="0" applyNumberFormat="1" applyFont="1" applyFill="1"/>
    <xf numFmtId="167" fontId="37" fillId="0" borderId="0" xfId="1" applyNumberFormat="1" applyFont="1" applyBorder="1" applyAlignment="1">
      <alignment horizontal="center"/>
    </xf>
    <xf numFmtId="171" fontId="82" fillId="19" borderId="0" xfId="2" applyNumberFormat="1" applyFont="1" applyFill="1" applyBorder="1"/>
    <xf numFmtId="0" fontId="104" fillId="0" borderId="0" xfId="0" applyFont="1"/>
    <xf numFmtId="174" fontId="104" fillId="0" borderId="26" xfId="1" applyNumberFormat="1" applyFont="1" applyBorder="1" applyAlignment="1">
      <alignment vertical="center"/>
    </xf>
    <xf numFmtId="167" fontId="104" fillId="9" borderId="0" xfId="1" applyNumberFormat="1" applyFont="1" applyFill="1" applyAlignment="1">
      <alignment horizontal="right" vertical="center"/>
    </xf>
    <xf numFmtId="167" fontId="104" fillId="0" borderId="0" xfId="0" applyNumberFormat="1" applyFont="1"/>
    <xf numFmtId="167" fontId="16" fillId="0" borderId="0" xfId="1" applyNumberFormat="1" applyFont="1" applyAlignment="1">
      <alignment horizontal="right" vertical="center"/>
    </xf>
    <xf numFmtId="174" fontId="16" fillId="9" borderId="26" xfId="1" applyNumberFormat="1" applyFont="1" applyFill="1" applyBorder="1" applyAlignment="1">
      <alignment vertical="center"/>
    </xf>
    <xf numFmtId="167" fontId="32" fillId="9" borderId="0" xfId="1" applyNumberFormat="1" applyFont="1" applyFill="1" applyAlignment="1">
      <alignment horizontal="right" vertical="center"/>
    </xf>
    <xf numFmtId="167" fontId="105" fillId="9" borderId="0" xfId="1" applyNumberFormat="1" applyFont="1" applyFill="1" applyAlignment="1">
      <alignment horizontal="right" vertical="center"/>
    </xf>
    <xf numFmtId="0" fontId="106" fillId="0" borderId="0" xfId="0" applyFont="1"/>
    <xf numFmtId="0" fontId="23" fillId="0" borderId="0" xfId="0" applyFont="1" applyAlignment="1">
      <alignment horizontal="left" vertical="center"/>
    </xf>
    <xf numFmtId="183" fontId="37" fillId="0" borderId="0" xfId="0" applyNumberFormat="1" applyFont="1" applyAlignment="1">
      <alignment horizontal="right" vertical="center"/>
    </xf>
    <xf numFmtId="183" fontId="23" fillId="0" borderId="0" xfId="0" applyNumberFormat="1" applyFont="1" applyAlignment="1">
      <alignment horizontal="right" vertical="center"/>
    </xf>
    <xf numFmtId="0" fontId="21" fillId="0" borderId="0" xfId="0" applyFont="1" applyAlignment="1">
      <alignment horizontal="left" vertical="center"/>
    </xf>
    <xf numFmtId="183" fontId="36" fillId="0" borderId="0" xfId="0" applyNumberFormat="1" applyFont="1" applyAlignment="1">
      <alignment horizontal="right" vertical="center"/>
    </xf>
    <xf numFmtId="183" fontId="21" fillId="0" borderId="0" xfId="0" applyNumberFormat="1" applyFont="1" applyAlignment="1">
      <alignment horizontal="right" vertical="center"/>
    </xf>
    <xf numFmtId="0" fontId="21" fillId="0" borderId="0" xfId="0" applyFont="1" applyAlignment="1">
      <alignment horizontal="right" vertical="center"/>
    </xf>
    <xf numFmtId="171" fontId="21" fillId="0" borderId="0" xfId="2" applyNumberFormat="1" applyFont="1" applyAlignment="1">
      <alignment horizontal="right" vertical="center"/>
    </xf>
    <xf numFmtId="0" fontId="23" fillId="0" borderId="0" xfId="0" applyFont="1" applyAlignment="1">
      <alignment horizontal="right" vertical="center"/>
    </xf>
    <xf numFmtId="0" fontId="21" fillId="0" borderId="0" xfId="0" applyFont="1" applyAlignment="1">
      <alignment horizontal="left" vertical="center" indent="2"/>
    </xf>
    <xf numFmtId="183" fontId="41" fillId="0" borderId="0" xfId="0" applyNumberFormat="1" applyFont="1" applyAlignment="1">
      <alignment horizontal="right" vertical="center"/>
    </xf>
    <xf numFmtId="0" fontId="23" fillId="0" borderId="0" xfId="0" applyFont="1" applyAlignment="1">
      <alignment horizontal="left" vertical="center" indent="2"/>
    </xf>
    <xf numFmtId="183" fontId="58" fillId="0" borderId="0" xfId="0" applyNumberFormat="1" applyFont="1" applyAlignment="1">
      <alignment horizontal="right" vertical="center"/>
    </xf>
    <xf numFmtId="171" fontId="23" fillId="0" borderId="0" xfId="2" applyNumberFormat="1" applyFont="1" applyAlignment="1">
      <alignment horizontal="right" vertical="center"/>
    </xf>
    <xf numFmtId="0" fontId="23" fillId="0" borderId="0" xfId="0" applyFont="1" applyAlignment="1">
      <alignment horizontal="left" vertical="center" indent="1"/>
    </xf>
    <xf numFmtId="0" fontId="21" fillId="0" borderId="0" xfId="0" applyFont="1" applyAlignment="1">
      <alignment horizontal="left" vertical="center" indent="1"/>
    </xf>
    <xf numFmtId="167" fontId="23" fillId="0" borderId="0" xfId="0" applyNumberFormat="1" applyFont="1" applyAlignment="1">
      <alignment horizontal="right" vertical="center"/>
    </xf>
    <xf numFmtId="0" fontId="25" fillId="0" borderId="0" xfId="0" applyFont="1" applyAlignment="1">
      <alignment horizontal="left" vertical="center"/>
    </xf>
    <xf numFmtId="183" fontId="109" fillId="0" borderId="0" xfId="0" applyNumberFormat="1" applyFont="1" applyAlignment="1">
      <alignment horizontal="right" vertical="center"/>
    </xf>
    <xf numFmtId="183" fontId="25" fillId="0" borderId="0" xfId="0" applyNumberFormat="1" applyFont="1" applyAlignment="1">
      <alignment horizontal="right" vertical="center"/>
    </xf>
    <xf numFmtId="0" fontId="17" fillId="0" borderId="29" xfId="0" applyFont="1" applyBorder="1"/>
    <xf numFmtId="183" fontId="21" fillId="0" borderId="0" xfId="0" applyNumberFormat="1" applyFont="1" applyAlignment="1">
      <alignment horizontal="right" vertical="center" wrapText="1"/>
    </xf>
    <xf numFmtId="167" fontId="17" fillId="0" borderId="0" xfId="0" applyNumberFormat="1" applyFont="1"/>
    <xf numFmtId="0" fontId="38" fillId="0" borderId="0" xfId="0" applyFont="1" applyAlignment="1">
      <alignment horizontal="right" vertical="center" indent="2"/>
    </xf>
    <xf numFmtId="0" fontId="97" fillId="0" borderId="0" xfId="0" applyFont="1"/>
    <xf numFmtId="171" fontId="94" fillId="0" borderId="0" xfId="2" applyNumberFormat="1" applyFont="1" applyAlignment="1">
      <alignment horizontal="right" vertical="center"/>
    </xf>
    <xf numFmtId="171" fontId="38" fillId="0" borderId="0" xfId="2" applyNumberFormat="1" applyFont="1" applyAlignment="1">
      <alignment horizontal="right" vertical="center"/>
    </xf>
    <xf numFmtId="0" fontId="94" fillId="0" borderId="0" xfId="0" applyFont="1" applyAlignment="1">
      <alignment horizontal="right" vertical="center" indent="2"/>
    </xf>
    <xf numFmtId="171" fontId="82" fillId="0" borderId="0" xfId="2" applyNumberFormat="1" applyFont="1" applyAlignment="1">
      <alignment horizontal="right" vertical="center"/>
    </xf>
    <xf numFmtId="0" fontId="29" fillId="0" borderId="0" xfId="0" applyFont="1"/>
    <xf numFmtId="183" fontId="38" fillId="0" borderId="0" xfId="0" applyNumberFormat="1" applyFont="1" applyAlignment="1">
      <alignment horizontal="right" vertical="center"/>
    </xf>
    <xf numFmtId="171" fontId="41" fillId="0" borderId="0" xfId="2" applyNumberFormat="1" applyFont="1" applyAlignment="1">
      <alignment horizontal="right" vertical="center"/>
    </xf>
    <xf numFmtId="172" fontId="23" fillId="0" borderId="0" xfId="1" applyNumberFormat="1" applyFont="1" applyAlignment="1">
      <alignment horizontal="left" vertical="center"/>
    </xf>
    <xf numFmtId="172" fontId="22" fillId="0" borderId="0" xfId="1" applyNumberFormat="1" applyFont="1"/>
    <xf numFmtId="172" fontId="23" fillId="0" borderId="0" xfId="1" applyNumberFormat="1" applyFont="1" applyAlignment="1">
      <alignment horizontal="right" vertical="center"/>
    </xf>
    <xf numFmtId="179" fontId="22" fillId="0" borderId="0" xfId="1" applyNumberFormat="1" applyFont="1"/>
    <xf numFmtId="0" fontId="110" fillId="0" borderId="0" xfId="0" applyFont="1" applyAlignment="1">
      <alignment horizontal="right" vertical="center"/>
    </xf>
    <xf numFmtId="183" fontId="111" fillId="0" borderId="0" xfId="0" applyNumberFormat="1" applyFont="1" applyAlignment="1">
      <alignment horizontal="right" vertical="center"/>
    </xf>
    <xf numFmtId="183" fontId="111" fillId="0" borderId="0" xfId="0" applyNumberFormat="1" applyFont="1" applyAlignment="1">
      <alignment horizontal="right" vertical="center" wrapText="1"/>
    </xf>
    <xf numFmtId="183" fontId="112" fillId="0" borderId="0" xfId="0" applyNumberFormat="1" applyFont="1" applyAlignment="1">
      <alignment horizontal="right" vertical="center"/>
    </xf>
    <xf numFmtId="172" fontId="113" fillId="0" borderId="0" xfId="1" applyNumberFormat="1" applyFont="1"/>
    <xf numFmtId="170" fontId="16" fillId="0" borderId="0" xfId="0" applyNumberFormat="1" applyFont="1"/>
    <xf numFmtId="179" fontId="17" fillId="0" borderId="0" xfId="1" applyNumberFormat="1" applyFont="1"/>
    <xf numFmtId="183" fontId="40" fillId="0" borderId="0" xfId="0" applyNumberFormat="1" applyFont="1" applyAlignment="1">
      <alignment horizontal="right" vertical="center"/>
    </xf>
    <xf numFmtId="183" fontId="114" fillId="0" borderId="0" xfId="0" applyNumberFormat="1" applyFont="1" applyAlignment="1">
      <alignment horizontal="right" vertical="center"/>
    </xf>
    <xf numFmtId="171" fontId="58" fillId="0" borderId="0" xfId="2" applyNumberFormat="1" applyFont="1"/>
    <xf numFmtId="171" fontId="40" fillId="0" borderId="0" xfId="2" applyNumberFormat="1" applyFont="1"/>
    <xf numFmtId="183" fontId="17" fillId="0" borderId="0" xfId="0" applyNumberFormat="1" applyFont="1"/>
    <xf numFmtId="167" fontId="58" fillId="0" borderId="0" xfId="0" applyNumberFormat="1" applyFont="1" applyAlignment="1">
      <alignment horizontal="right" vertical="center"/>
    </xf>
    <xf numFmtId="171" fontId="84" fillId="0" borderId="0" xfId="2" applyNumberFormat="1" applyFont="1" applyAlignment="1">
      <alignment horizontal="right" vertical="center"/>
    </xf>
    <xf numFmtId="171" fontId="39" fillId="0" borderId="0" xfId="2" applyNumberFormat="1" applyFont="1" applyAlignment="1">
      <alignment horizontal="right" vertical="center"/>
    </xf>
    <xf numFmtId="0" fontId="16" fillId="27" borderId="0" xfId="0" applyFont="1" applyFill="1"/>
    <xf numFmtId="0" fontId="22" fillId="27" borderId="0" xfId="0" applyFont="1" applyFill="1"/>
    <xf numFmtId="10" fontId="108" fillId="20" borderId="0" xfId="2" applyNumberFormat="1" applyFont="1" applyFill="1" applyBorder="1"/>
    <xf numFmtId="10" fontId="84" fillId="19" borderId="0" xfId="0" applyNumberFormat="1" applyFont="1" applyFill="1"/>
    <xf numFmtId="171" fontId="94" fillId="19" borderId="0" xfId="2" applyNumberFormat="1" applyFont="1" applyFill="1" applyBorder="1"/>
    <xf numFmtId="10" fontId="115" fillId="2" borderId="0" xfId="2" applyNumberFormat="1" applyFont="1" applyFill="1" applyBorder="1"/>
    <xf numFmtId="10" fontId="107" fillId="2" borderId="0" xfId="2" applyNumberFormat="1" applyFont="1" applyFill="1" applyBorder="1"/>
    <xf numFmtId="10" fontId="84" fillId="2" borderId="0" xfId="2" applyNumberFormat="1" applyFont="1" applyFill="1" applyBorder="1"/>
    <xf numFmtId="172" fontId="23" fillId="2" borderId="0" xfId="1" applyNumberFormat="1" applyFont="1" applyFill="1" applyBorder="1"/>
    <xf numFmtId="172" fontId="37" fillId="2" borderId="0" xfId="1" applyNumberFormat="1" applyFont="1" applyFill="1" applyBorder="1"/>
    <xf numFmtId="10" fontId="108" fillId="2" borderId="0" xfId="2" applyNumberFormat="1" applyFont="1" applyFill="1" applyBorder="1"/>
    <xf numFmtId="171" fontId="28" fillId="21" borderId="0" xfId="2" applyNumberFormat="1" applyFont="1" applyFill="1" applyBorder="1"/>
    <xf numFmtId="10" fontId="108" fillId="21" borderId="0" xfId="2" applyNumberFormat="1" applyFont="1" applyFill="1" applyBorder="1"/>
    <xf numFmtId="10" fontId="115" fillId="21" borderId="0" xfId="2" applyNumberFormat="1" applyFont="1" applyFill="1" applyBorder="1"/>
    <xf numFmtId="10" fontId="115" fillId="2" borderId="0" xfId="0" applyNumberFormat="1" applyFont="1" applyFill="1"/>
    <xf numFmtId="10" fontId="23" fillId="21" borderId="0" xfId="2" applyNumberFormat="1" applyFont="1" applyFill="1" applyBorder="1"/>
    <xf numFmtId="167" fontId="22" fillId="21" borderId="0" xfId="1" applyNumberFormat="1" applyFont="1" applyFill="1" applyBorder="1"/>
    <xf numFmtId="167" fontId="58" fillId="21" borderId="0" xfId="0" applyNumberFormat="1" applyFont="1" applyFill="1"/>
    <xf numFmtId="167" fontId="97" fillId="2" borderId="0" xfId="1" applyNumberFormat="1" applyFont="1" applyFill="1" applyBorder="1"/>
    <xf numFmtId="167" fontId="84" fillId="2" borderId="0" xfId="1" applyNumberFormat="1" applyFont="1" applyFill="1" applyBorder="1"/>
    <xf numFmtId="37" fontId="17" fillId="21" borderId="0" xfId="1" applyNumberFormat="1" applyFont="1" applyFill="1" applyBorder="1"/>
    <xf numFmtId="37" fontId="41" fillId="21" borderId="0" xfId="0" applyNumberFormat="1" applyFont="1" applyFill="1"/>
    <xf numFmtId="37" fontId="17" fillId="2" borderId="0" xfId="1" applyNumberFormat="1" applyFont="1" applyFill="1" applyBorder="1"/>
    <xf numFmtId="37" fontId="41" fillId="2" borderId="0" xfId="0" applyNumberFormat="1" applyFont="1" applyFill="1"/>
    <xf numFmtId="37" fontId="17" fillId="2" borderId="0" xfId="0" applyNumberFormat="1" applyFont="1" applyFill="1"/>
    <xf numFmtId="167" fontId="23" fillId="19" borderId="0" xfId="1" applyNumberFormat="1" applyFont="1" applyFill="1" applyBorder="1"/>
    <xf numFmtId="167" fontId="84" fillId="19" borderId="0" xfId="1" applyNumberFormat="1" applyFont="1" applyFill="1" applyBorder="1"/>
    <xf numFmtId="167" fontId="21" fillId="19" borderId="0" xfId="1" applyNumberFormat="1" applyFont="1" applyFill="1" applyBorder="1"/>
    <xf numFmtId="167" fontId="83" fillId="19" borderId="0" xfId="1" applyNumberFormat="1" applyFont="1" applyFill="1" applyBorder="1"/>
    <xf numFmtId="172" fontId="23" fillId="19" borderId="0" xfId="1" applyNumberFormat="1" applyFont="1" applyFill="1" applyBorder="1"/>
    <xf numFmtId="172" fontId="37" fillId="19" borderId="0" xfId="1" applyNumberFormat="1" applyFont="1" applyFill="1" applyBorder="1"/>
    <xf numFmtId="172" fontId="58" fillId="19" borderId="0" xfId="1" applyNumberFormat="1" applyFont="1" applyFill="1" applyBorder="1"/>
    <xf numFmtId="171" fontId="84" fillId="19" borderId="0" xfId="2" applyNumberFormat="1" applyFont="1" applyFill="1" applyBorder="1"/>
    <xf numFmtId="171" fontId="28" fillId="19" borderId="0" xfId="2" applyNumberFormat="1" applyFont="1" applyFill="1" applyBorder="1"/>
    <xf numFmtId="10" fontId="108" fillId="19" borderId="0" xfId="2" applyNumberFormat="1" applyFont="1" applyFill="1" applyBorder="1"/>
    <xf numFmtId="10" fontId="115" fillId="19" borderId="0" xfId="2" applyNumberFormat="1" applyFont="1" applyFill="1" applyBorder="1"/>
    <xf numFmtId="10" fontId="115" fillId="19" borderId="0" xfId="0" applyNumberFormat="1" applyFont="1" applyFill="1"/>
    <xf numFmtId="171" fontId="94" fillId="20" borderId="0" xfId="2" applyNumberFormat="1" applyFont="1" applyFill="1" applyBorder="1"/>
    <xf numFmtId="165" fontId="58" fillId="19" borderId="0" xfId="0" applyNumberFormat="1" applyFont="1" applyFill="1"/>
    <xf numFmtId="165" fontId="58" fillId="20" borderId="0" xfId="0" applyNumberFormat="1" applyFont="1" applyFill="1"/>
    <xf numFmtId="167" fontId="116" fillId="0" borderId="0" xfId="1" applyNumberFormat="1" applyFont="1" applyAlignment="1">
      <alignment horizontal="right"/>
    </xf>
    <xf numFmtId="167" fontId="57" fillId="0" borderId="0" xfId="1" applyNumberFormat="1" applyFont="1" applyAlignment="1">
      <alignment horizontal="right"/>
    </xf>
    <xf numFmtId="167" fontId="57" fillId="0" borderId="0" xfId="0" applyNumberFormat="1" applyFont="1" applyAlignment="1">
      <alignment horizontal="right"/>
    </xf>
    <xf numFmtId="167" fontId="57" fillId="0" borderId="0" xfId="1" applyNumberFormat="1" applyFont="1" applyFill="1" applyBorder="1" applyAlignment="1">
      <alignment horizontal="right" vertical="center"/>
    </xf>
    <xf numFmtId="172" fontId="57" fillId="0" borderId="0" xfId="1" applyNumberFormat="1" applyFont="1"/>
    <xf numFmtId="167" fontId="116" fillId="0" borderId="0" xfId="1" applyNumberFormat="1" applyFont="1"/>
    <xf numFmtId="167" fontId="116" fillId="9" borderId="0" xfId="1" applyNumberFormat="1" applyFont="1" applyFill="1" applyAlignment="1">
      <alignment horizontal="right" vertical="center"/>
    </xf>
    <xf numFmtId="167" fontId="57" fillId="9" borderId="0" xfId="1" applyNumberFormat="1" applyFont="1" applyFill="1" applyAlignment="1">
      <alignment horizontal="right" vertical="center"/>
    </xf>
    <xf numFmtId="167" fontId="117" fillId="9" borderId="0" xfId="1" applyNumberFormat="1" applyFont="1" applyFill="1" applyAlignment="1">
      <alignment horizontal="right" vertical="center"/>
    </xf>
    <xf numFmtId="0" fontId="57" fillId="0" borderId="0" xfId="0" applyFont="1"/>
    <xf numFmtId="0" fontId="57" fillId="11" borderId="29" xfId="0" applyFont="1" applyFill="1" applyBorder="1"/>
    <xf numFmtId="167" fontId="116" fillId="0" borderId="0" xfId="1" applyNumberFormat="1" applyFont="1" applyAlignment="1">
      <alignment horizontal="right" vertical="center"/>
    </xf>
    <xf numFmtId="167" fontId="118" fillId="9" borderId="0" xfId="1" applyNumberFormat="1" applyFont="1" applyFill="1" applyAlignment="1">
      <alignment horizontal="right" vertical="center"/>
    </xf>
    <xf numFmtId="167" fontId="119" fillId="9" borderId="0" xfId="1" applyNumberFormat="1" applyFont="1" applyFill="1" applyAlignment="1">
      <alignment horizontal="right" vertical="center"/>
    </xf>
    <xf numFmtId="43" fontId="57" fillId="0" borderId="0" xfId="1" applyFont="1"/>
    <xf numFmtId="43" fontId="116" fillId="0" borderId="0" xfId="1" applyFont="1"/>
    <xf numFmtId="178" fontId="57" fillId="0" borderId="0" xfId="0" applyNumberFormat="1" applyFont="1"/>
    <xf numFmtId="171" fontId="57" fillId="0" borderId="0" xfId="2" applyNumberFormat="1" applyFont="1"/>
    <xf numFmtId="180" fontId="57" fillId="0" borderId="0" xfId="1" applyNumberFormat="1" applyFont="1"/>
    <xf numFmtId="167" fontId="21" fillId="0" borderId="0" xfId="1" applyNumberFormat="1" applyFont="1" applyAlignment="1">
      <alignment horizontal="center" vertical="center"/>
    </xf>
    <xf numFmtId="167" fontId="22" fillId="28" borderId="0" xfId="0" applyNumberFormat="1" applyFont="1" applyFill="1"/>
    <xf numFmtId="167" fontId="17" fillId="28" borderId="0" xfId="0" applyNumberFormat="1" applyFont="1" applyFill="1"/>
    <xf numFmtId="167" fontId="22" fillId="28" borderId="0" xfId="1" applyNumberFormat="1" applyFont="1" applyFill="1"/>
    <xf numFmtId="167" fontId="58" fillId="28" borderId="0" xfId="1" applyNumberFormat="1" applyFont="1" applyFill="1"/>
    <xf numFmtId="171" fontId="17" fillId="0" borderId="0" xfId="0" applyNumberFormat="1" applyFont="1"/>
    <xf numFmtId="172" fontId="58" fillId="0" borderId="0" xfId="0" applyNumberFormat="1" applyFont="1"/>
    <xf numFmtId="0" fontId="17" fillId="27" borderId="0" xfId="0" applyFont="1" applyFill="1"/>
    <xf numFmtId="171" fontId="27" fillId="0" borderId="0" xfId="2" applyNumberFormat="1" applyFont="1"/>
    <xf numFmtId="167" fontId="22" fillId="0" borderId="0" xfId="1" applyNumberFormat="1" applyFont="1"/>
    <xf numFmtId="0" fontId="21" fillId="0" borderId="0" xfId="0" applyFont="1" applyAlignment="1">
      <alignment horizontal="right" vertical="center" indent="1"/>
    </xf>
    <xf numFmtId="171" fontId="27" fillId="0" borderId="0" xfId="2" applyNumberFormat="1" applyFont="1" applyAlignment="1">
      <alignment horizontal="right"/>
    </xf>
    <xf numFmtId="167" fontId="17" fillId="0" borderId="0" xfId="1" applyNumberFormat="1" applyFont="1"/>
    <xf numFmtId="171" fontId="17" fillId="0" borderId="0" xfId="2" applyNumberFormat="1" applyFont="1" applyAlignment="1">
      <alignment horizontal="left"/>
    </xf>
    <xf numFmtId="171" fontId="22" fillId="0" borderId="0" xfId="2" applyNumberFormat="1" applyFont="1" applyAlignment="1">
      <alignment horizontal="left"/>
    </xf>
    <xf numFmtId="171" fontId="86" fillId="0" borderId="0" xfId="2" applyNumberFormat="1" applyFont="1"/>
    <xf numFmtId="171" fontId="120" fillId="0" borderId="0" xfId="2" applyNumberFormat="1" applyFont="1"/>
    <xf numFmtId="167" fontId="40" fillId="0" borderId="0" xfId="1" applyNumberFormat="1" applyFont="1"/>
    <xf numFmtId="179" fontId="58" fillId="0" borderId="0" xfId="1" applyNumberFormat="1" applyFont="1"/>
    <xf numFmtId="0" fontId="25" fillId="0" borderId="0" xfId="0" applyFont="1" applyAlignment="1">
      <alignment horizontal="right" vertical="center" indent="1"/>
    </xf>
    <xf numFmtId="167" fontId="41" fillId="0" borderId="0" xfId="1" applyNumberFormat="1" applyFont="1"/>
    <xf numFmtId="168" fontId="17" fillId="0" borderId="0" xfId="0" applyNumberFormat="1" applyFont="1"/>
    <xf numFmtId="0" fontId="26" fillId="0" borderId="0" xfId="0" applyFont="1" applyAlignment="1">
      <alignment horizontal="right" vertical="center" indent="1"/>
    </xf>
    <xf numFmtId="172" fontId="23" fillId="0" borderId="25" xfId="1" applyNumberFormat="1" applyFont="1" applyBorder="1" applyAlignment="1">
      <alignment horizontal="left" vertical="center"/>
    </xf>
    <xf numFmtId="179" fontId="22" fillId="0" borderId="25" xfId="1" applyNumberFormat="1" applyFont="1" applyBorder="1"/>
    <xf numFmtId="0" fontId="23" fillId="0" borderId="25" xfId="0" applyFont="1" applyBorder="1" applyAlignment="1">
      <alignment horizontal="left" vertical="center" indent="2"/>
    </xf>
    <xf numFmtId="179" fontId="58" fillId="0" borderId="25" xfId="1" applyNumberFormat="1" applyFont="1" applyBorder="1"/>
    <xf numFmtId="0" fontId="16" fillId="11" borderId="30" xfId="0" applyFont="1" applyFill="1" applyBorder="1"/>
    <xf numFmtId="0" fontId="16" fillId="11" borderId="28" xfId="0" applyFont="1" applyFill="1" applyBorder="1"/>
    <xf numFmtId="167" fontId="16" fillId="11" borderId="28" xfId="0" applyNumberFormat="1" applyFont="1" applyFill="1" applyBorder="1"/>
    <xf numFmtId="0" fontId="22" fillId="11" borderId="31" xfId="0" applyFont="1" applyFill="1" applyBorder="1"/>
    <xf numFmtId="0" fontId="22" fillId="11" borderId="29" xfId="0" applyFont="1" applyFill="1" applyBorder="1"/>
    <xf numFmtId="171" fontId="22" fillId="11" borderId="29" xfId="2" applyNumberFormat="1" applyFont="1" applyFill="1" applyBorder="1"/>
    <xf numFmtId="0" fontId="23" fillId="0" borderId="25" xfId="0" applyFont="1" applyBorder="1" applyAlignment="1">
      <alignment horizontal="left" vertical="center" indent="1"/>
    </xf>
    <xf numFmtId="167" fontId="22" fillId="0" borderId="25" xfId="1" applyNumberFormat="1" applyFont="1" applyBorder="1"/>
    <xf numFmtId="171" fontId="17" fillId="0" borderId="25" xfId="2" applyNumberFormat="1" applyFont="1" applyBorder="1"/>
    <xf numFmtId="167" fontId="58" fillId="0" borderId="25" xfId="1" applyNumberFormat="1" applyFont="1" applyBorder="1"/>
    <xf numFmtId="0" fontId="21" fillId="0" borderId="0" xfId="0" applyFont="1"/>
    <xf numFmtId="0" fontId="23" fillId="0" borderId="0" xfId="0" applyFont="1"/>
    <xf numFmtId="0" fontId="25" fillId="0" borderId="0" xfId="0" applyFont="1" applyAlignment="1">
      <alignment horizontal="left" indent="1"/>
    </xf>
    <xf numFmtId="167" fontId="22" fillId="0" borderId="0" xfId="0" applyNumberFormat="1" applyFont="1"/>
    <xf numFmtId="9" fontId="28" fillId="0" borderId="0" xfId="2" applyFont="1"/>
    <xf numFmtId="167" fontId="58" fillId="0" borderId="0" xfId="0" applyNumberFormat="1" applyFont="1"/>
    <xf numFmtId="0" fontId="40" fillId="0" borderId="0" xfId="0" applyFont="1"/>
    <xf numFmtId="171" fontId="114" fillId="0" borderId="0" xfId="2" applyNumberFormat="1" applyFont="1"/>
    <xf numFmtId="0" fontId="23" fillId="0" borderId="25" xfId="0" applyFont="1" applyBorder="1"/>
    <xf numFmtId="167" fontId="22" fillId="0" borderId="25" xfId="0" applyNumberFormat="1" applyFont="1" applyBorder="1"/>
    <xf numFmtId="167" fontId="58" fillId="0" borderId="25" xfId="0" applyNumberFormat="1" applyFont="1" applyBorder="1"/>
    <xf numFmtId="183" fontId="39" fillId="0" borderId="0" xfId="0" applyNumberFormat="1" applyFont="1" applyAlignment="1">
      <alignment horizontal="right" vertical="center"/>
    </xf>
    <xf numFmtId="170" fontId="15" fillId="0" borderId="0" xfId="0" applyNumberFormat="1" applyFont="1"/>
    <xf numFmtId="170" fontId="116" fillId="0" borderId="0" xfId="0" applyNumberFormat="1" applyFont="1"/>
    <xf numFmtId="183" fontId="122" fillId="0" borderId="0" xfId="0" applyNumberFormat="1" applyFont="1" applyAlignment="1">
      <alignment horizontal="right" vertical="center" wrapText="1"/>
    </xf>
    <xf numFmtId="179" fontId="55" fillId="0" borderId="25" xfId="1" applyNumberFormat="1" applyFont="1" applyBorder="1"/>
    <xf numFmtId="167" fontId="22" fillId="0" borderId="0" xfId="1" applyNumberFormat="1" applyFont="1" applyBorder="1"/>
    <xf numFmtId="171" fontId="17" fillId="0" borderId="0" xfId="2" applyNumberFormat="1" applyFont="1" applyBorder="1"/>
    <xf numFmtId="9" fontId="29" fillId="0" borderId="0" xfId="2" applyFont="1"/>
    <xf numFmtId="9" fontId="39" fillId="0" borderId="0" xfId="2" applyFont="1"/>
    <xf numFmtId="172" fontId="37" fillId="0" borderId="0" xfId="1" applyNumberFormat="1" applyFont="1"/>
    <xf numFmtId="171" fontId="123" fillId="0" borderId="0" xfId="2" applyNumberFormat="1" applyFont="1" applyAlignment="1">
      <alignment horizontal="right" vertical="center"/>
    </xf>
    <xf numFmtId="171" fontId="124" fillId="0" borderId="0" xfId="2" applyNumberFormat="1" applyFont="1" applyAlignment="1">
      <alignment horizontal="right" vertical="center"/>
    </xf>
    <xf numFmtId="10" fontId="23" fillId="19" borderId="0" xfId="2" applyNumberFormat="1" applyFont="1" applyFill="1" applyBorder="1"/>
    <xf numFmtId="179" fontId="40" fillId="0" borderId="0" xfId="1" applyNumberFormat="1" applyFont="1"/>
    <xf numFmtId="171" fontId="27" fillId="11" borderId="0" xfId="2" applyNumberFormat="1" applyFont="1" applyFill="1"/>
    <xf numFmtId="0" fontId="120" fillId="0" borderId="0" xfId="0" applyFont="1"/>
    <xf numFmtId="0" fontId="124" fillId="0" borderId="0" xfId="0" applyFont="1" applyAlignment="1">
      <alignment horizontal="right" vertical="center" indent="2"/>
    </xf>
    <xf numFmtId="165" fontId="57" fillId="0" borderId="0" xfId="0" applyNumberFormat="1" applyFont="1"/>
    <xf numFmtId="167" fontId="94" fillId="20" borderId="0" xfId="1" applyNumberFormat="1" applyFont="1" applyFill="1" applyBorder="1"/>
    <xf numFmtId="167" fontId="22" fillId="20" borderId="0" xfId="1" applyNumberFormat="1" applyFont="1" applyFill="1" applyBorder="1"/>
    <xf numFmtId="167" fontId="84" fillId="20" borderId="0" xfId="1" applyNumberFormat="1" applyFont="1" applyFill="1" applyBorder="1"/>
    <xf numFmtId="167" fontId="82" fillId="20" borderId="0" xfId="1" applyNumberFormat="1" applyFont="1" applyFill="1" applyBorder="1"/>
    <xf numFmtId="0" fontId="15" fillId="0" borderId="0" xfId="0" applyFont="1"/>
    <xf numFmtId="0" fontId="126" fillId="0" borderId="0" xfId="0" applyFont="1"/>
    <xf numFmtId="0" fontId="32" fillId="29" borderId="0" xfId="0" applyFont="1" applyFill="1" applyAlignment="1">
      <alignment horizontal="center"/>
    </xf>
    <xf numFmtId="43" fontId="17" fillId="0" borderId="0" xfId="1" applyFont="1"/>
    <xf numFmtId="2" fontId="27" fillId="0" borderId="0" xfId="0" applyNumberFormat="1" applyFont="1"/>
    <xf numFmtId="171" fontId="94" fillId="11" borderId="0" xfId="2" applyNumberFormat="1" applyFont="1" applyFill="1" applyAlignment="1">
      <alignment horizontal="right" vertical="center"/>
    </xf>
    <xf numFmtId="167" fontId="41" fillId="11" borderId="0" xfId="1" applyNumberFormat="1" applyFont="1" applyFill="1"/>
    <xf numFmtId="179" fontId="27" fillId="0" borderId="0" xfId="1" applyNumberFormat="1" applyFont="1"/>
    <xf numFmtId="185" fontId="17" fillId="0" borderId="0" xfId="0" applyNumberFormat="1" applyFont="1"/>
    <xf numFmtId="185" fontId="17" fillId="0" borderId="0" xfId="1" applyNumberFormat="1" applyFont="1"/>
    <xf numFmtId="185" fontId="22" fillId="0" borderId="0" xfId="0" applyNumberFormat="1" applyFont="1"/>
    <xf numFmtId="185" fontId="22" fillId="0" borderId="0" xfId="1" applyNumberFormat="1" applyFont="1"/>
    <xf numFmtId="43" fontId="28" fillId="0" borderId="0" xfId="1" applyFont="1"/>
    <xf numFmtId="167" fontId="40" fillId="0" borderId="0" xfId="0" applyNumberFormat="1" applyFont="1"/>
    <xf numFmtId="185" fontId="58" fillId="0" borderId="0" xfId="1" applyNumberFormat="1" applyFont="1"/>
    <xf numFmtId="184" fontId="17" fillId="0" borderId="0" xfId="0" applyNumberFormat="1" applyFont="1"/>
    <xf numFmtId="183" fontId="86" fillId="0" borderId="0" xfId="0" applyNumberFormat="1" applyFont="1" applyAlignment="1">
      <alignment horizontal="right" vertical="center"/>
    </xf>
    <xf numFmtId="0" fontId="17" fillId="0" borderId="42" xfId="0" applyFont="1" applyBorder="1"/>
    <xf numFmtId="0" fontId="23" fillId="0" borderId="43" xfId="0" applyFont="1" applyBorder="1" applyAlignment="1">
      <alignment horizontal="left" vertical="center" indent="1"/>
    </xf>
    <xf numFmtId="0" fontId="17" fillId="0" borderId="43" xfId="0" applyFont="1" applyBorder="1"/>
    <xf numFmtId="167" fontId="17" fillId="0" borderId="43" xfId="1" applyNumberFormat="1" applyFont="1" applyBorder="1"/>
    <xf numFmtId="167" fontId="41" fillId="0" borderId="43" xfId="1" applyNumberFormat="1" applyFont="1" applyBorder="1"/>
    <xf numFmtId="171" fontId="17" fillId="0" borderId="43" xfId="2" applyNumberFormat="1" applyFont="1" applyBorder="1"/>
    <xf numFmtId="167" fontId="58" fillId="0" borderId="43" xfId="1" applyNumberFormat="1" applyFont="1" applyBorder="1"/>
    <xf numFmtId="0" fontId="17" fillId="0" borderId="44" xfId="0" applyFont="1" applyBorder="1"/>
    <xf numFmtId="167" fontId="17" fillId="0" borderId="0" xfId="1" applyNumberFormat="1" applyFont="1" applyBorder="1"/>
    <xf numFmtId="167" fontId="41" fillId="0" borderId="0" xfId="1" applyNumberFormat="1" applyFont="1" applyBorder="1"/>
    <xf numFmtId="167" fontId="40" fillId="0" borderId="0" xfId="1" applyNumberFormat="1" applyFont="1" applyBorder="1"/>
    <xf numFmtId="171" fontId="121" fillId="0" borderId="0" xfId="12" applyNumberFormat="1" applyFont="1" applyBorder="1"/>
    <xf numFmtId="0" fontId="22" fillId="0" borderId="44" xfId="0" applyFont="1" applyBorder="1"/>
    <xf numFmtId="171" fontId="22" fillId="0" borderId="0" xfId="2" applyNumberFormat="1" applyFont="1" applyBorder="1"/>
    <xf numFmtId="43" fontId="22" fillId="0" borderId="0" xfId="1" applyFont="1" applyBorder="1"/>
    <xf numFmtId="0" fontId="127" fillId="0" borderId="0" xfId="0" applyFont="1"/>
    <xf numFmtId="0" fontId="128" fillId="0" borderId="0" xfId="0" applyFont="1" applyAlignment="1">
      <alignment horizontal="left" vertical="center"/>
    </xf>
    <xf numFmtId="167" fontId="127" fillId="0" borderId="0" xfId="1" applyNumberFormat="1" applyFont="1"/>
    <xf numFmtId="43" fontId="82" fillId="19" borderId="0" xfId="1" applyFont="1" applyFill="1" applyBorder="1"/>
    <xf numFmtId="179" fontId="36" fillId="21" borderId="0" xfId="1" applyNumberFormat="1" applyFont="1" applyFill="1" applyBorder="1"/>
    <xf numFmtId="172" fontId="37" fillId="21" borderId="25" xfId="1" applyNumberFormat="1" applyFont="1" applyFill="1" applyBorder="1"/>
    <xf numFmtId="165" fontId="37" fillId="21" borderId="0" xfId="0" applyNumberFormat="1" applyFont="1" applyFill="1"/>
    <xf numFmtId="167" fontId="37" fillId="21" borderId="0" xfId="1" applyNumberFormat="1" applyFont="1" applyFill="1" applyBorder="1"/>
    <xf numFmtId="43" fontId="37" fillId="21" borderId="0" xfId="1" applyFont="1" applyFill="1" applyBorder="1"/>
    <xf numFmtId="167" fontId="129" fillId="2" borderId="0" xfId="1" applyNumberFormat="1" applyFont="1" applyFill="1" applyBorder="1"/>
    <xf numFmtId="43" fontId="129" fillId="2" borderId="0" xfId="1" applyFont="1" applyFill="1" applyBorder="1"/>
    <xf numFmtId="43" fontId="37" fillId="2" borderId="25" xfId="1" applyFont="1" applyFill="1" applyBorder="1"/>
    <xf numFmtId="0" fontId="36" fillId="2" borderId="0" xfId="0" applyFont="1" applyFill="1"/>
    <xf numFmtId="179" fontId="36" fillId="2" borderId="0" xfId="1" applyNumberFormat="1" applyFont="1" applyFill="1" applyBorder="1"/>
    <xf numFmtId="179" fontId="36" fillId="2" borderId="0" xfId="1" applyNumberFormat="1" applyFont="1" applyFill="1" applyBorder="1" applyAlignment="1">
      <alignment horizontal="center" vertical="center"/>
    </xf>
    <xf numFmtId="9" fontId="37" fillId="2" borderId="0" xfId="2" applyFont="1" applyFill="1" applyBorder="1"/>
    <xf numFmtId="171" fontId="37" fillId="2" borderId="0" xfId="0" applyNumberFormat="1" applyFont="1" applyFill="1"/>
    <xf numFmtId="43" fontId="129" fillId="19" borderId="0" xfId="1" applyFont="1" applyFill="1" applyBorder="1"/>
    <xf numFmtId="167" fontId="37" fillId="19" borderId="0" xfId="1" applyNumberFormat="1" applyFont="1" applyFill="1" applyBorder="1"/>
    <xf numFmtId="43" fontId="129" fillId="19" borderId="25" xfId="1" applyFont="1" applyFill="1" applyBorder="1"/>
    <xf numFmtId="179" fontId="36" fillId="19" borderId="0" xfId="1" applyNumberFormat="1" applyFont="1" applyFill="1" applyBorder="1"/>
    <xf numFmtId="179" fontId="109" fillId="19" borderId="0" xfId="1" applyNumberFormat="1" applyFont="1" applyFill="1" applyBorder="1"/>
    <xf numFmtId="9" fontId="36" fillId="19" borderId="0" xfId="2" applyFont="1" applyFill="1" applyBorder="1"/>
    <xf numFmtId="43" fontId="129" fillId="20" borderId="0" xfId="1" applyFont="1" applyFill="1" applyBorder="1"/>
    <xf numFmtId="167" fontId="129" fillId="20" borderId="0" xfId="1" applyNumberFormat="1" applyFont="1" applyFill="1" applyBorder="1"/>
    <xf numFmtId="167" fontId="23" fillId="21" borderId="0" xfId="1" applyNumberFormat="1" applyFont="1" applyFill="1" applyBorder="1"/>
    <xf numFmtId="167" fontId="58" fillId="21" borderId="0" xfId="1" applyNumberFormat="1" applyFont="1" applyFill="1" applyBorder="1"/>
    <xf numFmtId="39" fontId="70" fillId="0" borderId="33" xfId="13" applyNumberFormat="1" applyFont="1" applyBorder="1" applyAlignment="1">
      <alignment vertical="center"/>
    </xf>
    <xf numFmtId="167" fontId="23" fillId="0" borderId="0" xfId="1" applyNumberFormat="1" applyFont="1" applyBorder="1" applyAlignment="1">
      <alignment horizontal="center"/>
    </xf>
    <xf numFmtId="169" fontId="21" fillId="0" borderId="0" xfId="2" applyNumberFormat="1" applyFont="1" applyFill="1" applyBorder="1" applyAlignment="1">
      <alignment horizontal="center" vertical="center"/>
    </xf>
    <xf numFmtId="167" fontId="23" fillId="2" borderId="0" xfId="0" applyNumberFormat="1" applyFont="1" applyFill="1"/>
    <xf numFmtId="165" fontId="22" fillId="2" borderId="0" xfId="0" applyNumberFormat="1" applyFont="1" applyFill="1"/>
    <xf numFmtId="165" fontId="58" fillId="21" borderId="25" xfId="0" applyNumberFormat="1" applyFont="1" applyFill="1" applyBorder="1"/>
    <xf numFmtId="167" fontId="50" fillId="0" borderId="0" xfId="1" applyNumberFormat="1" applyFont="1" applyAlignment="1">
      <alignment wrapText="1"/>
    </xf>
    <xf numFmtId="167" fontId="106" fillId="0" borderId="0" xfId="1" applyNumberFormat="1" applyFont="1"/>
    <xf numFmtId="167" fontId="50" fillId="0" borderId="0" xfId="0" applyNumberFormat="1" applyFont="1"/>
    <xf numFmtId="167" fontId="106" fillId="0" borderId="0" xfId="0" applyNumberFormat="1" applyFont="1"/>
    <xf numFmtId="167" fontId="32" fillId="0" borderId="0" xfId="1" applyNumberFormat="1" applyFont="1"/>
    <xf numFmtId="167" fontId="116" fillId="0" borderId="0" xfId="0" applyNumberFormat="1" applyFont="1"/>
    <xf numFmtId="183" fontId="36" fillId="11" borderId="0" xfId="0" applyNumberFormat="1" applyFont="1" applyFill="1" applyAlignment="1">
      <alignment horizontal="right" vertical="center"/>
    </xf>
    <xf numFmtId="172" fontId="23" fillId="0" borderId="0" xfId="1" applyNumberFormat="1" applyFont="1"/>
    <xf numFmtId="183" fontId="36" fillId="0" borderId="0" xfId="0" applyNumberFormat="1" applyFont="1" applyAlignment="1">
      <alignment horizontal="right" vertical="center" wrapText="1"/>
    </xf>
    <xf numFmtId="0" fontId="81" fillId="0" borderId="0" xfId="0" applyFont="1"/>
    <xf numFmtId="37" fontId="81" fillId="0" borderId="27" xfId="1" applyNumberFormat="1" applyFont="1" applyBorder="1" applyAlignment="1">
      <alignment vertical="center"/>
    </xf>
    <xf numFmtId="171" fontId="81" fillId="0" borderId="0" xfId="2" applyNumberFormat="1" applyFont="1"/>
    <xf numFmtId="10" fontId="81" fillId="0" borderId="0" xfId="0" applyNumberFormat="1" applyFont="1"/>
    <xf numFmtId="171" fontId="62" fillId="9" borderId="0" xfId="2" applyNumberFormat="1" applyFont="1" applyFill="1"/>
    <xf numFmtId="181" fontId="131" fillId="24" borderId="0" xfId="0" applyNumberFormat="1" applyFont="1" applyFill="1"/>
    <xf numFmtId="0" fontId="16" fillId="21" borderId="0" xfId="0" applyFont="1" applyFill="1"/>
    <xf numFmtId="171" fontId="17" fillId="21" borderId="0" xfId="0" applyNumberFormat="1" applyFont="1" applyFill="1"/>
    <xf numFmtId="0" fontId="37" fillId="21" borderId="0" xfId="0" applyFont="1" applyFill="1"/>
    <xf numFmtId="172" fontId="37" fillId="21" borderId="0" xfId="1" applyNumberFormat="1" applyFont="1" applyFill="1"/>
    <xf numFmtId="172" fontId="58" fillId="21" borderId="0" xfId="1" applyNumberFormat="1" applyFont="1" applyFill="1"/>
    <xf numFmtId="172" fontId="22" fillId="21" borderId="0" xfId="1" applyNumberFormat="1" applyFont="1" applyFill="1"/>
    <xf numFmtId="171" fontId="17" fillId="21" borderId="0" xfId="2" applyNumberFormat="1" applyFont="1" applyFill="1"/>
    <xf numFmtId="172" fontId="17" fillId="21" borderId="0" xfId="1" applyNumberFormat="1" applyFont="1" applyFill="1"/>
    <xf numFmtId="172" fontId="40" fillId="21" borderId="0" xfId="1" applyNumberFormat="1" applyFont="1" applyFill="1"/>
    <xf numFmtId="172" fontId="36" fillId="21" borderId="0" xfId="1" applyNumberFormat="1" applyFont="1" applyFill="1"/>
    <xf numFmtId="172" fontId="27" fillId="21" borderId="0" xfId="1" applyNumberFormat="1" applyFont="1" applyFill="1" applyAlignment="1">
      <alignment horizontal="right"/>
    </xf>
    <xf numFmtId="171" fontId="41" fillId="21" borderId="0" xfId="2" applyNumberFormat="1" applyFont="1" applyFill="1"/>
    <xf numFmtId="171" fontId="22" fillId="21" borderId="0" xfId="2" applyNumberFormat="1" applyFont="1" applyFill="1"/>
    <xf numFmtId="171" fontId="58" fillId="21" borderId="0" xfId="2" applyNumberFormat="1" applyFont="1" applyFill="1"/>
    <xf numFmtId="0" fontId="29" fillId="21" borderId="0" xfId="0" applyFont="1" applyFill="1"/>
    <xf numFmtId="171" fontId="29" fillId="21" borderId="0" xfId="0" applyNumberFormat="1" applyFont="1" applyFill="1"/>
    <xf numFmtId="171" fontId="39" fillId="21" borderId="0" xfId="2" applyNumberFormat="1" applyFont="1" applyFill="1"/>
    <xf numFmtId="9" fontId="39" fillId="21" borderId="0" xfId="2" applyFont="1" applyFill="1"/>
    <xf numFmtId="9" fontId="17" fillId="21" borderId="0" xfId="2" applyFont="1" applyFill="1"/>
    <xf numFmtId="9" fontId="29" fillId="21" borderId="0" xfId="2" applyFont="1" applyFill="1"/>
    <xf numFmtId="171" fontId="58" fillId="21" borderId="0" xfId="0" applyNumberFormat="1" applyFont="1" applyFill="1"/>
    <xf numFmtId="0" fontId="22" fillId="30" borderId="0" xfId="0" applyFont="1" applyFill="1" applyAlignment="1">
      <alignment wrapText="1"/>
    </xf>
    <xf numFmtId="0" fontId="17" fillId="30" borderId="0" xfId="0" applyFont="1" applyFill="1"/>
    <xf numFmtId="172" fontId="17" fillId="30" borderId="0" xfId="1" applyNumberFormat="1" applyFont="1" applyFill="1"/>
    <xf numFmtId="0" fontId="22" fillId="30" borderId="0" xfId="0" applyFont="1" applyFill="1"/>
    <xf numFmtId="171" fontId="17" fillId="30" borderId="0" xfId="0" applyNumberFormat="1" applyFont="1" applyFill="1"/>
    <xf numFmtId="171" fontId="29" fillId="0" borderId="0" xfId="2" applyNumberFormat="1" applyFont="1" applyFill="1" applyBorder="1" applyAlignment="1">
      <alignment horizontal="center"/>
    </xf>
    <xf numFmtId="179" fontId="25" fillId="0" borderId="0" xfId="1" applyNumberFormat="1" applyFont="1" applyFill="1" applyBorder="1" applyAlignment="1">
      <alignment horizontal="center" vertical="center"/>
    </xf>
    <xf numFmtId="10" fontId="22" fillId="21" borderId="0" xfId="0" applyNumberFormat="1" applyFont="1" applyFill="1"/>
    <xf numFmtId="10" fontId="58" fillId="21" borderId="0" xfId="2" applyNumberFormat="1" applyFont="1" applyFill="1" applyBorder="1"/>
    <xf numFmtId="10" fontId="22" fillId="2" borderId="0" xfId="0" applyNumberFormat="1" applyFont="1" applyFill="1"/>
    <xf numFmtId="10" fontId="94" fillId="2" borderId="0" xfId="2" applyNumberFormat="1" applyFont="1" applyFill="1" applyBorder="1"/>
    <xf numFmtId="171" fontId="104" fillId="0" borderId="0" xfId="2" applyNumberFormat="1" applyFont="1" applyFill="1"/>
    <xf numFmtId="171" fontId="104" fillId="0" borderId="0" xfId="2" applyNumberFormat="1" applyFont="1" applyAlignment="1">
      <alignment horizontal="right"/>
    </xf>
    <xf numFmtId="171" fontId="118" fillId="0" borderId="0" xfId="2" applyNumberFormat="1" applyFont="1" applyAlignment="1">
      <alignment horizontal="right"/>
    </xf>
    <xf numFmtId="171" fontId="104" fillId="0" borderId="0" xfId="2" applyNumberFormat="1" applyFont="1"/>
    <xf numFmtId="180" fontId="22" fillId="21" borderId="0" xfId="0" applyNumberFormat="1" applyFont="1" applyFill="1"/>
    <xf numFmtId="175" fontId="132" fillId="9" borderId="0" xfId="10" applyFont="1" applyFill="1" applyAlignment="1">
      <alignment horizontal="center"/>
    </xf>
    <xf numFmtId="10" fontId="133" fillId="3" borderId="23" xfId="2" applyNumberFormat="1" applyFont="1" applyFill="1" applyBorder="1"/>
    <xf numFmtId="165" fontId="133" fillId="3" borderId="23" xfId="13" applyFont="1" applyFill="1" applyBorder="1"/>
    <xf numFmtId="10" fontId="133" fillId="3" borderId="23" xfId="12" applyNumberFormat="1" applyFont="1" applyFill="1" applyBorder="1"/>
    <xf numFmtId="176" fontId="133" fillId="3" borderId="23" xfId="13" applyNumberFormat="1" applyFont="1" applyFill="1" applyBorder="1"/>
    <xf numFmtId="171" fontId="58" fillId="21" borderId="0" xfId="2" applyNumberFormat="1" applyFont="1" applyFill="1" applyBorder="1"/>
    <xf numFmtId="171" fontId="134" fillId="21" borderId="0" xfId="2" applyNumberFormat="1" applyFont="1" applyFill="1" applyBorder="1"/>
    <xf numFmtId="179" fontId="22" fillId="0" borderId="0" xfId="1" applyNumberFormat="1" applyFont="1" applyBorder="1"/>
    <xf numFmtId="171" fontId="17" fillId="0" borderId="0" xfId="2" applyNumberFormat="1" applyFont="1" applyFill="1"/>
    <xf numFmtId="43" fontId="17" fillId="0" borderId="0" xfId="1" applyFont="1" applyBorder="1"/>
    <xf numFmtId="43" fontId="17" fillId="0" borderId="0" xfId="1" applyFont="1" applyFill="1" applyBorder="1" applyAlignment="1">
      <alignment vertical="center"/>
    </xf>
    <xf numFmtId="43" fontId="37" fillId="0" borderId="0" xfId="1" applyFont="1" applyAlignment="1">
      <alignment horizontal="center" vertical="center"/>
    </xf>
    <xf numFmtId="43" fontId="21" fillId="0" borderId="0" xfId="1" applyFont="1" applyAlignment="1">
      <alignment horizontal="center" vertical="center"/>
    </xf>
    <xf numFmtId="43" fontId="21" fillId="0" borderId="0" xfId="1" applyFont="1" applyFill="1" applyBorder="1" applyAlignment="1">
      <alignment horizontal="center" vertical="center"/>
    </xf>
    <xf numFmtId="43" fontId="23" fillId="0" borderId="0" xfId="1" applyFont="1" applyFill="1" applyBorder="1" applyAlignment="1">
      <alignment horizontal="center" vertical="center"/>
    </xf>
    <xf numFmtId="10" fontId="38" fillId="19" borderId="0" xfId="0" applyNumberFormat="1" applyFont="1" applyFill="1"/>
    <xf numFmtId="167" fontId="38" fillId="19" borderId="0" xfId="1" applyNumberFormat="1" applyFont="1" applyFill="1" applyBorder="1"/>
    <xf numFmtId="171" fontId="96" fillId="19" borderId="0" xfId="2" applyNumberFormat="1" applyFont="1" applyFill="1" applyBorder="1"/>
    <xf numFmtId="167" fontId="129" fillId="19" borderId="0" xfId="1" applyNumberFormat="1" applyFont="1" applyFill="1" applyBorder="1"/>
    <xf numFmtId="167" fontId="94" fillId="19" borderId="0" xfId="1" applyNumberFormat="1" applyFont="1" applyFill="1" applyBorder="1"/>
    <xf numFmtId="171" fontId="29" fillId="19" borderId="0" xfId="2" applyNumberFormat="1" applyFont="1" applyFill="1" applyBorder="1"/>
    <xf numFmtId="167" fontId="22" fillId="19" borderId="0" xfId="1" applyNumberFormat="1" applyFont="1" applyFill="1" applyBorder="1"/>
    <xf numFmtId="165" fontId="37" fillId="19" borderId="0" xfId="0" applyNumberFormat="1" applyFont="1" applyFill="1"/>
    <xf numFmtId="171" fontId="17" fillId="19" borderId="0" xfId="2" applyNumberFormat="1" applyFont="1" applyFill="1"/>
    <xf numFmtId="0" fontId="34" fillId="19" borderId="0" xfId="0" applyFont="1" applyFill="1"/>
    <xf numFmtId="43" fontId="16" fillId="19" borderId="0" xfId="1" applyFont="1" applyFill="1"/>
    <xf numFmtId="43" fontId="34" fillId="19" borderId="0" xfId="1" applyFont="1" applyFill="1"/>
    <xf numFmtId="167" fontId="50" fillId="0" borderId="0" xfId="1" applyNumberFormat="1" applyFont="1" applyAlignment="1">
      <alignment horizontal="right"/>
    </xf>
    <xf numFmtId="43" fontId="22" fillId="11" borderId="0" xfId="1" applyFont="1" applyFill="1" applyBorder="1"/>
    <xf numFmtId="167" fontId="17" fillId="0" borderId="44" xfId="0" applyNumberFormat="1" applyFont="1" applyBorder="1"/>
    <xf numFmtId="167" fontId="21" fillId="0" borderId="0" xfId="0" applyNumberFormat="1" applyFont="1" applyAlignment="1">
      <alignment horizontal="left" vertical="center" indent="1"/>
    </xf>
    <xf numFmtId="167" fontId="17" fillId="0" borderId="0" xfId="2" applyNumberFormat="1" applyFont="1" applyBorder="1"/>
    <xf numFmtId="180" fontId="35" fillId="21" borderId="0" xfId="0" applyNumberFormat="1" applyFont="1" applyFill="1"/>
    <xf numFmtId="43" fontId="129" fillId="2" borderId="25" xfId="1" applyFont="1" applyFill="1" applyBorder="1"/>
    <xf numFmtId="43" fontId="40" fillId="0" borderId="0" xfId="1" applyFont="1" applyFill="1" applyBorder="1" applyAlignment="1">
      <alignment horizontal="center" vertical="center"/>
    </xf>
    <xf numFmtId="167" fontId="62" fillId="0" borderId="0" xfId="13" applyNumberFormat="1" applyFont="1" applyAlignment="1">
      <alignment vertical="center"/>
    </xf>
    <xf numFmtId="186" fontId="2" fillId="0" borderId="0" xfId="13" applyNumberFormat="1"/>
    <xf numFmtId="0" fontId="16" fillId="20" borderId="0" xfId="0" applyFont="1" applyFill="1"/>
    <xf numFmtId="171" fontId="17" fillId="20" borderId="0" xfId="2" applyNumberFormat="1" applyFont="1" applyFill="1"/>
    <xf numFmtId="43" fontId="17" fillId="20" borderId="0" xfId="1" applyFont="1" applyFill="1"/>
    <xf numFmtId="43" fontId="40" fillId="20" borderId="0" xfId="1" applyFont="1" applyFill="1"/>
    <xf numFmtId="172" fontId="22" fillId="20" borderId="0" xfId="1" applyNumberFormat="1" applyFont="1" applyFill="1"/>
    <xf numFmtId="171" fontId="41" fillId="20" borderId="0" xfId="2" applyNumberFormat="1" applyFont="1" applyFill="1"/>
    <xf numFmtId="172" fontId="17" fillId="20" borderId="0" xfId="1" applyNumberFormat="1" applyFont="1" applyFill="1"/>
    <xf numFmtId="0" fontId="16" fillId="20" borderId="38" xfId="0" applyFont="1" applyFill="1" applyBorder="1"/>
    <xf numFmtId="0" fontId="0" fillId="20" borderId="0" xfId="0" applyFill="1" applyAlignment="1">
      <alignment horizontal="right"/>
    </xf>
    <xf numFmtId="0" fontId="0" fillId="20" borderId="0" xfId="0" applyFill="1"/>
    <xf numFmtId="171" fontId="29" fillId="20" borderId="0" xfId="2" applyNumberFormat="1" applyFont="1" applyFill="1"/>
    <xf numFmtId="171" fontId="29" fillId="20" borderId="0" xfId="2" applyNumberFormat="1" applyFont="1" applyFill="1" applyBorder="1"/>
    <xf numFmtId="167" fontId="17" fillId="20" borderId="0" xfId="1" applyNumberFormat="1" applyFont="1" applyFill="1"/>
    <xf numFmtId="171" fontId="83" fillId="20" borderId="0" xfId="2" applyNumberFormat="1" applyFont="1" applyFill="1"/>
    <xf numFmtId="0" fontId="21" fillId="20" borderId="0" xfId="0" applyFont="1" applyFill="1"/>
    <xf numFmtId="167" fontId="21" fillId="20" borderId="0" xfId="1" applyNumberFormat="1" applyFont="1" applyFill="1"/>
    <xf numFmtId="171" fontId="38" fillId="20" borderId="0" xfId="2" applyNumberFormat="1" applyFont="1" applyFill="1"/>
    <xf numFmtId="167" fontId="58" fillId="0" borderId="0" xfId="1" applyNumberFormat="1" applyFont="1" applyBorder="1"/>
    <xf numFmtId="168" fontId="17" fillId="19" borderId="0" xfId="0" applyNumberFormat="1" applyFont="1" applyFill="1"/>
    <xf numFmtId="0" fontId="29" fillId="19" borderId="0" xfId="0" applyFont="1" applyFill="1"/>
    <xf numFmtId="167" fontId="17" fillId="19" borderId="0" xfId="1" applyNumberFormat="1" applyFont="1" applyFill="1" applyBorder="1"/>
    <xf numFmtId="167" fontId="22" fillId="19" borderId="0" xfId="0" applyNumberFormat="1" applyFont="1" applyFill="1"/>
    <xf numFmtId="171" fontId="39" fillId="19" borderId="0" xfId="2" applyNumberFormat="1" applyFont="1" applyFill="1" applyBorder="1"/>
    <xf numFmtId="167" fontId="82" fillId="19" borderId="0" xfId="1" applyNumberFormat="1" applyFont="1" applyFill="1" applyBorder="1"/>
    <xf numFmtId="167" fontId="94" fillId="19" borderId="25" xfId="1" applyNumberFormat="1" applyFont="1" applyFill="1" applyBorder="1"/>
    <xf numFmtId="171" fontId="41" fillId="19" borderId="0" xfId="2" applyNumberFormat="1" applyFont="1" applyFill="1" applyBorder="1"/>
    <xf numFmtId="43" fontId="84" fillId="19" borderId="25" xfId="1" applyFont="1" applyFill="1" applyBorder="1"/>
    <xf numFmtId="43" fontId="22" fillId="19" borderId="25" xfId="1" applyFont="1" applyFill="1" applyBorder="1"/>
    <xf numFmtId="0" fontId="16" fillId="19" borderId="0" xfId="0" applyFont="1" applyFill="1"/>
    <xf numFmtId="172" fontId="22" fillId="19" borderId="0" xfId="1" applyNumberFormat="1" applyFont="1" applyFill="1"/>
    <xf numFmtId="0" fontId="0" fillId="19" borderId="0" xfId="0" applyFill="1" applyAlignment="1">
      <alignment horizontal="right"/>
    </xf>
    <xf numFmtId="172" fontId="58" fillId="19" borderId="0" xfId="1" applyNumberFormat="1" applyFont="1" applyFill="1"/>
    <xf numFmtId="43" fontId="17" fillId="19" borderId="0" xfId="1" applyFont="1" applyFill="1"/>
    <xf numFmtId="43" fontId="36" fillId="19" borderId="0" xfId="1" applyFont="1" applyFill="1"/>
    <xf numFmtId="0" fontId="17" fillId="19" borderId="39" xfId="0" applyFont="1" applyFill="1" applyBorder="1"/>
    <xf numFmtId="0" fontId="17" fillId="19" borderId="40" xfId="0" applyFont="1" applyFill="1" applyBorder="1"/>
    <xf numFmtId="0" fontId="22" fillId="19" borderId="40" xfId="0" applyFont="1" applyFill="1" applyBorder="1"/>
    <xf numFmtId="0" fontId="27" fillId="0" borderId="45" xfId="0" applyFont="1" applyBorder="1" applyAlignment="1">
      <alignment vertical="center"/>
    </xf>
    <xf numFmtId="167" fontId="37" fillId="0" borderId="45" xfId="1" applyNumberFormat="1" applyFont="1" applyBorder="1" applyAlignment="1">
      <alignment horizontal="center" vertical="center"/>
    </xf>
    <xf numFmtId="171" fontId="21" fillId="0" borderId="45" xfId="2" applyNumberFormat="1" applyFont="1" applyBorder="1" applyAlignment="1">
      <alignment horizontal="center" vertical="center"/>
    </xf>
    <xf numFmtId="171" fontId="21" fillId="0" borderId="45" xfId="2" applyNumberFormat="1" applyFont="1" applyFill="1" applyBorder="1" applyAlignment="1">
      <alignment horizontal="center" vertical="center"/>
    </xf>
    <xf numFmtId="167" fontId="23" fillId="0" borderId="45" xfId="1" applyNumberFormat="1" applyFont="1" applyFill="1" applyBorder="1" applyAlignment="1">
      <alignment horizontal="center" vertical="center"/>
    </xf>
    <xf numFmtId="169" fontId="25" fillId="0" borderId="45" xfId="2" applyNumberFormat="1" applyFont="1" applyFill="1" applyBorder="1" applyAlignment="1">
      <alignment horizontal="center" vertical="center"/>
    </xf>
    <xf numFmtId="0" fontId="17" fillId="0" borderId="45" xfId="0" applyFont="1" applyBorder="1"/>
    <xf numFmtId="167" fontId="94" fillId="20" borderId="25" xfId="1" applyNumberFormat="1" applyFont="1" applyFill="1" applyBorder="1"/>
    <xf numFmtId="0" fontId="23" fillId="0" borderId="40" xfId="0" applyFont="1" applyBorder="1" applyAlignment="1">
      <alignment horizontal="left" vertical="center" indent="1"/>
    </xf>
    <xf numFmtId="167" fontId="17" fillId="0" borderId="40" xfId="1" applyNumberFormat="1" applyFont="1" applyBorder="1"/>
    <xf numFmtId="167" fontId="41" fillId="0" borderId="40" xfId="1" applyNumberFormat="1" applyFont="1" applyBorder="1"/>
    <xf numFmtId="171" fontId="17" fillId="0" borderId="40" xfId="2" applyNumberFormat="1" applyFont="1" applyBorder="1"/>
    <xf numFmtId="167" fontId="58" fillId="0" borderId="40" xfId="1" applyNumberFormat="1" applyFont="1" applyBorder="1"/>
    <xf numFmtId="172" fontId="135" fillId="0" borderId="0" xfId="1" applyNumberFormat="1" applyFont="1" applyBorder="1"/>
    <xf numFmtId="167" fontId="22" fillId="0" borderId="44" xfId="0" applyNumberFormat="1" applyFont="1" applyBorder="1"/>
    <xf numFmtId="167" fontId="26" fillId="0" borderId="0" xfId="0" applyNumberFormat="1" applyFont="1" applyAlignment="1">
      <alignment horizontal="right" vertical="center" indent="1"/>
    </xf>
    <xf numFmtId="167" fontId="22" fillId="0" borderId="0" xfId="2" applyNumberFormat="1" applyFont="1" applyBorder="1"/>
    <xf numFmtId="167" fontId="35" fillId="0" borderId="0" xfId="1" applyNumberFormat="1" applyFont="1" applyBorder="1"/>
    <xf numFmtId="179" fontId="17" fillId="0" borderId="0" xfId="1" applyNumberFormat="1" applyFont="1" applyBorder="1"/>
    <xf numFmtId="171" fontId="80" fillId="0" borderId="0" xfId="2" applyNumberFormat="1" applyFont="1" applyFill="1" applyBorder="1"/>
    <xf numFmtId="9" fontId="80" fillId="0" borderId="0" xfId="2" applyFont="1" applyFill="1" applyBorder="1"/>
    <xf numFmtId="43" fontId="17" fillId="0" borderId="0" xfId="1" applyFont="1" applyFill="1" applyBorder="1"/>
    <xf numFmtId="167" fontId="23" fillId="0" borderId="0" xfId="1" applyNumberFormat="1" applyFont="1" applyFill="1" applyBorder="1" applyAlignment="1">
      <alignment horizontal="center" vertical="center" wrapText="1"/>
    </xf>
    <xf numFmtId="43" fontId="84" fillId="0" borderId="0" xfId="1" applyFont="1" applyFill="1" applyBorder="1"/>
    <xf numFmtId="167" fontId="84" fillId="0" borderId="0" xfId="1" applyNumberFormat="1" applyFont="1" applyFill="1" applyBorder="1"/>
    <xf numFmtId="171" fontId="17" fillId="0" borderId="0" xfId="2" applyNumberFormat="1" applyFont="1" applyFill="1" applyBorder="1"/>
    <xf numFmtId="172" fontId="22" fillId="0" borderId="0" xfId="1" applyNumberFormat="1" applyFont="1" applyFill="1" applyBorder="1"/>
    <xf numFmtId="171" fontId="22" fillId="0" borderId="0" xfId="2" applyNumberFormat="1" applyFont="1" applyFill="1" applyBorder="1"/>
    <xf numFmtId="43" fontId="97" fillId="0" borderId="0" xfId="1" applyFont="1" applyFill="1" applyBorder="1"/>
    <xf numFmtId="43" fontId="22" fillId="0" borderId="0" xfId="1" applyFont="1" applyFill="1" applyBorder="1"/>
    <xf numFmtId="167" fontId="22" fillId="0" borderId="0" xfId="1" applyNumberFormat="1" applyFont="1" applyFill="1" applyBorder="1"/>
    <xf numFmtId="167" fontId="41" fillId="0" borderId="0" xfId="1" applyNumberFormat="1" applyFont="1" applyFill="1" applyBorder="1"/>
    <xf numFmtId="167" fontId="17" fillId="0" borderId="0" xfId="2" applyNumberFormat="1" applyFont="1" applyFill="1" applyBorder="1"/>
    <xf numFmtId="167" fontId="22" fillId="0" borderId="0" xfId="2" applyNumberFormat="1" applyFont="1" applyFill="1" applyBorder="1"/>
    <xf numFmtId="174" fontId="49" fillId="0" borderId="0" xfId="1" applyNumberFormat="1" applyFont="1" applyFill="1" applyAlignment="1">
      <alignment vertical="center"/>
    </xf>
    <xf numFmtId="167" fontId="1" fillId="0" borderId="0" xfId="1" applyNumberFormat="1" applyFill="1" applyAlignment="1">
      <alignment horizontal="right" vertical="center"/>
    </xf>
    <xf numFmtId="167" fontId="31" fillId="0" borderId="0" xfId="0" applyNumberFormat="1" applyFont="1"/>
    <xf numFmtId="3" fontId="0" fillId="0" borderId="0" xfId="0" applyNumberFormat="1" applyAlignment="1">
      <alignment horizontal="center"/>
    </xf>
    <xf numFmtId="0" fontId="0" fillId="0" borderId="0" xfId="0" applyAlignment="1">
      <alignment horizontal="left"/>
    </xf>
    <xf numFmtId="172" fontId="0" fillId="0" borderId="0" xfId="1" applyNumberFormat="1" applyFont="1" applyAlignment="1">
      <alignment horizontal="center"/>
    </xf>
    <xf numFmtId="179" fontId="0" fillId="0" borderId="0" xfId="1" applyNumberFormat="1" applyFont="1" applyAlignment="1">
      <alignment horizontal="center"/>
    </xf>
    <xf numFmtId="172" fontId="0" fillId="0" borderId="0" xfId="1" applyNumberFormat="1" applyFont="1" applyFill="1"/>
    <xf numFmtId="179" fontId="0" fillId="0" borderId="0" xfId="1" applyNumberFormat="1" applyFont="1" applyFill="1"/>
    <xf numFmtId="179" fontId="0" fillId="0" borderId="0" xfId="1" applyNumberFormat="1" applyFont="1"/>
    <xf numFmtId="172" fontId="0" fillId="23" borderId="26" xfId="1" applyNumberFormat="1" applyFont="1" applyFill="1" applyBorder="1" applyAlignment="1">
      <alignment vertical="center"/>
    </xf>
    <xf numFmtId="179" fontId="0" fillId="23" borderId="26" xfId="1" applyNumberFormat="1" applyFont="1" applyFill="1" applyBorder="1" applyAlignment="1">
      <alignment vertical="center"/>
    </xf>
    <xf numFmtId="179" fontId="57" fillId="0" borderId="0" xfId="1" applyNumberFormat="1" applyFont="1"/>
    <xf numFmtId="167" fontId="0" fillId="0" borderId="24" xfId="0" applyNumberFormat="1" applyBorder="1"/>
    <xf numFmtId="167" fontId="16" fillId="0" borderId="23" xfId="1" applyNumberFormat="1" applyFont="1" applyBorder="1" applyAlignment="1">
      <alignment vertical="center"/>
    </xf>
    <xf numFmtId="167" fontId="0" fillId="0" borderId="25" xfId="0" applyNumberFormat="1" applyBorder="1"/>
    <xf numFmtId="167" fontId="0" fillId="0" borderId="25" xfId="1" applyNumberFormat="1" applyFont="1" applyBorder="1"/>
    <xf numFmtId="37" fontId="33" fillId="19" borderId="27" xfId="1" applyNumberFormat="1" applyFont="1" applyFill="1" applyBorder="1" applyAlignment="1">
      <alignment vertical="center"/>
    </xf>
    <xf numFmtId="39" fontId="34" fillId="19" borderId="0" xfId="1" applyNumberFormat="1" applyFont="1" applyFill="1"/>
    <xf numFmtId="14" fontId="0" fillId="0" borderId="0" xfId="0" applyNumberFormat="1"/>
    <xf numFmtId="10" fontId="0" fillId="0" borderId="0" xfId="0" applyNumberFormat="1" applyAlignment="1">
      <alignment horizontal="left"/>
    </xf>
    <xf numFmtId="179" fontId="16" fillId="0" borderId="0" xfId="0" applyNumberFormat="1" applyFont="1" applyAlignment="1">
      <alignment horizontal="center"/>
    </xf>
    <xf numFmtId="43" fontId="0" fillId="0" borderId="0" xfId="0" applyNumberFormat="1" applyAlignment="1">
      <alignment horizontal="center"/>
    </xf>
    <xf numFmtId="179" fontId="16" fillId="0" borderId="0" xfId="1" applyNumberFormat="1" applyFont="1" applyAlignment="1">
      <alignment horizontal="center"/>
    </xf>
    <xf numFmtId="37" fontId="16" fillId="0" borderId="26" xfId="1" applyNumberFormat="1" applyFont="1" applyBorder="1" applyAlignment="1">
      <alignment vertical="center"/>
    </xf>
    <xf numFmtId="171" fontId="16" fillId="0" borderId="0" xfId="2" applyNumberFormat="1" applyFont="1" applyAlignment="1">
      <alignment horizontal="left"/>
    </xf>
    <xf numFmtId="179" fontId="0" fillId="0" borderId="0" xfId="0" applyNumberFormat="1" applyAlignment="1">
      <alignment horizontal="center" vertical="center"/>
    </xf>
    <xf numFmtId="43" fontId="31" fillId="0" borderId="0" xfId="1" applyFont="1"/>
    <xf numFmtId="171" fontId="41" fillId="0" borderId="0" xfId="2" applyNumberFormat="1" applyFont="1" applyBorder="1"/>
    <xf numFmtId="172" fontId="40" fillId="21" borderId="0" xfId="1" applyNumberFormat="1" applyFont="1" applyFill="1" applyBorder="1"/>
    <xf numFmtId="171" fontId="41" fillId="19" borderId="0" xfId="2" applyNumberFormat="1" applyFont="1" applyFill="1"/>
    <xf numFmtId="10" fontId="136" fillId="19" borderId="0" xfId="2" applyNumberFormat="1" applyFont="1" applyFill="1" applyBorder="1"/>
    <xf numFmtId="43" fontId="21" fillId="19" borderId="0" xfId="1" applyFont="1" applyFill="1"/>
    <xf numFmtId="171" fontId="21" fillId="19" borderId="0" xfId="2" applyNumberFormat="1" applyFont="1" applyFill="1"/>
    <xf numFmtId="167" fontId="37" fillId="0" borderId="0" xfId="1" applyNumberFormat="1" applyFont="1" applyBorder="1"/>
    <xf numFmtId="43" fontId="37" fillId="0" borderId="0" xfId="1" applyFont="1" applyBorder="1"/>
    <xf numFmtId="0" fontId="17" fillId="19" borderId="43" xfId="0" applyFont="1" applyFill="1" applyBorder="1"/>
    <xf numFmtId="0" fontId="17" fillId="19" borderId="26" xfId="0" applyFont="1" applyFill="1" applyBorder="1"/>
    <xf numFmtId="168" fontId="17" fillId="19" borderId="26" xfId="0" applyNumberFormat="1" applyFont="1" applyFill="1" applyBorder="1"/>
    <xf numFmtId="171" fontId="29" fillId="19" borderId="26" xfId="2" applyNumberFormat="1" applyFont="1" applyFill="1" applyBorder="1"/>
    <xf numFmtId="0" fontId="29" fillId="19" borderId="26" xfId="0" applyFont="1" applyFill="1" applyBorder="1"/>
    <xf numFmtId="171" fontId="38" fillId="19" borderId="26" xfId="2" applyNumberFormat="1" applyFont="1" applyFill="1" applyBorder="1"/>
    <xf numFmtId="167" fontId="38" fillId="19" borderId="26" xfId="1" applyNumberFormat="1" applyFont="1" applyFill="1" applyBorder="1"/>
    <xf numFmtId="43" fontId="129" fillId="19" borderId="26" xfId="1" applyFont="1" applyFill="1" applyBorder="1"/>
    <xf numFmtId="171" fontId="96" fillId="19" borderId="26" xfId="2" applyNumberFormat="1" applyFont="1" applyFill="1" applyBorder="1"/>
    <xf numFmtId="167" fontId="94" fillId="19" borderId="26" xfId="1" applyNumberFormat="1" applyFont="1" applyFill="1" applyBorder="1"/>
    <xf numFmtId="43" fontId="94" fillId="19" borderId="26" xfId="1" applyFont="1" applyFill="1" applyBorder="1"/>
    <xf numFmtId="43" fontId="94" fillId="19" borderId="24" xfId="1" applyFont="1" applyFill="1" applyBorder="1"/>
    <xf numFmtId="171" fontId="94" fillId="19" borderId="26" xfId="2" applyNumberFormat="1" applyFont="1" applyFill="1" applyBorder="1"/>
    <xf numFmtId="167" fontId="94" fillId="19" borderId="24" xfId="1" applyNumberFormat="1" applyFont="1" applyFill="1" applyBorder="1"/>
    <xf numFmtId="172" fontId="37" fillId="20" borderId="40" xfId="1" applyNumberFormat="1" applyFont="1" applyFill="1" applyBorder="1"/>
    <xf numFmtId="172" fontId="22" fillId="20" borderId="40" xfId="1" applyNumberFormat="1" applyFont="1" applyFill="1" applyBorder="1"/>
    <xf numFmtId="172" fontId="37" fillId="20" borderId="47" xfId="1" applyNumberFormat="1" applyFont="1" applyFill="1" applyBorder="1"/>
    <xf numFmtId="172" fontId="17" fillId="20" borderId="26" xfId="1" applyNumberFormat="1" applyFont="1" applyFill="1" applyBorder="1"/>
    <xf numFmtId="172" fontId="17" fillId="20" borderId="0" xfId="1" applyNumberFormat="1" applyFont="1" applyFill="1" applyBorder="1"/>
    <xf numFmtId="43" fontId="129" fillId="20" borderId="26" xfId="1" applyFont="1" applyFill="1" applyBorder="1"/>
    <xf numFmtId="171" fontId="38" fillId="20" borderId="26" xfId="2" applyNumberFormat="1" applyFont="1" applyFill="1" applyBorder="1"/>
    <xf numFmtId="171" fontId="96" fillId="20" borderId="26" xfId="2" applyNumberFormat="1" applyFont="1" applyFill="1" applyBorder="1"/>
    <xf numFmtId="43" fontId="82" fillId="20" borderId="26" xfId="2" applyNumberFormat="1" applyFont="1" applyFill="1" applyBorder="1"/>
    <xf numFmtId="167" fontId="129" fillId="20" borderId="26" xfId="1" applyNumberFormat="1" applyFont="1" applyFill="1" applyBorder="1"/>
    <xf numFmtId="167" fontId="94" fillId="20" borderId="26" xfId="1" applyNumberFormat="1" applyFont="1" applyFill="1" applyBorder="1"/>
    <xf numFmtId="43" fontId="94" fillId="20" borderId="26" xfId="1" applyFont="1" applyFill="1" applyBorder="1"/>
    <xf numFmtId="167" fontId="94" fillId="20" borderId="24" xfId="1" applyNumberFormat="1" applyFont="1" applyFill="1" applyBorder="1"/>
    <xf numFmtId="171" fontId="94" fillId="20" borderId="26" xfId="2" applyNumberFormat="1" applyFont="1" applyFill="1" applyBorder="1"/>
    <xf numFmtId="10" fontId="108" fillId="20" borderId="26" xfId="2" applyNumberFormat="1" applyFont="1" applyFill="1" applyBorder="1"/>
    <xf numFmtId="172" fontId="37" fillId="21" borderId="0" xfId="1" applyNumberFormat="1" applyFont="1" applyFill="1" applyBorder="1"/>
    <xf numFmtId="171" fontId="40" fillId="21" borderId="0" xfId="2" applyNumberFormat="1" applyFont="1" applyFill="1" applyBorder="1"/>
    <xf numFmtId="43" fontId="38" fillId="20" borderId="0" xfId="1" applyFont="1" applyFill="1" applyBorder="1"/>
    <xf numFmtId="43" fontId="38" fillId="20" borderId="26" xfId="1" applyFont="1" applyFill="1" applyBorder="1"/>
    <xf numFmtId="172" fontId="35" fillId="20" borderId="40" xfId="1" applyNumberFormat="1" applyFont="1" applyFill="1" applyBorder="1"/>
    <xf numFmtId="172" fontId="23" fillId="20" borderId="40" xfId="1" applyNumberFormat="1" applyFont="1" applyFill="1" applyBorder="1"/>
    <xf numFmtId="172" fontId="22" fillId="20" borderId="39" xfId="0" applyNumberFormat="1" applyFont="1" applyFill="1" applyBorder="1"/>
    <xf numFmtId="172" fontId="16" fillId="20" borderId="40" xfId="0" applyNumberFormat="1" applyFont="1" applyFill="1" applyBorder="1"/>
    <xf numFmtId="172" fontId="22" fillId="20" borderId="40" xfId="0" applyNumberFormat="1" applyFont="1" applyFill="1" applyBorder="1"/>
    <xf numFmtId="0" fontId="0" fillId="31" borderId="0" xfId="0" applyFill="1"/>
    <xf numFmtId="10" fontId="27" fillId="31" borderId="0" xfId="2" applyNumberFormat="1" applyFont="1" applyFill="1"/>
    <xf numFmtId="171" fontId="120" fillId="31" borderId="0" xfId="2" applyNumberFormat="1" applyFont="1" applyFill="1"/>
    <xf numFmtId="0" fontId="16" fillId="31" borderId="0" xfId="0" applyFont="1" applyFill="1"/>
    <xf numFmtId="174" fontId="49" fillId="31" borderId="0" xfId="1" applyNumberFormat="1" applyFont="1" applyFill="1" applyAlignment="1">
      <alignment vertical="center"/>
    </xf>
    <xf numFmtId="167" fontId="1" fillId="31" borderId="0" xfId="1" applyNumberFormat="1" applyFill="1" applyAlignment="1">
      <alignment horizontal="right" vertical="center"/>
    </xf>
    <xf numFmtId="37" fontId="49" fillId="31" borderId="0" xfId="1" applyNumberFormat="1" applyFont="1" applyFill="1" applyAlignment="1">
      <alignment vertical="center"/>
    </xf>
    <xf numFmtId="167" fontId="0" fillId="31" borderId="0" xfId="0" applyNumberFormat="1" applyFill="1"/>
    <xf numFmtId="167" fontId="31" fillId="31" borderId="0" xfId="0" applyNumberFormat="1" applyFont="1" applyFill="1"/>
    <xf numFmtId="167" fontId="16" fillId="31" borderId="0" xfId="0" applyNumberFormat="1" applyFont="1" applyFill="1"/>
    <xf numFmtId="167" fontId="104" fillId="31" borderId="0" xfId="0" applyNumberFormat="1" applyFont="1" applyFill="1"/>
    <xf numFmtId="0" fontId="79" fillId="31" borderId="0" xfId="0" applyFont="1" applyFill="1"/>
    <xf numFmtId="0" fontId="50" fillId="31" borderId="0" xfId="0" applyFont="1" applyFill="1"/>
    <xf numFmtId="43" fontId="16" fillId="31" borderId="0" xfId="1" applyFont="1" applyFill="1"/>
    <xf numFmtId="0" fontId="34" fillId="31" borderId="0" xfId="0" applyFont="1" applyFill="1"/>
    <xf numFmtId="0" fontId="81" fillId="31" borderId="0" xfId="0" applyFont="1" applyFill="1"/>
    <xf numFmtId="179" fontId="0" fillId="31" borderId="0" xfId="1" applyNumberFormat="1" applyFont="1" applyFill="1"/>
    <xf numFmtId="172" fontId="0" fillId="31" borderId="0" xfId="1" applyNumberFormat="1" applyFont="1" applyFill="1"/>
    <xf numFmtId="167" fontId="0" fillId="31" borderId="25" xfId="0" applyNumberFormat="1" applyFill="1" applyBorder="1"/>
    <xf numFmtId="0" fontId="105" fillId="31" borderId="0" xfId="1" applyNumberFormat="1" applyFont="1" applyFill="1" applyAlignment="1">
      <alignment horizontal="right" vertical="center"/>
    </xf>
    <xf numFmtId="171" fontId="105" fillId="0" borderId="26" xfId="2" applyNumberFormat="1" applyFont="1" applyBorder="1" applyAlignment="1">
      <alignment horizontal="right" vertical="center"/>
    </xf>
    <xf numFmtId="171" fontId="16" fillId="0" borderId="0" xfId="2" applyNumberFormat="1" applyFont="1" applyAlignment="1">
      <alignment horizontal="right"/>
    </xf>
    <xf numFmtId="171" fontId="116" fillId="0" borderId="0" xfId="2" applyNumberFormat="1" applyFont="1" applyAlignment="1">
      <alignment horizontal="right"/>
    </xf>
    <xf numFmtId="171" fontId="16" fillId="0" borderId="0" xfId="2" applyNumberFormat="1" applyFont="1" applyFill="1"/>
    <xf numFmtId="174" fontId="16" fillId="0" borderId="26" xfId="1" applyNumberFormat="1" applyFont="1" applyBorder="1" applyAlignment="1">
      <alignment horizontal="right" vertical="center"/>
    </xf>
    <xf numFmtId="39" fontId="137" fillId="0" borderId="0" xfId="0" applyNumberFormat="1" applyFont="1"/>
    <xf numFmtId="167" fontId="37" fillId="0" borderId="50" xfId="1" applyNumberFormat="1" applyFont="1" applyFill="1" applyBorder="1" applyAlignment="1">
      <alignment horizontal="center" vertical="center"/>
    </xf>
    <xf numFmtId="167" fontId="37" fillId="0" borderId="51" xfId="1" applyNumberFormat="1" applyFont="1" applyFill="1" applyBorder="1" applyAlignment="1">
      <alignment horizontal="center" vertical="center"/>
    </xf>
    <xf numFmtId="171" fontId="21" fillId="0" borderId="26" xfId="2" applyNumberFormat="1" applyFont="1" applyFill="1" applyBorder="1" applyAlignment="1">
      <alignment horizontal="center" vertical="center"/>
    </xf>
    <xf numFmtId="43" fontId="21" fillId="0" borderId="26" xfId="1" applyFont="1" applyFill="1" applyBorder="1" applyAlignment="1">
      <alignment horizontal="center" vertical="center"/>
    </xf>
    <xf numFmtId="171" fontId="21" fillId="0" borderId="26" xfId="2" applyNumberFormat="1" applyFont="1" applyBorder="1" applyAlignment="1">
      <alignment horizontal="center" vertical="center"/>
    </xf>
    <xf numFmtId="171" fontId="21" fillId="0" borderId="0" xfId="2" applyNumberFormat="1" applyFont="1" applyBorder="1" applyAlignment="1">
      <alignment horizontal="center" vertical="center"/>
    </xf>
    <xf numFmtId="167" fontId="37" fillId="0" borderId="31" xfId="1" applyNumberFormat="1" applyFont="1" applyFill="1" applyBorder="1" applyAlignment="1">
      <alignment horizontal="center" vertical="center"/>
    </xf>
    <xf numFmtId="167" fontId="37" fillId="0" borderId="29" xfId="1" applyNumberFormat="1" applyFont="1" applyFill="1" applyBorder="1" applyAlignment="1">
      <alignment horizontal="center" vertical="center"/>
    </xf>
    <xf numFmtId="169" fontId="25" fillId="11" borderId="0" xfId="2" applyNumberFormat="1" applyFont="1" applyFill="1" applyBorder="1" applyAlignment="1">
      <alignment horizontal="center" vertical="center"/>
    </xf>
    <xf numFmtId="167" fontId="21" fillId="11" borderId="0" xfId="1" applyNumberFormat="1" applyFont="1" applyFill="1" applyBorder="1" applyAlignment="1">
      <alignment horizontal="center" vertical="center"/>
    </xf>
    <xf numFmtId="171" fontId="21" fillId="11" borderId="0" xfId="2" applyNumberFormat="1" applyFont="1" applyFill="1" applyBorder="1" applyAlignment="1">
      <alignment horizontal="center" vertical="center"/>
    </xf>
    <xf numFmtId="0" fontId="22" fillId="2" borderId="0" xfId="0" applyFont="1" applyFill="1" applyAlignment="1">
      <alignment wrapText="1"/>
    </xf>
    <xf numFmtId="0" fontId="37" fillId="2" borderId="0" xfId="0" applyFont="1" applyFill="1"/>
    <xf numFmtId="171" fontId="17" fillId="2" borderId="0" xfId="2" applyNumberFormat="1" applyFont="1" applyFill="1"/>
    <xf numFmtId="0" fontId="17" fillId="20" borderId="45" xfId="0" applyFont="1" applyFill="1" applyBorder="1"/>
    <xf numFmtId="172" fontId="22" fillId="20" borderId="48" xfId="0" applyNumberFormat="1" applyFont="1" applyFill="1" applyBorder="1"/>
    <xf numFmtId="0" fontId="17" fillId="20" borderId="26" xfId="0" applyFont="1" applyFill="1" applyBorder="1"/>
    <xf numFmtId="167" fontId="17" fillId="20" borderId="0" xfId="1" applyNumberFormat="1" applyFont="1" applyFill="1" applyBorder="1"/>
    <xf numFmtId="171" fontId="29" fillId="20" borderId="26" xfId="2" applyNumberFormat="1" applyFont="1" applyFill="1" applyBorder="1"/>
    <xf numFmtId="43" fontId="17" fillId="20" borderId="26" xfId="1" applyFont="1" applyFill="1" applyBorder="1"/>
    <xf numFmtId="171" fontId="17" fillId="20" borderId="0" xfId="2" applyNumberFormat="1" applyFont="1" applyFill="1" applyBorder="1"/>
    <xf numFmtId="0" fontId="37" fillId="2" borderId="26" xfId="0" applyFont="1" applyFill="1" applyBorder="1"/>
    <xf numFmtId="0" fontId="17" fillId="20" borderId="31" xfId="0" applyFont="1" applyFill="1" applyBorder="1"/>
    <xf numFmtId="0" fontId="17" fillId="20" borderId="29" xfId="0" applyFont="1" applyFill="1" applyBorder="1"/>
    <xf numFmtId="3" fontId="50" fillId="0" borderId="0" xfId="0" applyNumberFormat="1" applyFont="1" applyAlignment="1">
      <alignment horizontal="center"/>
    </xf>
    <xf numFmtId="0" fontId="50" fillId="0" borderId="0" xfId="0" applyFont="1" applyAlignment="1">
      <alignment horizontal="center"/>
    </xf>
    <xf numFmtId="179" fontId="50" fillId="0" borderId="0" xfId="1" applyNumberFormat="1" applyFont="1" applyAlignment="1">
      <alignment horizontal="center"/>
    </xf>
    <xf numFmtId="172" fontId="50" fillId="0" borderId="0" xfId="1" applyNumberFormat="1" applyFont="1" applyAlignment="1">
      <alignment horizontal="center"/>
    </xf>
    <xf numFmtId="3" fontId="50" fillId="0" borderId="0" xfId="0" applyNumberFormat="1" applyFont="1" applyAlignment="1">
      <alignment horizontal="center" vertical="center"/>
    </xf>
    <xf numFmtId="3" fontId="50" fillId="23" borderId="0" xfId="0" applyNumberFormat="1" applyFont="1" applyFill="1" applyAlignment="1">
      <alignment horizontal="center" vertical="center"/>
    </xf>
    <xf numFmtId="0" fontId="50" fillId="0" borderId="0" xfId="0" applyFont="1" applyAlignment="1">
      <alignment horizontal="center" vertical="center"/>
    </xf>
    <xf numFmtId="3" fontId="31" fillId="0" borderId="0" xfId="0" applyNumberFormat="1" applyFont="1" applyAlignment="1">
      <alignment horizontal="center"/>
    </xf>
    <xf numFmtId="171" fontId="138" fillId="0" borderId="0" xfId="2" applyNumberFormat="1" applyFont="1" applyFill="1" applyBorder="1" applyAlignment="1">
      <alignment horizontal="center" vertical="center"/>
    </xf>
    <xf numFmtId="0" fontId="16" fillId="11" borderId="0" xfId="0" applyFont="1" applyFill="1" applyAlignment="1">
      <alignment vertical="center"/>
    </xf>
    <xf numFmtId="0" fontId="16" fillId="11" borderId="0" xfId="0" applyFont="1" applyFill="1"/>
    <xf numFmtId="171" fontId="29" fillId="0" borderId="0" xfId="2" applyNumberFormat="1" applyFont="1" applyAlignment="1">
      <alignment horizontal="center"/>
    </xf>
    <xf numFmtId="165" fontId="0" fillId="0" borderId="0" xfId="0" applyNumberFormat="1" applyAlignment="1">
      <alignment horizontal="center"/>
    </xf>
    <xf numFmtId="171" fontId="15" fillId="0" borderId="0" xfId="2" applyNumberFormat="1" applyFont="1"/>
    <xf numFmtId="39" fontId="31" fillId="9" borderId="26" xfId="0" applyNumberFormat="1" applyFont="1" applyFill="1" applyBorder="1" applyAlignment="1">
      <alignment vertical="center"/>
    </xf>
    <xf numFmtId="39" fontId="31" fillId="0" borderId="0" xfId="1" applyNumberFormat="1" applyFont="1"/>
    <xf numFmtId="39" fontId="0" fillId="31" borderId="0" xfId="0" applyNumberFormat="1" applyFill="1"/>
    <xf numFmtId="37" fontId="79" fillId="17" borderId="0" xfId="0" applyNumberFormat="1" applyFont="1" applyFill="1"/>
    <xf numFmtId="37" fontId="79" fillId="17" borderId="0" xfId="1" applyNumberFormat="1" applyFont="1" applyFill="1"/>
    <xf numFmtId="37" fontId="34" fillId="17" borderId="0" xfId="0" applyNumberFormat="1" applyFont="1" applyFill="1"/>
    <xf numFmtId="37" fontId="33" fillId="17" borderId="0" xfId="1" applyNumberFormat="1" applyFont="1" applyFill="1"/>
    <xf numFmtId="37" fontId="79" fillId="0" borderId="0" xfId="0" applyNumberFormat="1" applyFont="1"/>
    <xf numFmtId="37" fontId="79" fillId="31" borderId="0" xfId="0" applyNumberFormat="1" applyFont="1" applyFill="1"/>
    <xf numFmtId="37" fontId="33" fillId="17" borderId="0" xfId="0" applyNumberFormat="1" applyFont="1" applyFill="1"/>
    <xf numFmtId="37" fontId="34" fillId="17" borderId="0" xfId="1" applyNumberFormat="1" applyFont="1" applyFill="1"/>
    <xf numFmtId="0" fontId="139" fillId="0" borderId="0" xfId="0" applyFont="1" applyAlignment="1">
      <alignment horizontal="right"/>
    </xf>
    <xf numFmtId="174" fontId="139" fillId="0" borderId="26" xfId="1" applyNumberFormat="1" applyFont="1" applyBorder="1" applyAlignment="1">
      <alignment horizontal="right" vertical="center"/>
    </xf>
    <xf numFmtId="167" fontId="139" fillId="0" borderId="0" xfId="0" applyNumberFormat="1" applyFont="1" applyAlignment="1">
      <alignment horizontal="right"/>
    </xf>
    <xf numFmtId="167" fontId="139" fillId="0" borderId="0" xfId="1" applyNumberFormat="1" applyFont="1" applyAlignment="1">
      <alignment horizontal="right"/>
    </xf>
    <xf numFmtId="10" fontId="140" fillId="31" borderId="0" xfId="2" applyNumberFormat="1" applyFont="1" applyFill="1" applyAlignment="1">
      <alignment horizontal="right"/>
    </xf>
    <xf numFmtId="171" fontId="139" fillId="0" borderId="0" xfId="2" applyNumberFormat="1" applyFont="1" applyFill="1" applyAlignment="1">
      <alignment horizontal="right"/>
    </xf>
    <xf numFmtId="171" fontId="139" fillId="0" borderId="26" xfId="2" applyNumberFormat="1" applyFont="1" applyBorder="1" applyAlignment="1">
      <alignment horizontal="right" vertical="center"/>
    </xf>
    <xf numFmtId="171" fontId="139" fillId="0" borderId="0" xfId="2" applyNumberFormat="1" applyFont="1" applyAlignment="1">
      <alignment horizontal="right"/>
    </xf>
    <xf numFmtId="171" fontId="141" fillId="31" borderId="0" xfId="2" applyNumberFormat="1" applyFont="1" applyFill="1" applyAlignment="1">
      <alignment horizontal="right"/>
    </xf>
    <xf numFmtId="171" fontId="139" fillId="0" borderId="0" xfId="2" applyNumberFormat="1" applyFont="1" applyFill="1"/>
    <xf numFmtId="171" fontId="141" fillId="31" borderId="0" xfId="2" applyNumberFormat="1" applyFont="1" applyFill="1"/>
    <xf numFmtId="171" fontId="139" fillId="0" borderId="0" xfId="2" applyNumberFormat="1" applyFont="1"/>
    <xf numFmtId="165" fontId="16" fillId="11" borderId="0" xfId="0" applyNumberFormat="1" applyFont="1" applyFill="1"/>
    <xf numFmtId="0" fontId="0" fillId="11" borderId="0" xfId="0" applyFill="1"/>
    <xf numFmtId="37" fontId="32" fillId="9" borderId="0" xfId="1" applyNumberFormat="1" applyFont="1" applyFill="1" applyAlignment="1">
      <alignment horizontal="right" vertical="center"/>
    </xf>
    <xf numFmtId="37" fontId="16" fillId="0" borderId="0" xfId="0" applyNumberFormat="1" applyFont="1"/>
    <xf numFmtId="37" fontId="16" fillId="31" borderId="0" xfId="0" applyNumberFormat="1" applyFont="1" applyFill="1"/>
    <xf numFmtId="37" fontId="16" fillId="9" borderId="0" xfId="1" applyNumberFormat="1" applyFont="1" applyFill="1" applyAlignment="1">
      <alignment horizontal="right" vertical="center"/>
    </xf>
    <xf numFmtId="39" fontId="16" fillId="0" borderId="0" xfId="0" applyNumberFormat="1" applyFont="1"/>
    <xf numFmtId="39" fontId="16" fillId="0" borderId="26" xfId="1" applyNumberFormat="1" applyFont="1" applyBorder="1" applyAlignment="1">
      <alignment vertical="center"/>
    </xf>
    <xf numFmtId="39" fontId="32" fillId="9" borderId="0" xfId="1" applyNumberFormat="1" applyFont="1" applyFill="1" applyAlignment="1">
      <alignment horizontal="right" vertical="center"/>
    </xf>
    <xf numFmtId="39" fontId="16" fillId="31" borderId="0" xfId="0" applyNumberFormat="1" applyFont="1" applyFill="1"/>
    <xf numFmtId="39" fontId="16" fillId="9" borderId="0" xfId="1" applyNumberFormat="1" applyFont="1" applyFill="1" applyAlignment="1">
      <alignment horizontal="right" vertical="center"/>
    </xf>
    <xf numFmtId="171" fontId="0" fillId="0" borderId="0" xfId="2" applyNumberFormat="1" applyFont="1" applyFill="1"/>
    <xf numFmtId="3" fontId="15" fillId="0" borderId="0" xfId="0" applyNumberFormat="1" applyFont="1" applyAlignment="1">
      <alignment horizontal="center" vertical="center"/>
    </xf>
    <xf numFmtId="3" fontId="15" fillId="23" borderId="0" xfId="0" applyNumberFormat="1" applyFont="1" applyFill="1" applyAlignment="1">
      <alignment horizontal="center" vertical="center"/>
    </xf>
    <xf numFmtId="0" fontId="15" fillId="0" borderId="0" xfId="0" applyFont="1" applyAlignment="1">
      <alignment horizontal="center" vertical="center"/>
    </xf>
    <xf numFmtId="43" fontId="0" fillId="0" borderId="0" xfId="1" applyFont="1" applyAlignment="1">
      <alignment horizontal="center" vertical="center"/>
    </xf>
    <xf numFmtId="0" fontId="81" fillId="11" borderId="0" xfId="0" applyFont="1" applyFill="1"/>
    <xf numFmtId="0" fontId="34" fillId="11" borderId="0" xfId="0" applyFont="1" applyFill="1"/>
    <xf numFmtId="10" fontId="0" fillId="11" borderId="0" xfId="0" applyNumberFormat="1" applyFill="1"/>
    <xf numFmtId="171" fontId="17" fillId="20" borderId="47" xfId="2" applyNumberFormat="1" applyFont="1" applyFill="1" applyBorder="1"/>
    <xf numFmtId="171" fontId="17" fillId="20" borderId="45" xfId="2" applyNumberFormat="1" applyFont="1" applyFill="1" applyBorder="1"/>
    <xf numFmtId="172" fontId="36" fillId="19" borderId="0" xfId="1" applyNumberFormat="1" applyFont="1" applyFill="1"/>
    <xf numFmtId="43" fontId="106" fillId="0" borderId="0" xfId="1" applyFont="1"/>
    <xf numFmtId="0" fontId="16" fillId="30" borderId="0" xfId="0" applyFont="1" applyFill="1"/>
    <xf numFmtId="165" fontId="16" fillId="30" borderId="0" xfId="0" applyNumberFormat="1" applyFont="1" applyFill="1"/>
    <xf numFmtId="167" fontId="79" fillId="17" borderId="0" xfId="1" applyNumberFormat="1" applyFont="1" applyFill="1"/>
    <xf numFmtId="43" fontId="58" fillId="0" borderId="0" xfId="1" applyFont="1" applyBorder="1"/>
    <xf numFmtId="43" fontId="35" fillId="0" borderId="0" xfId="1" applyFont="1" applyBorder="1"/>
    <xf numFmtId="171" fontId="36" fillId="0" borderId="0" xfId="2" applyNumberFormat="1" applyFont="1" applyBorder="1"/>
    <xf numFmtId="171" fontId="36" fillId="0" borderId="0" xfId="2" applyNumberFormat="1" applyFont="1" applyFill="1" applyBorder="1"/>
    <xf numFmtId="39" fontId="142" fillId="0" borderId="0" xfId="0" applyNumberFormat="1" applyFont="1"/>
    <xf numFmtId="167" fontId="137" fillId="0" borderId="0" xfId="0" applyNumberFormat="1" applyFont="1"/>
    <xf numFmtId="167" fontId="142" fillId="0" borderId="0" xfId="0" applyNumberFormat="1" applyFont="1"/>
    <xf numFmtId="171" fontId="0" fillId="0" borderId="0" xfId="2" applyNumberFormat="1" applyFont="1" applyAlignment="1">
      <alignment horizontal="center"/>
    </xf>
    <xf numFmtId="10" fontId="0" fillId="0" borderId="0" xfId="2" applyNumberFormat="1" applyFont="1" applyAlignment="1">
      <alignment horizontal="center"/>
    </xf>
    <xf numFmtId="164" fontId="0" fillId="0" borderId="0" xfId="0" applyNumberFormat="1"/>
    <xf numFmtId="10" fontId="0" fillId="0" borderId="0" xfId="0" applyNumberFormat="1" applyAlignment="1">
      <alignment horizontal="center"/>
    </xf>
    <xf numFmtId="164" fontId="0" fillId="0" borderId="0" xfId="0" applyNumberFormat="1" applyAlignment="1">
      <alignment horizontal="center"/>
    </xf>
    <xf numFmtId="43" fontId="0" fillId="0" borderId="0" xfId="1" applyFont="1" applyAlignment="1">
      <alignment horizontal="center"/>
    </xf>
    <xf numFmtId="0" fontId="41" fillId="0" borderId="38" xfId="0" applyFont="1" applyBorder="1" applyAlignment="1">
      <alignment wrapText="1"/>
    </xf>
    <xf numFmtId="0" fontId="36" fillId="0" borderId="0" xfId="0" applyFont="1"/>
    <xf numFmtId="172" fontId="25" fillId="0" borderId="0" xfId="1" applyNumberFormat="1" applyFont="1" applyFill="1" applyBorder="1" applyAlignment="1">
      <alignment horizontal="center" vertical="center"/>
    </xf>
    <xf numFmtId="10" fontId="80" fillId="20" borderId="0" xfId="2" applyNumberFormat="1" applyFont="1" applyFill="1"/>
    <xf numFmtId="171" fontId="0" fillId="20" borderId="0" xfId="2" applyNumberFormat="1" applyFont="1" applyFill="1" applyAlignment="1">
      <alignment horizontal="right"/>
    </xf>
    <xf numFmtId="171" fontId="22" fillId="20" borderId="26" xfId="2" applyNumberFormat="1" applyFont="1" applyFill="1" applyBorder="1"/>
    <xf numFmtId="9" fontId="21" fillId="0" borderId="0" xfId="2" applyFont="1" applyAlignment="1">
      <alignment horizontal="center" vertical="center"/>
    </xf>
    <xf numFmtId="165" fontId="80" fillId="11" borderId="0" xfId="0" applyNumberFormat="1" applyFont="1" applyFill="1"/>
    <xf numFmtId="37" fontId="16" fillId="11" borderId="27" xfId="1" applyNumberFormat="1" applyFont="1" applyFill="1" applyBorder="1" applyAlignment="1">
      <alignment vertical="center"/>
    </xf>
    <xf numFmtId="171" fontId="95" fillId="20" borderId="0" xfId="0" applyNumberFormat="1" applyFont="1" applyFill="1"/>
    <xf numFmtId="168" fontId="22" fillId="21" borderId="0" xfId="0" applyNumberFormat="1" applyFont="1" applyFill="1"/>
    <xf numFmtId="168" fontId="37" fillId="21" borderId="0" xfId="0" applyNumberFormat="1" applyFont="1" applyFill="1"/>
    <xf numFmtId="168" fontId="58" fillId="21" borderId="0" xfId="0" applyNumberFormat="1" applyFont="1" applyFill="1"/>
    <xf numFmtId="167" fontId="32" fillId="0" borderId="0" xfId="1" applyNumberFormat="1" applyFont="1" applyAlignment="1">
      <alignment horizontal="right"/>
    </xf>
    <xf numFmtId="167" fontId="32" fillId="0" borderId="26" xfId="0" applyNumberFormat="1" applyFont="1" applyBorder="1" applyAlignment="1">
      <alignment vertical="center"/>
    </xf>
    <xf numFmtId="167" fontId="31" fillId="0" borderId="26" xfId="0" applyNumberFormat="1" applyFont="1" applyBorder="1" applyAlignment="1">
      <alignment vertical="center"/>
    </xf>
    <xf numFmtId="0" fontId="0" fillId="2" borderId="0" xfId="0" applyFill="1"/>
    <xf numFmtId="165" fontId="0" fillId="2" borderId="0" xfId="0" applyNumberFormat="1" applyFill="1"/>
    <xf numFmtId="0" fontId="0" fillId="17" borderId="0" xfId="0" applyFill="1"/>
    <xf numFmtId="171" fontId="0" fillId="26" borderId="0" xfId="2" applyNumberFormat="1" applyFont="1" applyFill="1" applyAlignment="1">
      <alignment horizontal="right"/>
    </xf>
    <xf numFmtId="171" fontId="0" fillId="0" borderId="0" xfId="2" applyNumberFormat="1" applyFont="1" applyFill="1" applyAlignment="1">
      <alignment horizontal="right"/>
    </xf>
    <xf numFmtId="0" fontId="0" fillId="26" borderId="0" xfId="0" applyFill="1" applyAlignment="1">
      <alignment horizontal="right"/>
    </xf>
    <xf numFmtId="10" fontId="15" fillId="0" borderId="0" xfId="2" applyNumberFormat="1" applyFont="1" applyAlignment="1">
      <alignment horizontal="right"/>
    </xf>
    <xf numFmtId="0" fontId="16" fillId="2" borderId="0" xfId="0" applyFont="1" applyFill="1"/>
    <xf numFmtId="0" fontId="16" fillId="2" borderId="0" xfId="0" applyFont="1" applyFill="1" applyAlignment="1">
      <alignment horizontal="center"/>
    </xf>
    <xf numFmtId="171" fontId="16" fillId="2" borderId="0" xfId="2" applyNumberFormat="1" applyFont="1" applyFill="1" applyAlignment="1">
      <alignment horizontal="right"/>
    </xf>
    <xf numFmtId="171" fontId="16" fillId="0" borderId="0" xfId="2" applyNumberFormat="1" applyFont="1" applyFill="1" applyAlignment="1">
      <alignment horizontal="right"/>
    </xf>
    <xf numFmtId="10" fontId="125" fillId="2" borderId="0" xfId="2" applyNumberFormat="1" applyFont="1" applyFill="1" applyAlignment="1">
      <alignment horizontal="right"/>
    </xf>
    <xf numFmtId="179" fontId="0" fillId="17" borderId="0" xfId="1" applyNumberFormat="1" applyFont="1" applyFill="1"/>
    <xf numFmtId="179" fontId="0" fillId="11" borderId="0" xfId="1" applyNumberFormat="1" applyFont="1" applyFill="1"/>
    <xf numFmtId="10" fontId="0" fillId="26" borderId="0" xfId="2" applyNumberFormat="1" applyFont="1" applyFill="1" applyAlignment="1">
      <alignment horizontal="right"/>
    </xf>
    <xf numFmtId="171" fontId="27" fillId="17" borderId="0" xfId="2" applyNumberFormat="1" applyFont="1" applyFill="1"/>
    <xf numFmtId="171" fontId="27" fillId="26" borderId="0" xfId="2" applyNumberFormat="1" applyFont="1" applyFill="1" applyAlignment="1">
      <alignment horizontal="right"/>
    </xf>
    <xf numFmtId="171" fontId="27" fillId="0" borderId="0" xfId="2" applyNumberFormat="1" applyFont="1" applyFill="1" applyAlignment="1">
      <alignment horizontal="right"/>
    </xf>
    <xf numFmtId="10" fontId="86" fillId="0" borderId="0" xfId="2" applyNumberFormat="1" applyFont="1" applyAlignment="1">
      <alignment horizontal="right"/>
    </xf>
    <xf numFmtId="171" fontId="17" fillId="26" borderId="0" xfId="2" applyNumberFormat="1" applyFont="1" applyFill="1" applyAlignment="1">
      <alignment horizontal="right"/>
    </xf>
    <xf numFmtId="171" fontId="17" fillId="0" borderId="0" xfId="2" applyNumberFormat="1" applyFont="1" applyFill="1" applyAlignment="1">
      <alignment horizontal="right"/>
    </xf>
    <xf numFmtId="10" fontId="15" fillId="2" borderId="0" xfId="2" applyNumberFormat="1" applyFont="1" applyFill="1" applyAlignment="1">
      <alignment horizontal="right"/>
    </xf>
    <xf numFmtId="166" fontId="102" fillId="0" borderId="0" xfId="4" applyFont="1" applyAlignment="1">
      <alignment horizontal="right" vertical="center" wrapText="1"/>
    </xf>
    <xf numFmtId="169" fontId="143" fillId="0" borderId="0" xfId="2" applyNumberFormat="1" applyFont="1" applyFill="1" applyBorder="1" applyAlignment="1">
      <alignment horizontal="center" vertical="center"/>
    </xf>
    <xf numFmtId="172" fontId="86" fillId="0" borderId="0" xfId="1" applyNumberFormat="1" applyFont="1" applyFill="1" applyBorder="1" applyAlignment="1">
      <alignment horizontal="center" vertical="center"/>
    </xf>
    <xf numFmtId="37" fontId="106" fillId="0" borderId="0" xfId="1" applyNumberFormat="1" applyFont="1"/>
    <xf numFmtId="171" fontId="136" fillId="19" borderId="0" xfId="2" applyNumberFormat="1" applyFont="1" applyFill="1" applyBorder="1"/>
    <xf numFmtId="171" fontId="36" fillId="19" borderId="0" xfId="2" applyNumberFormat="1" applyFont="1" applyFill="1"/>
    <xf numFmtId="167" fontId="22" fillId="0" borderId="24" xfId="0" applyNumberFormat="1" applyFont="1" applyBorder="1"/>
    <xf numFmtId="0" fontId="26" fillId="0" borderId="25" xfId="0" applyFont="1" applyBorder="1" applyAlignment="1">
      <alignment horizontal="right" vertical="center" indent="1"/>
    </xf>
    <xf numFmtId="167" fontId="22" fillId="0" borderId="25" xfId="2" applyNumberFormat="1" applyFont="1" applyBorder="1"/>
    <xf numFmtId="171" fontId="56" fillId="0" borderId="0" xfId="12" applyNumberFormat="1" applyFont="1"/>
    <xf numFmtId="165" fontId="0" fillId="33" borderId="0" xfId="0" applyNumberFormat="1" applyFill="1" applyAlignment="1">
      <alignment horizontal="right"/>
    </xf>
    <xf numFmtId="174" fontId="0" fillId="0" borderId="0" xfId="13" applyNumberFormat="1" applyFont="1"/>
    <xf numFmtId="174" fontId="0" fillId="33" borderId="0" xfId="0" applyNumberFormat="1" applyFill="1" applyAlignment="1">
      <alignment horizontal="right"/>
    </xf>
    <xf numFmtId="0" fontId="0" fillId="33" borderId="0" xfId="0" applyFill="1" applyAlignment="1">
      <alignment horizontal="right"/>
    </xf>
    <xf numFmtId="0" fontId="2" fillId="0" borderId="0" xfId="0" applyFont="1"/>
    <xf numFmtId="17" fontId="16" fillId="0" borderId="0" xfId="0" applyNumberFormat="1" applyFont="1" applyAlignment="1">
      <alignment horizontal="right"/>
    </xf>
    <xf numFmtId="0" fontId="16" fillId="0" borderId="0" xfId="0" applyFont="1" applyAlignment="1">
      <alignment horizontal="right"/>
    </xf>
    <xf numFmtId="0" fontId="2" fillId="33" borderId="0" xfId="0" applyFont="1" applyFill="1" applyAlignment="1">
      <alignment horizontal="right"/>
    </xf>
    <xf numFmtId="171" fontId="0" fillId="33" borderId="0" xfId="12" applyNumberFormat="1" applyFont="1" applyFill="1" applyAlignment="1">
      <alignment horizontal="right"/>
    </xf>
    <xf numFmtId="9" fontId="0" fillId="33" borderId="0" xfId="0" applyNumberFormat="1" applyFill="1" applyAlignment="1">
      <alignment horizontal="right"/>
    </xf>
    <xf numFmtId="9" fontId="0" fillId="33" borderId="0" xfId="12" applyFont="1" applyFill="1" applyAlignment="1">
      <alignment horizontal="right"/>
    </xf>
    <xf numFmtId="179" fontId="50" fillId="0" borderId="0" xfId="1" applyNumberFormat="1" applyFont="1"/>
    <xf numFmtId="172" fontId="50" fillId="0" borderId="0" xfId="1" applyNumberFormat="1" applyFont="1"/>
    <xf numFmtId="167" fontId="88" fillId="0" borderId="0" xfId="0" applyNumberFormat="1" applyFont="1"/>
    <xf numFmtId="167" fontId="89" fillId="0" borderId="0" xfId="0" applyNumberFormat="1" applyFont="1"/>
    <xf numFmtId="39" fontId="144" fillId="0" borderId="0" xfId="0" applyNumberFormat="1" applyFont="1" applyAlignment="1">
      <alignment horizontal="right"/>
    </xf>
    <xf numFmtId="171" fontId="82" fillId="20" borderId="0" xfId="2" applyNumberFormat="1" applyFont="1" applyFill="1" applyBorder="1"/>
    <xf numFmtId="179" fontId="22" fillId="2" borderId="0" xfId="0" applyNumberFormat="1" applyFont="1" applyFill="1"/>
    <xf numFmtId="43" fontId="28" fillId="2" borderId="0" xfId="1" applyFont="1" applyFill="1" applyBorder="1"/>
    <xf numFmtId="172" fontId="28" fillId="2" borderId="0" xfId="1" applyNumberFormat="1" applyFont="1" applyFill="1" applyBorder="1"/>
    <xf numFmtId="172" fontId="78" fillId="2" borderId="0" xfId="1" applyNumberFormat="1" applyFont="1" applyFill="1" applyBorder="1"/>
    <xf numFmtId="174" fontId="21" fillId="0" borderId="26" xfId="1" applyNumberFormat="1" applyFont="1" applyBorder="1" applyAlignment="1">
      <alignment vertical="center"/>
    </xf>
    <xf numFmtId="171" fontId="84" fillId="20" borderId="0" xfId="0" applyNumberFormat="1" applyFont="1" applyFill="1"/>
    <xf numFmtId="184" fontId="0" fillId="0" borderId="0" xfId="0" applyNumberFormat="1"/>
    <xf numFmtId="167" fontId="1" fillId="11" borderId="0" xfId="1" applyNumberFormat="1" applyFill="1" applyAlignment="1">
      <alignment horizontal="right" vertical="center"/>
    </xf>
    <xf numFmtId="167" fontId="57" fillId="11" borderId="0" xfId="1" applyNumberFormat="1" applyFont="1" applyFill="1" applyAlignment="1">
      <alignment horizontal="right" vertical="center"/>
    </xf>
    <xf numFmtId="174" fontId="31" fillId="0" borderId="26" xfId="1" applyNumberFormat="1" applyFont="1" applyFill="1" applyBorder="1" applyAlignment="1">
      <alignment vertical="center"/>
    </xf>
    <xf numFmtId="174" fontId="0" fillId="19" borderId="26" xfId="1" applyNumberFormat="1" applyFont="1" applyFill="1" applyBorder="1" applyAlignment="1">
      <alignment vertical="center"/>
    </xf>
    <xf numFmtId="167" fontId="31" fillId="19" borderId="0" xfId="1" applyNumberFormat="1" applyFont="1" applyFill="1" applyAlignment="1">
      <alignment horizontal="right" vertical="center"/>
    </xf>
    <xf numFmtId="167" fontId="50" fillId="19" borderId="0" xfId="1" applyNumberFormat="1" applyFont="1" applyFill="1" applyAlignment="1">
      <alignment horizontal="right" vertical="center"/>
    </xf>
    <xf numFmtId="167" fontId="0" fillId="19" borderId="0" xfId="0" applyNumberFormat="1" applyFill="1"/>
    <xf numFmtId="167" fontId="57" fillId="19" borderId="0" xfId="1" applyNumberFormat="1" applyFont="1" applyFill="1" applyAlignment="1">
      <alignment horizontal="right" vertical="center"/>
    </xf>
    <xf numFmtId="167" fontId="1" fillId="19" borderId="0" xfId="1" applyNumberFormat="1" applyFill="1" applyAlignment="1">
      <alignment horizontal="right" vertical="center"/>
    </xf>
    <xf numFmtId="0" fontId="0" fillId="19" borderId="0" xfId="0" applyFill="1"/>
    <xf numFmtId="167" fontId="15" fillId="19" borderId="0" xfId="1" applyNumberFormat="1" applyFont="1" applyFill="1" applyAlignment="1">
      <alignment horizontal="right" vertical="center"/>
    </xf>
    <xf numFmtId="167" fontId="145" fillId="19" borderId="0" xfId="1" applyNumberFormat="1" applyFont="1" applyFill="1" applyAlignment="1">
      <alignment horizontal="right" vertical="center"/>
    </xf>
    <xf numFmtId="174" fontId="16" fillId="19" borderId="26" xfId="1" applyNumberFormat="1" applyFont="1" applyFill="1" applyBorder="1" applyAlignment="1">
      <alignment vertical="center"/>
    </xf>
    <xf numFmtId="167" fontId="32" fillId="19" borderId="0" xfId="1" applyNumberFormat="1" applyFont="1" applyFill="1" applyAlignment="1">
      <alignment horizontal="right" vertical="center"/>
    </xf>
    <xf numFmtId="167" fontId="16" fillId="19" borderId="0" xfId="0" applyNumberFormat="1" applyFont="1" applyFill="1"/>
    <xf numFmtId="167" fontId="116" fillId="19" borderId="0" xfId="1" applyNumberFormat="1" applyFont="1" applyFill="1" applyAlignment="1">
      <alignment horizontal="right" vertical="center"/>
    </xf>
    <xf numFmtId="167" fontId="16" fillId="19" borderId="0" xfId="1" applyNumberFormat="1" applyFont="1" applyFill="1" applyAlignment="1">
      <alignment horizontal="right" vertical="center"/>
    </xf>
    <xf numFmtId="37" fontId="0" fillId="19" borderId="26" xfId="0" applyNumberFormat="1" applyFill="1" applyBorder="1" applyAlignment="1">
      <alignment vertical="center"/>
    </xf>
    <xf numFmtId="167" fontId="50" fillId="19" borderId="0" xfId="1" applyNumberFormat="1" applyFont="1" applyFill="1"/>
    <xf numFmtId="0" fontId="146" fillId="19" borderId="26" xfId="0" applyFont="1" applyFill="1" applyBorder="1" applyAlignment="1">
      <alignment horizontal="left" indent="1"/>
    </xf>
    <xf numFmtId="37" fontId="16" fillId="19" borderId="26" xfId="0" applyNumberFormat="1" applyFont="1" applyFill="1" applyBorder="1" applyAlignment="1">
      <alignment vertical="center"/>
    </xf>
    <xf numFmtId="0" fontId="147" fillId="19" borderId="0" xfId="0" applyFont="1" applyFill="1" applyAlignment="1">
      <alignment horizontal="right"/>
    </xf>
    <xf numFmtId="167" fontId="147" fillId="19" borderId="0" xfId="0" applyNumberFormat="1" applyFont="1" applyFill="1" applyAlignment="1">
      <alignment horizontal="right"/>
    </xf>
    <xf numFmtId="171" fontId="147" fillId="19" borderId="0" xfId="2" applyNumberFormat="1" applyFont="1" applyFill="1" applyAlignment="1">
      <alignment horizontal="right"/>
    </xf>
    <xf numFmtId="37" fontId="148" fillId="19" borderId="26" xfId="0" applyNumberFormat="1" applyFont="1" applyFill="1" applyBorder="1" applyAlignment="1">
      <alignment horizontal="right" vertical="center"/>
    </xf>
    <xf numFmtId="179" fontId="28" fillId="0" borderId="0" xfId="1" applyNumberFormat="1" applyFont="1"/>
    <xf numFmtId="179" fontId="28" fillId="2" borderId="0" xfId="1" applyNumberFormat="1" applyFont="1" applyFill="1" applyBorder="1"/>
    <xf numFmtId="165" fontId="58" fillId="2" borderId="0" xfId="0" applyNumberFormat="1" applyFont="1" applyFill="1"/>
    <xf numFmtId="171" fontId="17" fillId="20" borderId="27" xfId="2" applyNumberFormat="1" applyFont="1" applyFill="1" applyBorder="1"/>
    <xf numFmtId="172" fontId="17" fillId="20" borderId="27" xfId="1" applyNumberFormat="1" applyFont="1" applyFill="1" applyBorder="1"/>
    <xf numFmtId="43" fontId="22" fillId="20" borderId="27" xfId="1" applyFont="1" applyFill="1" applyBorder="1"/>
    <xf numFmtId="171" fontId="38" fillId="20" borderId="27" xfId="2" applyNumberFormat="1" applyFont="1" applyFill="1" applyBorder="1"/>
    <xf numFmtId="171" fontId="96" fillId="20" borderId="27" xfId="2" applyNumberFormat="1" applyFont="1" applyFill="1" applyBorder="1"/>
    <xf numFmtId="10" fontId="82" fillId="20" borderId="27" xfId="2" applyNumberFormat="1" applyFont="1" applyFill="1" applyBorder="1"/>
    <xf numFmtId="167" fontId="22" fillId="20" borderId="27" xfId="1" applyNumberFormat="1" applyFont="1" applyFill="1" applyBorder="1"/>
    <xf numFmtId="171" fontId="94" fillId="20" borderId="27" xfId="2" applyNumberFormat="1" applyFont="1" applyFill="1" applyBorder="1"/>
    <xf numFmtId="43" fontId="17" fillId="20" borderId="27" xfId="1" applyFont="1" applyFill="1" applyBorder="1"/>
    <xf numFmtId="10" fontId="108" fillId="20" borderId="27" xfId="2" applyNumberFormat="1" applyFont="1" applyFill="1" applyBorder="1"/>
    <xf numFmtId="179" fontId="22" fillId="21" borderId="0" xfId="1" applyNumberFormat="1" applyFont="1" applyFill="1"/>
    <xf numFmtId="172" fontId="17" fillId="20" borderId="39" xfId="1" applyNumberFormat="1" applyFont="1" applyFill="1" applyBorder="1"/>
    <xf numFmtId="172" fontId="16" fillId="20" borderId="40" xfId="1" applyNumberFormat="1" applyFont="1" applyFill="1" applyBorder="1"/>
    <xf numFmtId="172" fontId="17" fillId="20" borderId="40" xfId="1" applyNumberFormat="1" applyFont="1" applyFill="1" applyBorder="1"/>
    <xf numFmtId="172" fontId="17" fillId="20" borderId="45" xfId="1" applyNumberFormat="1" applyFont="1" applyFill="1" applyBorder="1"/>
    <xf numFmtId="172" fontId="36" fillId="20" borderId="45" xfId="1" applyNumberFormat="1" applyFont="1" applyFill="1" applyBorder="1"/>
    <xf numFmtId="172" fontId="40" fillId="20" borderId="40" xfId="1" applyNumberFormat="1" applyFont="1" applyFill="1" applyBorder="1"/>
    <xf numFmtId="179" fontId="22" fillId="19" borderId="0" xfId="1" applyNumberFormat="1" applyFont="1" applyFill="1"/>
    <xf numFmtId="179" fontId="82" fillId="19" borderId="0" xfId="1" applyNumberFormat="1" applyFont="1" applyFill="1"/>
    <xf numFmtId="179" fontId="94" fillId="19" borderId="0" xfId="1" applyNumberFormat="1" applyFont="1" applyFill="1"/>
    <xf numFmtId="171" fontId="23" fillId="19" borderId="0" xfId="2" applyNumberFormat="1" applyFont="1" applyFill="1" applyBorder="1"/>
    <xf numFmtId="171" fontId="115" fillId="19" borderId="0" xfId="2" applyNumberFormat="1" applyFont="1" applyFill="1"/>
    <xf numFmtId="165" fontId="17" fillId="19" borderId="0" xfId="0" applyNumberFormat="1" applyFont="1" applyFill="1"/>
    <xf numFmtId="167" fontId="106" fillId="0" borderId="0" xfId="1" applyNumberFormat="1" applyFont="1" applyAlignment="1">
      <alignment horizontal="right"/>
    </xf>
    <xf numFmtId="167" fontId="31" fillId="0" borderId="0" xfId="0" applyNumberFormat="1" applyFont="1" applyAlignment="1">
      <alignment horizontal="right"/>
    </xf>
    <xf numFmtId="167" fontId="40" fillId="11" borderId="0" xfId="1" applyNumberFormat="1" applyFont="1" applyFill="1" applyBorder="1" applyAlignment="1">
      <alignment horizontal="center" vertical="center"/>
    </xf>
    <xf numFmtId="0" fontId="63" fillId="9" borderId="0" xfId="11" applyFont="1" applyFill="1"/>
    <xf numFmtId="10" fontId="63" fillId="3" borderId="0" xfId="2" applyNumberFormat="1" applyFont="1" applyFill="1" applyBorder="1"/>
    <xf numFmtId="10" fontId="133" fillId="3" borderId="0" xfId="2" applyNumberFormat="1" applyFont="1" applyFill="1" applyBorder="1"/>
    <xf numFmtId="10" fontId="63" fillId="3" borderId="0" xfId="12" applyNumberFormat="1" applyFont="1" applyFill="1" applyBorder="1"/>
    <xf numFmtId="10" fontId="133" fillId="3" borderId="0" xfId="12" applyNumberFormat="1" applyFont="1" applyFill="1" applyBorder="1"/>
    <xf numFmtId="10" fontId="64" fillId="3" borderId="0" xfId="12" applyNumberFormat="1" applyFont="1" applyFill="1" applyBorder="1"/>
    <xf numFmtId="10" fontId="65" fillId="9" borderId="0" xfId="2" applyNumberFormat="1" applyFont="1" applyFill="1" applyBorder="1"/>
    <xf numFmtId="165" fontId="64" fillId="3" borderId="23" xfId="13" applyFont="1" applyFill="1" applyBorder="1"/>
    <xf numFmtId="10" fontId="64" fillId="3" borderId="23" xfId="2" applyNumberFormat="1" applyFont="1" applyFill="1" applyBorder="1"/>
    <xf numFmtId="0" fontId="23" fillId="9" borderId="30" xfId="14" applyFont="1" applyFill="1" applyBorder="1"/>
    <xf numFmtId="0" fontId="23" fillId="9" borderId="28" xfId="14" applyFont="1" applyFill="1" applyBorder="1"/>
    <xf numFmtId="0" fontId="21" fillId="9" borderId="28" xfId="14" applyFont="1" applyFill="1" applyBorder="1"/>
    <xf numFmtId="14" fontId="21" fillId="9" borderId="28" xfId="14" applyNumberFormat="1" applyFont="1" applyFill="1" applyBorder="1"/>
    <xf numFmtId="174" fontId="23" fillId="9" borderId="28" xfId="13" applyNumberFormat="1" applyFont="1" applyFill="1" applyBorder="1"/>
    <xf numFmtId="0" fontId="35" fillId="9" borderId="28" xfId="14" applyFont="1" applyFill="1" applyBorder="1"/>
    <xf numFmtId="165" fontId="35" fillId="9" borderId="28" xfId="14" applyNumberFormat="1" applyFont="1" applyFill="1" applyBorder="1"/>
    <xf numFmtId="174" fontId="23" fillId="9" borderId="0" xfId="13" applyNumberFormat="1" applyFont="1" applyFill="1" applyBorder="1"/>
    <xf numFmtId="174" fontId="23" fillId="0" borderId="0" xfId="13" applyNumberFormat="1" applyFont="1"/>
    <xf numFmtId="0" fontId="21" fillId="9" borderId="0" xfId="14" applyFont="1" applyFill="1"/>
    <xf numFmtId="37" fontId="149" fillId="12" borderId="26" xfId="13" applyNumberFormat="1" applyFont="1" applyFill="1" applyBorder="1" applyAlignment="1">
      <alignment vertical="center"/>
    </xf>
    <xf numFmtId="0" fontId="149" fillId="12" borderId="0" xfId="13" applyNumberFormat="1" applyFont="1" applyFill="1" applyBorder="1" applyAlignment="1">
      <alignment horizontal="center" vertical="center"/>
    </xf>
    <xf numFmtId="17" fontId="149" fillId="0" borderId="0" xfId="13" applyNumberFormat="1" applyFont="1" applyAlignment="1">
      <alignment horizontal="center" vertical="center"/>
    </xf>
    <xf numFmtId="37" fontId="150" fillId="9" borderId="0" xfId="13" applyNumberFormat="1" applyFont="1" applyFill="1" applyAlignment="1">
      <alignment vertical="center"/>
    </xf>
    <xf numFmtId="37" fontId="23" fillId="9" borderId="30" xfId="14" applyNumberFormat="1" applyFont="1" applyFill="1" applyBorder="1"/>
    <xf numFmtId="171" fontId="21" fillId="0" borderId="0" xfId="12" applyNumberFormat="1" applyFont="1"/>
    <xf numFmtId="0" fontId="41" fillId="9" borderId="0" xfId="14" applyFont="1" applyFill="1"/>
    <xf numFmtId="0" fontId="23" fillId="9" borderId="0" xfId="14" applyFont="1" applyFill="1"/>
    <xf numFmtId="37" fontId="21" fillId="9" borderId="26" xfId="14" applyNumberFormat="1" applyFont="1" applyFill="1" applyBorder="1"/>
    <xf numFmtId="171" fontId="21" fillId="9" borderId="0" xfId="12" applyNumberFormat="1" applyFont="1" applyFill="1" applyBorder="1"/>
    <xf numFmtId="171" fontId="23" fillId="0" borderId="0" xfId="12" applyNumberFormat="1" applyFont="1"/>
    <xf numFmtId="9" fontId="41" fillId="9" borderId="0" xfId="14" applyNumberFormat="1" applyFont="1" applyFill="1"/>
    <xf numFmtId="179" fontId="23" fillId="9" borderId="0" xfId="1" applyNumberFormat="1" applyFont="1" applyFill="1" applyBorder="1"/>
    <xf numFmtId="171" fontId="21" fillId="9" borderId="0" xfId="2" applyNumberFormat="1" applyFont="1" applyFill="1" applyBorder="1"/>
    <xf numFmtId="179" fontId="21" fillId="9" borderId="0" xfId="1" applyNumberFormat="1" applyFont="1" applyFill="1" applyBorder="1"/>
    <xf numFmtId="37" fontId="23" fillId="9" borderId="26" xfId="14" applyNumberFormat="1" applyFont="1" applyFill="1" applyBorder="1"/>
    <xf numFmtId="0" fontId="35" fillId="9" borderId="0" xfId="14" applyFont="1" applyFill="1"/>
    <xf numFmtId="174" fontId="21" fillId="9" borderId="0" xfId="13" applyNumberFormat="1" applyFont="1" applyFill="1" applyBorder="1"/>
    <xf numFmtId="174" fontId="21" fillId="0" borderId="0" xfId="13" applyNumberFormat="1" applyFont="1"/>
    <xf numFmtId="0" fontId="23" fillId="11" borderId="0" xfId="14" applyFont="1" applyFill="1" applyAlignment="1">
      <alignment horizontal="center"/>
    </xf>
    <xf numFmtId="171" fontId="41" fillId="0" borderId="0" xfId="12" applyNumberFormat="1" applyFont="1"/>
    <xf numFmtId="179" fontId="41" fillId="9" borderId="0" xfId="1" applyNumberFormat="1" applyFont="1" applyFill="1"/>
    <xf numFmtId="179" fontId="21" fillId="9" borderId="0" xfId="14" applyNumberFormat="1" applyFont="1" applyFill="1"/>
    <xf numFmtId="171" fontId="35" fillId="0" borderId="0" xfId="12" applyNumberFormat="1" applyFont="1"/>
    <xf numFmtId="9" fontId="35" fillId="9" borderId="0" xfId="14" applyNumberFormat="1" applyFont="1" applyFill="1"/>
    <xf numFmtId="179" fontId="21" fillId="9" borderId="0" xfId="1" applyNumberFormat="1" applyFont="1" applyFill="1"/>
    <xf numFmtId="0" fontId="23" fillId="0" borderId="0" xfId="14" applyFont="1"/>
    <xf numFmtId="165" fontId="23" fillId="0" borderId="0" xfId="13" applyFont="1"/>
    <xf numFmtId="179" fontId="23" fillId="9" borderId="0" xfId="1" applyNumberFormat="1" applyFont="1" applyFill="1"/>
    <xf numFmtId="0" fontId="21" fillId="0" borderId="0" xfId="14" applyFont="1"/>
    <xf numFmtId="171" fontId="23" fillId="9" borderId="0" xfId="12" applyNumberFormat="1" applyFont="1" applyFill="1" applyBorder="1"/>
    <xf numFmtId="174" fontId="23" fillId="0" borderId="0" xfId="13" applyNumberFormat="1" applyFont="1" applyAlignment="1">
      <alignment horizontal="center"/>
    </xf>
    <xf numFmtId="0" fontId="23" fillId="9" borderId="0" xfId="14" applyFont="1" applyFill="1" applyAlignment="1">
      <alignment horizontal="center"/>
    </xf>
    <xf numFmtId="2" fontId="21" fillId="9" borderId="0" xfId="14" applyNumberFormat="1" applyFont="1" applyFill="1"/>
    <xf numFmtId="0" fontId="21" fillId="0" borderId="0" xfId="13" applyNumberFormat="1" applyFont="1" applyAlignment="1">
      <alignment horizontal="left"/>
    </xf>
    <xf numFmtId="165" fontId="21" fillId="0" borderId="0" xfId="13" applyFont="1"/>
    <xf numFmtId="165" fontId="21" fillId="9" borderId="0" xfId="14" applyNumberFormat="1" applyFont="1" applyFill="1"/>
    <xf numFmtId="37" fontId="151" fillId="9" borderId="26" xfId="14" applyNumberFormat="1" applyFont="1" applyFill="1" applyBorder="1"/>
    <xf numFmtId="171" fontId="151" fillId="9" borderId="0" xfId="12" applyNumberFormat="1" applyFont="1" applyFill="1" applyBorder="1"/>
    <xf numFmtId="171" fontId="151" fillId="0" borderId="0" xfId="12" applyNumberFormat="1" applyFont="1"/>
    <xf numFmtId="165" fontId="41" fillId="0" borderId="0" xfId="13" applyFont="1"/>
    <xf numFmtId="0" fontId="152" fillId="9" borderId="0" xfId="14" applyFont="1" applyFill="1"/>
    <xf numFmtId="0" fontId="23" fillId="0" borderId="0" xfId="13" applyNumberFormat="1" applyFont="1" applyAlignment="1">
      <alignment horizontal="left"/>
    </xf>
    <xf numFmtId="172" fontId="23" fillId="9" borderId="0" xfId="1" applyNumberFormat="1" applyFont="1" applyFill="1"/>
    <xf numFmtId="165" fontId="152" fillId="9" borderId="0" xfId="14" applyNumberFormat="1" applyFont="1" applyFill="1"/>
    <xf numFmtId="43" fontId="21" fillId="9" borderId="0" xfId="1" applyFont="1" applyFill="1"/>
    <xf numFmtId="37" fontId="25" fillId="9" borderId="26" xfId="14" applyNumberFormat="1" applyFont="1" applyFill="1" applyBorder="1"/>
    <xf numFmtId="37" fontId="25" fillId="9" borderId="0" xfId="2" applyNumberFormat="1" applyFont="1" applyFill="1" applyBorder="1"/>
    <xf numFmtId="37" fontId="25" fillId="9" borderId="0" xfId="1" applyNumberFormat="1" applyFont="1" applyFill="1" applyBorder="1"/>
    <xf numFmtId="37" fontId="25" fillId="0" borderId="0" xfId="13" applyNumberFormat="1" applyFont="1"/>
    <xf numFmtId="37" fontId="25" fillId="9" borderId="0" xfId="14" applyNumberFormat="1" applyFont="1" applyFill="1"/>
    <xf numFmtId="165" fontId="23" fillId="9" borderId="0" xfId="14" applyNumberFormat="1" applyFont="1" applyFill="1"/>
    <xf numFmtId="43" fontId="23" fillId="9" borderId="0" xfId="1" applyFont="1" applyFill="1"/>
    <xf numFmtId="37" fontId="25" fillId="0" borderId="0" xfId="13" applyNumberFormat="1" applyFont="1" applyAlignment="1">
      <alignment horizontal="left"/>
    </xf>
    <xf numFmtId="37" fontId="26" fillId="9" borderId="0" xfId="14" applyNumberFormat="1" applyFont="1" applyFill="1"/>
    <xf numFmtId="37" fontId="26" fillId="9" borderId="0" xfId="1" applyNumberFormat="1" applyFont="1" applyFill="1"/>
    <xf numFmtId="168" fontId="23" fillId="9" borderId="0" xfId="13" applyNumberFormat="1" applyFont="1" applyFill="1" applyBorder="1"/>
    <xf numFmtId="174" fontId="23" fillId="0" borderId="0" xfId="14" applyNumberFormat="1" applyFont="1"/>
    <xf numFmtId="0" fontId="153" fillId="9" borderId="0" xfId="14" applyFont="1" applyFill="1"/>
    <xf numFmtId="172" fontId="21" fillId="9" borderId="0" xfId="1" applyNumberFormat="1" applyFont="1" applyFill="1"/>
    <xf numFmtId="0" fontId="23" fillId="11" borderId="0" xfId="14" applyFont="1" applyFill="1"/>
    <xf numFmtId="0" fontId="153" fillId="0" borderId="0" xfId="14" applyFont="1"/>
    <xf numFmtId="171" fontId="23" fillId="11" borderId="0" xfId="2" applyNumberFormat="1" applyFont="1" applyFill="1" applyBorder="1"/>
    <xf numFmtId="174" fontId="23" fillId="9" borderId="0" xfId="14" applyNumberFormat="1" applyFont="1" applyFill="1"/>
    <xf numFmtId="179" fontId="21" fillId="19" borderId="0" xfId="1" applyNumberFormat="1" applyFont="1" applyFill="1" applyBorder="1"/>
    <xf numFmtId="0" fontId="21" fillId="19" borderId="0" xfId="14" applyFont="1" applyFill="1"/>
    <xf numFmtId="174" fontId="23" fillId="19" borderId="0" xfId="14" applyNumberFormat="1" applyFont="1" applyFill="1"/>
    <xf numFmtId="165" fontId="23" fillId="19" borderId="0" xfId="14" applyNumberFormat="1" applyFont="1" applyFill="1"/>
    <xf numFmtId="179" fontId="23" fillId="19" borderId="0" xfId="1" applyNumberFormat="1" applyFont="1" applyFill="1"/>
    <xf numFmtId="37" fontId="21" fillId="9" borderId="0" xfId="13" applyNumberFormat="1" applyFont="1" applyFill="1" applyAlignment="1">
      <alignment vertical="center"/>
    </xf>
    <xf numFmtId="0" fontId="153" fillId="0" borderId="0" xfId="13" applyNumberFormat="1" applyFont="1"/>
    <xf numFmtId="0" fontId="151" fillId="9" borderId="26" xfId="14" applyFont="1" applyFill="1" applyBorder="1"/>
    <xf numFmtId="0" fontId="154" fillId="9" borderId="0" xfId="14" applyFont="1" applyFill="1"/>
    <xf numFmtId="43" fontId="151" fillId="9" borderId="0" xfId="1" applyFont="1" applyFill="1" applyBorder="1"/>
    <xf numFmtId="0" fontId="151" fillId="0" borderId="26" xfId="14" applyFont="1" applyBorder="1"/>
    <xf numFmtId="174" fontId="23" fillId="0" borderId="0" xfId="13" applyNumberFormat="1" applyFont="1" applyAlignment="1">
      <alignment horizontal="center" vertical="center"/>
    </xf>
    <xf numFmtId="37" fontId="21" fillId="0" borderId="0" xfId="13" applyNumberFormat="1" applyFont="1" applyAlignment="1">
      <alignment vertical="center"/>
    </xf>
    <xf numFmtId="167" fontId="151" fillId="9" borderId="0" xfId="1" applyNumberFormat="1" applyFont="1" applyFill="1" applyBorder="1"/>
    <xf numFmtId="174" fontId="23" fillId="0" borderId="0" xfId="13" applyNumberFormat="1" applyFont="1" applyAlignment="1">
      <alignment horizontal="left" vertical="center"/>
    </xf>
    <xf numFmtId="174" fontId="21" fillId="0" borderId="0" xfId="13" applyNumberFormat="1" applyFont="1" applyAlignment="1">
      <alignment horizontal="center" vertical="center"/>
    </xf>
    <xf numFmtId="179" fontId="153" fillId="0" borderId="0" xfId="1" applyNumberFormat="1" applyFont="1"/>
    <xf numFmtId="168" fontId="23" fillId="0" borderId="0" xfId="13" applyNumberFormat="1" applyFont="1" applyAlignment="1">
      <alignment horizontal="center" vertical="center"/>
    </xf>
    <xf numFmtId="165" fontId="21" fillId="0" borderId="0" xfId="13" applyFont="1" applyAlignment="1">
      <alignment horizontal="center" vertical="center"/>
    </xf>
    <xf numFmtId="37" fontId="23" fillId="0" borderId="30" xfId="13" applyNumberFormat="1" applyFont="1" applyBorder="1" applyAlignment="1">
      <alignment vertical="center"/>
    </xf>
    <xf numFmtId="174" fontId="35" fillId="0" borderId="28" xfId="13" applyNumberFormat="1" applyFont="1" applyBorder="1" applyAlignment="1">
      <alignment horizontal="center" vertical="center"/>
    </xf>
    <xf numFmtId="174" fontId="23" fillId="0" borderId="28" xfId="13" applyNumberFormat="1" applyFont="1" applyBorder="1" applyAlignment="1">
      <alignment horizontal="center" vertical="center"/>
    </xf>
    <xf numFmtId="37" fontId="21" fillId="0" borderId="26" xfId="13" applyNumberFormat="1" applyFont="1" applyBorder="1" applyAlignment="1">
      <alignment vertical="center"/>
    </xf>
    <xf numFmtId="174" fontId="21" fillId="0" borderId="0" xfId="13" applyNumberFormat="1" applyFont="1" applyBorder="1" applyAlignment="1">
      <alignment horizontal="center" vertical="center"/>
    </xf>
    <xf numFmtId="168" fontId="21" fillId="0" borderId="0" xfId="13" applyNumberFormat="1" applyFont="1"/>
    <xf numFmtId="168" fontId="23" fillId="0" borderId="0" xfId="13" applyNumberFormat="1" applyFont="1"/>
    <xf numFmtId="37" fontId="23" fillId="0" borderId="26" xfId="13" applyNumberFormat="1" applyFont="1" applyBorder="1" applyAlignment="1">
      <alignment vertical="center"/>
    </xf>
    <xf numFmtId="174" fontId="23" fillId="0" borderId="0" xfId="13" applyNumberFormat="1" applyFont="1" applyBorder="1" applyAlignment="1">
      <alignment horizontal="center" vertical="center"/>
    </xf>
    <xf numFmtId="165" fontId="23" fillId="0" borderId="0" xfId="13" applyFont="1" applyBorder="1" applyAlignment="1">
      <alignment horizontal="center" vertical="center"/>
    </xf>
    <xf numFmtId="165" fontId="23" fillId="0" borderId="0" xfId="13" applyFont="1" applyAlignment="1">
      <alignment horizontal="center" vertical="center"/>
    </xf>
    <xf numFmtId="39" fontId="21" fillId="0" borderId="0" xfId="13" applyNumberFormat="1" applyFont="1" applyAlignment="1">
      <alignment vertical="center"/>
    </xf>
    <xf numFmtId="37" fontId="23" fillId="0" borderId="0" xfId="13" applyNumberFormat="1" applyFont="1" applyAlignment="1">
      <alignment vertical="center"/>
    </xf>
    <xf numFmtId="168" fontId="21" fillId="0" borderId="26" xfId="14" applyNumberFormat="1" applyFont="1" applyBorder="1"/>
    <xf numFmtId="168" fontId="21" fillId="0" borderId="0" xfId="13" applyNumberFormat="1" applyFont="1" applyBorder="1"/>
    <xf numFmtId="168" fontId="23" fillId="0" borderId="0" xfId="13" applyNumberFormat="1" applyFont="1" applyBorder="1"/>
    <xf numFmtId="168" fontId="21" fillId="9" borderId="0" xfId="14" applyNumberFormat="1" applyFont="1" applyFill="1"/>
    <xf numFmtId="0" fontId="21" fillId="9" borderId="26" xfId="14" applyFont="1" applyFill="1" applyBorder="1"/>
    <xf numFmtId="168" fontId="23" fillId="0" borderId="26" xfId="14" applyNumberFormat="1" applyFont="1" applyBorder="1"/>
    <xf numFmtId="168" fontId="21" fillId="0" borderId="0" xfId="13" applyNumberFormat="1" applyFont="1" applyBorder="1" applyAlignment="1">
      <alignment horizontal="center" vertical="center"/>
    </xf>
    <xf numFmtId="168" fontId="21" fillId="9" borderId="0" xfId="13" applyNumberFormat="1" applyFont="1" applyFill="1" applyBorder="1"/>
    <xf numFmtId="0" fontId="21" fillId="0" borderId="26" xfId="16" applyFont="1" applyBorder="1"/>
    <xf numFmtId="0" fontId="21" fillId="9" borderId="31" xfId="14" applyFont="1" applyFill="1" applyBorder="1"/>
    <xf numFmtId="171" fontId="21" fillId="9" borderId="29" xfId="14" applyNumberFormat="1" applyFont="1" applyFill="1" applyBorder="1"/>
    <xf numFmtId="171" fontId="21" fillId="9" borderId="0" xfId="14" applyNumberFormat="1" applyFont="1" applyFill="1"/>
    <xf numFmtId="171" fontId="21" fillId="0" borderId="0" xfId="14" applyNumberFormat="1" applyFont="1"/>
    <xf numFmtId="10" fontId="155" fillId="3" borderId="0" xfId="12" applyNumberFormat="1" applyFont="1" applyFill="1" applyAlignment="1">
      <alignment vertical="center"/>
    </xf>
    <xf numFmtId="10" fontId="156" fillId="3" borderId="0" xfId="12" applyNumberFormat="1" applyFont="1" applyFill="1" applyAlignment="1">
      <alignment vertical="center"/>
    </xf>
    <xf numFmtId="10" fontId="155" fillId="0" borderId="0" xfId="12" applyNumberFormat="1" applyFont="1" applyAlignment="1">
      <alignment vertical="center"/>
    </xf>
    <xf numFmtId="174" fontId="21" fillId="9" borderId="0" xfId="14" applyNumberFormat="1" applyFont="1" applyFill="1"/>
    <xf numFmtId="171" fontId="21" fillId="9" borderId="0" xfId="2" applyNumberFormat="1" applyFont="1" applyFill="1"/>
    <xf numFmtId="43" fontId="21" fillId="9" borderId="0" xfId="14" applyNumberFormat="1" applyFont="1" applyFill="1"/>
    <xf numFmtId="43" fontId="23" fillId="9" borderId="0" xfId="14" applyNumberFormat="1" applyFont="1" applyFill="1"/>
    <xf numFmtId="9" fontId="21" fillId="9" borderId="0" xfId="14" applyNumberFormat="1" applyFont="1" applyFill="1"/>
    <xf numFmtId="0" fontId="38" fillId="9" borderId="0" xfId="14" applyFont="1" applyFill="1" applyAlignment="1">
      <alignment horizontal="center" wrapText="1"/>
    </xf>
    <xf numFmtId="9" fontId="38" fillId="9" borderId="0" xfId="14" applyNumberFormat="1" applyFont="1" applyFill="1" applyAlignment="1">
      <alignment horizontal="center" wrapText="1"/>
    </xf>
    <xf numFmtId="171" fontId="36" fillId="9" borderId="0" xfId="2" applyNumberFormat="1" applyFont="1" applyFill="1"/>
    <xf numFmtId="167" fontId="21" fillId="9" borderId="0" xfId="14" applyNumberFormat="1" applyFont="1" applyFill="1"/>
    <xf numFmtId="171" fontId="23" fillId="9" borderId="0" xfId="2" applyNumberFormat="1" applyFont="1" applyFill="1"/>
    <xf numFmtId="0" fontId="23" fillId="9" borderId="0" xfId="14" applyFont="1" applyFill="1" applyAlignment="1">
      <alignment horizontal="center" wrapText="1"/>
    </xf>
    <xf numFmtId="1" fontId="21" fillId="9" borderId="0" xfId="1" applyNumberFormat="1" applyFont="1" applyFill="1"/>
    <xf numFmtId="1" fontId="157" fillId="0" borderId="0" xfId="1" quotePrefix="1" applyNumberFormat="1" applyFont="1"/>
    <xf numFmtId="171" fontId="23" fillId="26" borderId="0" xfId="2" applyNumberFormat="1" applyFont="1" applyFill="1"/>
    <xf numFmtId="171" fontId="36" fillId="26" borderId="0" xfId="2" applyNumberFormat="1" applyFont="1" applyFill="1"/>
    <xf numFmtId="167" fontId="157" fillId="0" borderId="0" xfId="0" quotePrefix="1" applyNumberFormat="1" applyFont="1"/>
    <xf numFmtId="167" fontId="158" fillId="0" borderId="0" xfId="0" quotePrefix="1" applyNumberFormat="1" applyFont="1"/>
    <xf numFmtId="168" fontId="23" fillId="11" borderId="0" xfId="14" applyNumberFormat="1" applyFont="1" applyFill="1"/>
    <xf numFmtId="9" fontId="21" fillId="9" borderId="0" xfId="2" applyFont="1" applyFill="1"/>
    <xf numFmtId="165" fontId="41" fillId="9" borderId="0" xfId="14" applyNumberFormat="1" applyFont="1" applyFill="1"/>
    <xf numFmtId="179" fontId="159" fillId="9" borderId="0" xfId="1" applyNumberFormat="1" applyFont="1" applyFill="1"/>
    <xf numFmtId="179" fontId="36" fillId="9" borderId="0" xfId="14" applyNumberFormat="1" applyFont="1" applyFill="1"/>
    <xf numFmtId="0" fontId="140" fillId="9" borderId="0" xfId="14" applyFont="1" applyFill="1" applyAlignment="1">
      <alignment horizontal="right"/>
    </xf>
    <xf numFmtId="179" fontId="140" fillId="9" borderId="0" xfId="14" applyNumberFormat="1" applyFont="1" applyFill="1" applyAlignment="1">
      <alignment horizontal="right"/>
    </xf>
    <xf numFmtId="172" fontId="23" fillId="11" borderId="0" xfId="1" applyNumberFormat="1" applyFont="1" applyFill="1"/>
    <xf numFmtId="1" fontId="32" fillId="9" borderId="29" xfId="14" applyNumberFormat="1" applyFont="1" applyFill="1" applyBorder="1" applyAlignment="1">
      <alignment horizontal="right" vertical="center"/>
    </xf>
    <xf numFmtId="172" fontId="21" fillId="0" borderId="26" xfId="1" applyNumberFormat="1" applyFont="1" applyFill="1" applyBorder="1" applyAlignment="1">
      <alignment horizontal="center"/>
    </xf>
    <xf numFmtId="172" fontId="21" fillId="0" borderId="0" xfId="1" applyNumberFormat="1" applyFont="1" applyFill="1" applyBorder="1" applyAlignment="1">
      <alignment horizontal="center"/>
    </xf>
    <xf numFmtId="172" fontId="21" fillId="0" borderId="35" xfId="1" applyNumberFormat="1" applyFont="1" applyFill="1" applyBorder="1" applyAlignment="1">
      <alignment horizontal="center"/>
    </xf>
    <xf numFmtId="172" fontId="21" fillId="0" borderId="36" xfId="1" applyNumberFormat="1" applyFont="1" applyFill="1" applyBorder="1" applyAlignment="1">
      <alignment horizontal="center"/>
    </xf>
    <xf numFmtId="172" fontId="21" fillId="0" borderId="31" xfId="1" applyNumberFormat="1" applyFont="1" applyFill="1" applyBorder="1" applyAlignment="1">
      <alignment horizontal="center"/>
    </xf>
    <xf numFmtId="172" fontId="21" fillId="0" borderId="29" xfId="1" applyNumberFormat="1" applyFont="1" applyFill="1" applyBorder="1" applyAlignment="1">
      <alignment horizontal="center"/>
    </xf>
    <xf numFmtId="172" fontId="21" fillId="23" borderId="29" xfId="1" applyNumberFormat="1" applyFont="1" applyFill="1" applyBorder="1" applyAlignment="1">
      <alignment horizontal="center"/>
    </xf>
    <xf numFmtId="172" fontId="21" fillId="0" borderId="37" xfId="1" applyNumberFormat="1" applyFont="1" applyFill="1" applyBorder="1" applyAlignment="1">
      <alignment horizontal="center"/>
    </xf>
    <xf numFmtId="0" fontId="43" fillId="8" borderId="0" xfId="13" applyNumberFormat="1" applyFont="1" applyFill="1" applyAlignment="1">
      <alignment horizontal="center" vertical="center"/>
    </xf>
    <xf numFmtId="43" fontId="0" fillId="11" borderId="0" xfId="1" applyFont="1" applyFill="1"/>
    <xf numFmtId="165" fontId="16" fillId="2" borderId="0" xfId="0" applyNumberFormat="1" applyFont="1" applyFill="1"/>
    <xf numFmtId="167" fontId="16" fillId="2" borderId="0" xfId="0" applyNumberFormat="1" applyFont="1" applyFill="1"/>
    <xf numFmtId="0" fontId="16" fillId="2" borderId="0" xfId="0" applyFont="1" applyFill="1" applyAlignment="1">
      <alignment horizontal="right"/>
    </xf>
    <xf numFmtId="43" fontId="0" fillId="2" borderId="0" xfId="1" applyFont="1" applyFill="1"/>
    <xf numFmtId="43" fontId="16" fillId="2" borderId="0" xfId="0" applyNumberFormat="1" applyFont="1" applyFill="1"/>
    <xf numFmtId="0" fontId="23" fillId="9" borderId="0" xfId="14" applyFont="1" applyFill="1" applyAlignment="1">
      <alignment horizontal="right"/>
    </xf>
    <xf numFmtId="0" fontId="21" fillId="9" borderId="0" xfId="14" applyFont="1" applyFill="1" applyAlignment="1">
      <alignment horizontal="right"/>
    </xf>
    <xf numFmtId="9" fontId="21" fillId="9" borderId="0" xfId="14" applyNumberFormat="1" applyFont="1" applyFill="1" applyAlignment="1">
      <alignment horizontal="right"/>
    </xf>
    <xf numFmtId="0" fontId="23" fillId="11" borderId="0" xfId="14" applyFont="1" applyFill="1" applyAlignment="1">
      <alignment horizontal="right"/>
    </xf>
    <xf numFmtId="179" fontId="23" fillId="9" borderId="0" xfId="14" applyNumberFormat="1" applyFont="1" applyFill="1"/>
    <xf numFmtId="168" fontId="23" fillId="9" borderId="0" xfId="14" applyNumberFormat="1" applyFont="1" applyFill="1"/>
    <xf numFmtId="43" fontId="21" fillId="0" borderId="28" xfId="1" applyFont="1" applyFill="1" applyBorder="1"/>
    <xf numFmtId="43" fontId="21" fillId="0" borderId="26" xfId="1" applyFont="1" applyFill="1" applyBorder="1"/>
    <xf numFmtId="43" fontId="21" fillId="0" borderId="0" xfId="1" applyFont="1" applyFill="1" applyBorder="1"/>
    <xf numFmtId="43" fontId="21" fillId="32" borderId="30" xfId="1" applyFont="1" applyFill="1" applyBorder="1"/>
    <xf numFmtId="43" fontId="21" fillId="32" borderId="28" xfId="1" applyFont="1" applyFill="1" applyBorder="1"/>
    <xf numFmtId="43" fontId="21" fillId="32" borderId="26" xfId="1" applyFont="1" applyFill="1" applyBorder="1"/>
    <xf numFmtId="168" fontId="21" fillId="9" borderId="0" xfId="14" applyNumberFormat="1" applyFont="1" applyFill="1" applyAlignment="1">
      <alignment horizontal="left"/>
    </xf>
    <xf numFmtId="167" fontId="125" fillId="0" borderId="0" xfId="0" applyNumberFormat="1" applyFont="1"/>
    <xf numFmtId="0" fontId="22" fillId="11" borderId="0" xfId="0" applyFont="1" applyFill="1" applyAlignment="1">
      <alignment vertical="center"/>
    </xf>
    <xf numFmtId="43" fontId="82" fillId="11" borderId="0" xfId="2" applyNumberFormat="1" applyFont="1" applyFill="1" applyBorder="1" applyAlignment="1">
      <alignment vertical="center"/>
    </xf>
    <xf numFmtId="10" fontId="82" fillId="11" borderId="0" xfId="0" applyNumberFormat="1" applyFont="1" applyFill="1" applyAlignment="1">
      <alignment vertical="center"/>
    </xf>
    <xf numFmtId="179" fontId="82" fillId="19" borderId="0" xfId="1" applyNumberFormat="1" applyFont="1" applyFill="1" applyBorder="1"/>
    <xf numFmtId="179" fontId="129" fillId="19" borderId="0" xfId="1" applyNumberFormat="1" applyFont="1" applyFill="1"/>
    <xf numFmtId="10" fontId="129" fillId="19" borderId="0" xfId="0" applyNumberFormat="1" applyFont="1" applyFill="1"/>
    <xf numFmtId="171" fontId="23" fillId="19" borderId="0" xfId="2" applyNumberFormat="1" applyFont="1" applyFill="1"/>
    <xf numFmtId="171" fontId="94" fillId="19" borderId="0" xfId="2" applyNumberFormat="1" applyFont="1" applyFill="1"/>
    <xf numFmtId="167" fontId="84" fillId="28" borderId="0" xfId="1" applyNumberFormat="1" applyFont="1" applyFill="1" applyBorder="1"/>
    <xf numFmtId="10" fontId="38" fillId="28" borderId="0" xfId="2" applyNumberFormat="1" applyFont="1" applyFill="1" applyBorder="1"/>
    <xf numFmtId="43" fontId="84" fillId="28" borderId="0" xfId="1" applyFont="1" applyFill="1" applyBorder="1"/>
    <xf numFmtId="10" fontId="84" fillId="28" borderId="0" xfId="0" applyNumberFormat="1" applyFont="1" applyFill="1"/>
    <xf numFmtId="171" fontId="82" fillId="28" borderId="0" xfId="2" applyNumberFormat="1" applyFont="1" applyFill="1" applyBorder="1"/>
    <xf numFmtId="10" fontId="82" fillId="28" borderId="0" xfId="0" applyNumberFormat="1" applyFont="1" applyFill="1"/>
    <xf numFmtId="10" fontId="41" fillId="28" borderId="0" xfId="2" applyNumberFormat="1" applyFont="1" applyFill="1" applyBorder="1"/>
    <xf numFmtId="10" fontId="39" fillId="28" borderId="0" xfId="2" applyNumberFormat="1" applyFont="1" applyFill="1" applyBorder="1"/>
    <xf numFmtId="10" fontId="21" fillId="28" borderId="0" xfId="2" applyNumberFormat="1" applyFont="1" applyFill="1" applyBorder="1"/>
    <xf numFmtId="43" fontId="94" fillId="28" borderId="25" xfId="1" applyFont="1" applyFill="1" applyBorder="1"/>
    <xf numFmtId="10" fontId="23" fillId="28" borderId="0" xfId="2" applyNumberFormat="1" applyFont="1" applyFill="1" applyBorder="1"/>
    <xf numFmtId="165" fontId="58" fillId="28" borderId="0" xfId="0" applyNumberFormat="1" applyFont="1" applyFill="1"/>
    <xf numFmtId="171" fontId="38" fillId="28" borderId="0" xfId="2" applyNumberFormat="1" applyFont="1" applyFill="1" applyBorder="1"/>
    <xf numFmtId="10" fontId="96" fillId="28" borderId="0" xfId="2" applyNumberFormat="1" applyFont="1" applyFill="1" applyBorder="1"/>
    <xf numFmtId="167" fontId="21" fillId="30" borderId="0" xfId="1" applyNumberFormat="1" applyFont="1" applyFill="1" applyBorder="1" applyAlignment="1">
      <alignment horizontal="center" vertical="center"/>
    </xf>
    <xf numFmtId="43" fontId="40" fillId="30" borderId="0" xfId="1" applyFont="1" applyFill="1" applyBorder="1" applyAlignment="1">
      <alignment horizontal="center" vertical="center"/>
    </xf>
    <xf numFmtId="171" fontId="21" fillId="30" borderId="0" xfId="2" applyNumberFormat="1" applyFont="1" applyFill="1" applyBorder="1" applyAlignment="1">
      <alignment horizontal="center" vertical="center"/>
    </xf>
    <xf numFmtId="0" fontId="23" fillId="32" borderId="0" xfId="14" applyFont="1" applyFill="1" applyAlignment="1">
      <alignment horizontal="center"/>
    </xf>
    <xf numFmtId="170" fontId="21" fillId="9" borderId="0" xfId="14" applyNumberFormat="1" applyFont="1" applyFill="1"/>
    <xf numFmtId="1" fontId="21" fillId="9" borderId="0" xfId="14" applyNumberFormat="1" applyFont="1" applyFill="1"/>
    <xf numFmtId="0" fontId="76" fillId="9" borderId="0" xfId="18" applyFill="1"/>
    <xf numFmtId="171" fontId="38" fillId="19" borderId="0" xfId="2" applyNumberFormat="1" applyFont="1" applyFill="1"/>
    <xf numFmtId="10" fontId="108" fillId="19" borderId="0" xfId="2" applyNumberFormat="1" applyFont="1" applyFill="1"/>
    <xf numFmtId="0" fontId="23" fillId="9" borderId="0" xfId="14" applyFont="1" applyFill="1" applyAlignment="1">
      <alignment horizontal="right" wrapText="1"/>
    </xf>
    <xf numFmtId="167" fontId="15" fillId="0" borderId="0" xfId="1" applyNumberFormat="1" applyFont="1" applyAlignment="1">
      <alignment horizontal="right"/>
    </xf>
    <xf numFmtId="167" fontId="15" fillId="0" borderId="0" xfId="1" applyNumberFormat="1" applyFont="1" applyFill="1" applyBorder="1" applyAlignment="1">
      <alignment horizontal="right" vertical="center"/>
    </xf>
    <xf numFmtId="165" fontId="35" fillId="21" borderId="0" xfId="0" applyNumberFormat="1" applyFont="1" applyFill="1"/>
    <xf numFmtId="0" fontId="22" fillId="21" borderId="26" xfId="0" applyFont="1" applyFill="1" applyBorder="1"/>
    <xf numFmtId="0" fontId="17" fillId="21" borderId="26" xfId="0" applyFont="1" applyFill="1" applyBorder="1"/>
    <xf numFmtId="179" fontId="22" fillId="21" borderId="26" xfId="1" applyNumberFormat="1" applyFont="1" applyFill="1" applyBorder="1"/>
    <xf numFmtId="179" fontId="40" fillId="21" borderId="26" xfId="1" applyNumberFormat="1" applyFont="1" applyFill="1" applyBorder="1"/>
    <xf numFmtId="179" fontId="17" fillId="21" borderId="26" xfId="1" applyNumberFormat="1" applyFont="1" applyFill="1" applyBorder="1"/>
    <xf numFmtId="180" fontId="35" fillId="21" borderId="26" xfId="0" applyNumberFormat="1" applyFont="1" applyFill="1" applyBorder="1"/>
    <xf numFmtId="180" fontId="41" fillId="21" borderId="26" xfId="0" applyNumberFormat="1" applyFont="1" applyFill="1" applyBorder="1"/>
    <xf numFmtId="172" fontId="40" fillId="21" borderId="26" xfId="1" applyNumberFormat="1" applyFont="1" applyFill="1" applyBorder="1"/>
    <xf numFmtId="171" fontId="40" fillId="21" borderId="26" xfId="2" applyNumberFormat="1" applyFont="1" applyFill="1" applyBorder="1"/>
    <xf numFmtId="171" fontId="41" fillId="21" borderId="26" xfId="0" applyNumberFormat="1" applyFont="1" applyFill="1" applyBorder="1"/>
    <xf numFmtId="165" fontId="40" fillId="21" borderId="26" xfId="0" applyNumberFormat="1" applyFont="1" applyFill="1" applyBorder="1"/>
    <xf numFmtId="165" fontId="22" fillId="21" borderId="26" xfId="0" applyNumberFormat="1" applyFont="1" applyFill="1" applyBorder="1"/>
    <xf numFmtId="171" fontId="17" fillId="21" borderId="26" xfId="2" applyNumberFormat="1" applyFont="1" applyFill="1" applyBorder="1"/>
    <xf numFmtId="172" fontId="58" fillId="21" borderId="26" xfId="1" applyNumberFormat="1" applyFont="1" applyFill="1" applyBorder="1"/>
    <xf numFmtId="172" fontId="58" fillId="21" borderId="24" xfId="1" applyNumberFormat="1" applyFont="1" applyFill="1" applyBorder="1"/>
    <xf numFmtId="10" fontId="17" fillId="21" borderId="26" xfId="2" applyNumberFormat="1" applyFont="1" applyFill="1" applyBorder="1"/>
    <xf numFmtId="43" fontId="17" fillId="21" borderId="26" xfId="0" applyNumberFormat="1" applyFont="1" applyFill="1" applyBorder="1"/>
    <xf numFmtId="167" fontId="58" fillId="21" borderId="26" xfId="0" applyNumberFormat="1" applyFont="1" applyFill="1" applyBorder="1"/>
    <xf numFmtId="168" fontId="58" fillId="21" borderId="26" xfId="0" applyNumberFormat="1" applyFont="1" applyFill="1" applyBorder="1"/>
    <xf numFmtId="171" fontId="58" fillId="21" borderId="26" xfId="2" applyNumberFormat="1" applyFont="1" applyFill="1" applyBorder="1"/>
    <xf numFmtId="171" fontId="41" fillId="21" borderId="26" xfId="2" applyNumberFormat="1" applyFont="1" applyFill="1" applyBorder="1"/>
    <xf numFmtId="10" fontId="41" fillId="21" borderId="26" xfId="2" applyNumberFormat="1" applyFont="1" applyFill="1" applyBorder="1"/>
    <xf numFmtId="171" fontId="21" fillId="21" borderId="26" xfId="2" applyNumberFormat="1" applyFont="1" applyFill="1" applyBorder="1"/>
    <xf numFmtId="171" fontId="23" fillId="21" borderId="26" xfId="2" applyNumberFormat="1" applyFont="1" applyFill="1" applyBorder="1"/>
    <xf numFmtId="165" fontId="22" fillId="21" borderId="24" xfId="0" applyNumberFormat="1" applyFont="1" applyFill="1" applyBorder="1"/>
    <xf numFmtId="165" fontId="35" fillId="21" borderId="26" xfId="0" applyNumberFormat="1" applyFont="1" applyFill="1" applyBorder="1"/>
    <xf numFmtId="171" fontId="38" fillId="21" borderId="26" xfId="2" applyNumberFormat="1" applyFont="1" applyFill="1" applyBorder="1"/>
    <xf numFmtId="165" fontId="58" fillId="21" borderId="24" xfId="0" applyNumberFormat="1" applyFont="1" applyFill="1" applyBorder="1"/>
    <xf numFmtId="171" fontId="95" fillId="21" borderId="26" xfId="2" applyNumberFormat="1" applyFont="1" applyFill="1" applyBorder="1"/>
    <xf numFmtId="165" fontId="17" fillId="21" borderId="26" xfId="0" applyNumberFormat="1" applyFont="1" applyFill="1" applyBorder="1"/>
    <xf numFmtId="167" fontId="58" fillId="21" borderId="26" xfId="1" applyNumberFormat="1" applyFont="1" applyFill="1" applyBorder="1"/>
    <xf numFmtId="10" fontId="58" fillId="21" borderId="26" xfId="2" applyNumberFormat="1" applyFont="1" applyFill="1" applyBorder="1"/>
    <xf numFmtId="10" fontId="108" fillId="21" borderId="26" xfId="2" applyNumberFormat="1" applyFont="1" applyFill="1" applyBorder="1"/>
    <xf numFmtId="10" fontId="115" fillId="21" borderId="26" xfId="2" applyNumberFormat="1" applyFont="1" applyFill="1" applyBorder="1"/>
    <xf numFmtId="0" fontId="17" fillId="21" borderId="31" xfId="0" applyFont="1" applyFill="1" applyBorder="1"/>
    <xf numFmtId="0" fontId="165" fillId="19" borderId="0" xfId="0" applyFont="1" applyFill="1"/>
    <xf numFmtId="10" fontId="166" fillId="19" borderId="0" xfId="2" applyNumberFormat="1" applyFont="1" applyFill="1" applyBorder="1"/>
    <xf numFmtId="10" fontId="166" fillId="19" borderId="0" xfId="2" applyNumberFormat="1" applyFont="1" applyFill="1"/>
    <xf numFmtId="10" fontId="167" fillId="19" borderId="0" xfId="2" applyNumberFormat="1" applyFont="1" applyFill="1" applyBorder="1"/>
    <xf numFmtId="171" fontId="23" fillId="0" borderId="0" xfId="2" applyNumberFormat="1" applyFont="1" applyBorder="1"/>
    <xf numFmtId="171" fontId="71" fillId="0" borderId="0" xfId="2" applyNumberFormat="1" applyFont="1" applyAlignment="1">
      <alignment vertical="center"/>
    </xf>
    <xf numFmtId="37" fontId="16" fillId="0" borderId="27" xfId="1" applyNumberFormat="1" applyFont="1" applyBorder="1" applyAlignment="1">
      <alignment vertical="center"/>
    </xf>
    <xf numFmtId="171" fontId="0" fillId="0" borderId="0" xfId="0" applyNumberFormat="1"/>
    <xf numFmtId="2" fontId="39" fillId="0" borderId="0" xfId="2" applyNumberFormat="1" applyFont="1" applyFill="1" applyBorder="1" applyAlignment="1">
      <alignment horizontal="center" vertical="center"/>
    </xf>
    <xf numFmtId="2" fontId="136" fillId="0" borderId="0" xfId="2" applyNumberFormat="1" applyFont="1" applyFill="1" applyBorder="1" applyAlignment="1">
      <alignment horizontal="center" vertical="center"/>
    </xf>
    <xf numFmtId="171" fontId="168" fillId="0" borderId="0" xfId="2" applyNumberFormat="1" applyFont="1" applyFill="1" applyBorder="1" applyAlignment="1">
      <alignment horizontal="center" vertical="center"/>
    </xf>
    <xf numFmtId="2" fontId="169" fillId="0" borderId="0" xfId="2" applyNumberFormat="1" applyFont="1" applyFill="1" applyBorder="1" applyAlignment="1">
      <alignment horizontal="center" vertical="center"/>
    </xf>
    <xf numFmtId="2" fontId="168" fillId="0" borderId="0" xfId="2" applyNumberFormat="1" applyFont="1" applyFill="1" applyBorder="1" applyAlignment="1">
      <alignment horizontal="center" vertical="center"/>
    </xf>
    <xf numFmtId="166" fontId="17" fillId="0" borderId="0" xfId="4" applyFont="1" applyAlignment="1">
      <alignment horizontal="right" vertical="center" wrapText="1"/>
    </xf>
    <xf numFmtId="166" fontId="22" fillId="0" borderId="0" xfId="4" applyFont="1" applyAlignment="1">
      <alignment horizontal="right" vertical="center" wrapText="1"/>
    </xf>
    <xf numFmtId="172" fontId="22" fillId="0" borderId="29" xfId="1" applyNumberFormat="1" applyFont="1" applyBorder="1"/>
    <xf numFmtId="172" fontId="23" fillId="11" borderId="0" xfId="14" applyNumberFormat="1" applyFont="1" applyFill="1"/>
    <xf numFmtId="165" fontId="23" fillId="11" borderId="0" xfId="14" applyNumberFormat="1" applyFont="1" applyFill="1"/>
    <xf numFmtId="37" fontId="23" fillId="9" borderId="26" xfId="14" applyNumberFormat="1" applyFont="1" applyFill="1" applyBorder="1" applyAlignment="1">
      <alignment horizontal="right"/>
    </xf>
    <xf numFmtId="37" fontId="21" fillId="9" borderId="26" xfId="14" applyNumberFormat="1" applyFont="1" applyFill="1" applyBorder="1" applyAlignment="1">
      <alignment horizontal="right"/>
    </xf>
    <xf numFmtId="0" fontId="22" fillId="34" borderId="24" xfId="0" applyFont="1" applyFill="1" applyBorder="1"/>
    <xf numFmtId="0" fontId="22" fillId="34" borderId="25" xfId="0" applyFont="1" applyFill="1" applyBorder="1"/>
    <xf numFmtId="0" fontId="17" fillId="34" borderId="0" xfId="0" applyFont="1" applyFill="1"/>
    <xf numFmtId="171" fontId="38" fillId="34" borderId="0" xfId="2" applyNumberFormat="1" applyFont="1" applyFill="1" applyBorder="1"/>
    <xf numFmtId="10" fontId="82" fillId="34" borderId="0" xfId="2" applyNumberFormat="1" applyFont="1" applyFill="1" applyBorder="1"/>
    <xf numFmtId="171" fontId="39" fillId="34" borderId="0" xfId="2" applyNumberFormat="1" applyFont="1" applyFill="1" applyBorder="1"/>
    <xf numFmtId="10" fontId="82" fillId="34" borderId="0" xfId="0" applyNumberFormat="1" applyFont="1" applyFill="1"/>
    <xf numFmtId="0" fontId="22" fillId="34" borderId="0" xfId="0" applyFont="1" applyFill="1"/>
    <xf numFmtId="43" fontId="129" fillId="34" borderId="0" xfId="1" applyFont="1" applyFill="1" applyBorder="1"/>
    <xf numFmtId="43" fontId="84" fillId="34" borderId="0" xfId="1" applyFont="1" applyFill="1" applyBorder="1"/>
    <xf numFmtId="10" fontId="38" fillId="34" borderId="0" xfId="2" applyNumberFormat="1" applyFont="1" applyFill="1" applyBorder="1"/>
    <xf numFmtId="0" fontId="95" fillId="34" borderId="0" xfId="0" applyFont="1" applyFill="1"/>
    <xf numFmtId="43" fontId="82" fillId="34" borderId="0" xfId="2" applyNumberFormat="1" applyFont="1" applyFill="1" applyBorder="1"/>
    <xf numFmtId="167" fontId="84" fillId="34" borderId="0" xfId="1" applyNumberFormat="1" applyFont="1" applyFill="1" applyBorder="1"/>
    <xf numFmtId="43" fontId="94" fillId="34" borderId="0" xfId="1" applyFont="1" applyFill="1" applyBorder="1"/>
    <xf numFmtId="167" fontId="82" fillId="34" borderId="0" xfId="1" applyNumberFormat="1" applyFont="1" applyFill="1" applyBorder="1"/>
    <xf numFmtId="167" fontId="94" fillId="34" borderId="0" xfId="1" applyNumberFormat="1" applyFont="1" applyFill="1" applyBorder="1"/>
    <xf numFmtId="43" fontId="94" fillId="34" borderId="25" xfId="1" applyFont="1" applyFill="1" applyBorder="1"/>
    <xf numFmtId="171" fontId="94" fillId="34" borderId="0" xfId="2" applyNumberFormat="1" applyFont="1" applyFill="1" applyBorder="1"/>
    <xf numFmtId="165" fontId="58" fillId="34" borderId="0" xfId="0" applyNumberFormat="1" applyFont="1" applyFill="1"/>
    <xf numFmtId="10" fontId="108" fillId="34" borderId="0" xfId="2" applyNumberFormat="1" applyFont="1" applyFill="1" applyBorder="1"/>
    <xf numFmtId="43" fontId="82" fillId="34" borderId="0" xfId="1" applyFont="1" applyFill="1" applyBorder="1"/>
    <xf numFmtId="171" fontId="28" fillId="34" borderId="0" xfId="2" applyNumberFormat="1" applyFont="1" applyFill="1" applyBorder="1"/>
    <xf numFmtId="10" fontId="115" fillId="34" borderId="0" xfId="2" applyNumberFormat="1" applyFont="1" applyFill="1" applyBorder="1"/>
    <xf numFmtId="10" fontId="115" fillId="34" borderId="0" xfId="0" applyNumberFormat="1" applyFont="1" applyFill="1"/>
    <xf numFmtId="171" fontId="17" fillId="34" borderId="0" xfId="2" applyNumberFormat="1" applyFont="1" applyFill="1"/>
    <xf numFmtId="10" fontId="136" fillId="34" borderId="0" xfId="2" applyNumberFormat="1" applyFont="1" applyFill="1" applyBorder="1"/>
    <xf numFmtId="0" fontId="102" fillId="34" borderId="0" xfId="0" applyFont="1" applyFill="1" applyAlignment="1">
      <alignment horizontal="right"/>
    </xf>
    <xf numFmtId="167" fontId="160" fillId="34" borderId="0" xfId="1" applyNumberFormat="1" applyFont="1" applyFill="1" applyBorder="1" applyAlignment="1">
      <alignment horizontal="right"/>
    </xf>
    <xf numFmtId="167" fontId="161" fillId="34" borderId="0" xfId="1" applyNumberFormat="1" applyFont="1" applyFill="1" applyBorder="1" applyAlignment="1">
      <alignment horizontal="right"/>
    </xf>
    <xf numFmtId="167" fontId="143" fillId="34" borderId="0" xfId="1" applyNumberFormat="1" applyFont="1" applyFill="1" applyBorder="1" applyAlignment="1">
      <alignment horizontal="right"/>
    </xf>
    <xf numFmtId="167" fontId="37" fillId="34" borderId="0" xfId="1" applyNumberFormat="1" applyFont="1" applyFill="1" applyBorder="1"/>
    <xf numFmtId="167" fontId="23" fillId="34" borderId="0" xfId="1" applyNumberFormat="1" applyFont="1" applyFill="1" applyBorder="1"/>
    <xf numFmtId="10" fontId="38" fillId="34" borderId="0" xfId="2" applyNumberFormat="1" applyFont="1" applyFill="1"/>
    <xf numFmtId="167" fontId="94" fillId="34" borderId="0" xfId="1" applyNumberFormat="1" applyFont="1" applyFill="1"/>
    <xf numFmtId="43" fontId="84" fillId="34" borderId="0" xfId="1" applyFont="1" applyFill="1"/>
    <xf numFmtId="10" fontId="96" fillId="34" borderId="0" xfId="2" applyNumberFormat="1" applyFont="1" applyFill="1" applyBorder="1"/>
    <xf numFmtId="10" fontId="84" fillId="34" borderId="0" xfId="0" applyNumberFormat="1" applyFont="1" applyFill="1"/>
    <xf numFmtId="171" fontId="94" fillId="34" borderId="0" xfId="2" applyNumberFormat="1" applyFont="1" applyFill="1"/>
    <xf numFmtId="171" fontId="82" fillId="34" borderId="0" xfId="2" applyNumberFormat="1" applyFont="1" applyFill="1" applyBorder="1"/>
    <xf numFmtId="171" fontId="82" fillId="34" borderId="0" xfId="2" applyNumberFormat="1" applyFont="1" applyFill="1"/>
    <xf numFmtId="167" fontId="84" fillId="34" borderId="0" xfId="1" applyNumberFormat="1" applyFont="1" applyFill="1"/>
    <xf numFmtId="43" fontId="38" fillId="34" borderId="0" xfId="1" applyFont="1" applyFill="1" applyBorder="1"/>
    <xf numFmtId="171" fontId="38" fillId="34" borderId="0" xfId="2" applyNumberFormat="1" applyFont="1" applyFill="1"/>
    <xf numFmtId="10" fontId="21" fillId="34" borderId="0" xfId="2" applyNumberFormat="1" applyFont="1" applyFill="1" applyBorder="1"/>
    <xf numFmtId="171" fontId="39" fillId="34" borderId="0" xfId="2" applyNumberFormat="1" applyFont="1" applyFill="1"/>
    <xf numFmtId="10" fontId="41" fillId="34" borderId="0" xfId="2" applyNumberFormat="1" applyFont="1" applyFill="1" applyBorder="1"/>
    <xf numFmtId="10" fontId="39" fillId="34" borderId="0" xfId="2" applyNumberFormat="1" applyFont="1" applyFill="1" applyBorder="1"/>
    <xf numFmtId="167" fontId="82" fillId="34" borderId="0" xfId="1" applyNumberFormat="1" applyFont="1" applyFill="1"/>
    <xf numFmtId="10" fontId="21" fillId="34" borderId="0" xfId="2" applyNumberFormat="1" applyFont="1" applyFill="1"/>
    <xf numFmtId="43" fontId="94" fillId="34" borderId="0" xfId="1" applyFont="1" applyFill="1"/>
    <xf numFmtId="10" fontId="23" fillId="34" borderId="0" xfId="2" applyNumberFormat="1" applyFont="1" applyFill="1" applyBorder="1"/>
    <xf numFmtId="43" fontId="23" fillId="34" borderId="0" xfId="1" applyFont="1" applyFill="1" applyBorder="1"/>
    <xf numFmtId="167" fontId="23" fillId="34" borderId="0" xfId="1" applyNumberFormat="1" applyFont="1" applyFill="1"/>
    <xf numFmtId="10" fontId="96" fillId="34" borderId="0" xfId="2" applyNumberFormat="1" applyFont="1" applyFill="1"/>
    <xf numFmtId="0" fontId="162" fillId="34" borderId="0" xfId="0" applyFont="1" applyFill="1"/>
    <xf numFmtId="0" fontId="162" fillId="34" borderId="0" xfId="0" applyFont="1" applyFill="1" applyAlignment="1">
      <alignment horizontal="right"/>
    </xf>
    <xf numFmtId="10" fontId="162" fillId="34" borderId="0" xfId="2" applyNumberFormat="1" applyFont="1" applyFill="1" applyBorder="1"/>
    <xf numFmtId="10" fontId="162" fillId="34" borderId="0" xfId="0" applyNumberFormat="1" applyFont="1" applyFill="1"/>
    <xf numFmtId="172" fontId="162" fillId="34" borderId="0" xfId="1" applyNumberFormat="1" applyFont="1" applyFill="1" applyBorder="1"/>
    <xf numFmtId="172" fontId="82" fillId="34" borderId="0" xfId="1" applyNumberFormat="1" applyFont="1" applyFill="1" applyBorder="1"/>
    <xf numFmtId="172" fontId="115" fillId="34" borderId="0" xfId="1" applyNumberFormat="1" applyFont="1" applyFill="1" applyBorder="1"/>
    <xf numFmtId="0" fontId="0" fillId="34" borderId="0" xfId="0" applyFill="1" applyAlignment="1">
      <alignment horizontal="right"/>
    </xf>
    <xf numFmtId="171" fontId="36" fillId="34" borderId="0" xfId="2" applyNumberFormat="1" applyFont="1" applyFill="1"/>
    <xf numFmtId="171" fontId="41" fillId="34" borderId="0" xfId="2" applyNumberFormat="1" applyFont="1" applyFill="1"/>
    <xf numFmtId="172" fontId="17" fillId="34" borderId="0" xfId="1" applyNumberFormat="1" applyFont="1" applyFill="1"/>
    <xf numFmtId="2" fontId="163" fillId="34" borderId="0" xfId="2" applyNumberFormat="1" applyFont="1" applyFill="1"/>
    <xf numFmtId="170" fontId="164" fillId="34" borderId="0" xfId="2" applyNumberFormat="1" applyFont="1" applyFill="1"/>
    <xf numFmtId="10" fontId="82" fillId="34" borderId="0" xfId="2" applyNumberFormat="1" applyFont="1" applyFill="1"/>
    <xf numFmtId="37" fontId="22" fillId="19" borderId="0" xfId="0" applyNumberFormat="1" applyFont="1" applyFill="1"/>
    <xf numFmtId="37" fontId="129" fillId="19" borderId="0" xfId="1" applyNumberFormat="1" applyFont="1" applyFill="1" applyBorder="1"/>
    <xf numFmtId="37" fontId="129" fillId="19" borderId="26" xfId="1" applyNumberFormat="1" applyFont="1" applyFill="1" applyBorder="1"/>
    <xf numFmtId="37" fontId="84" fillId="19" borderId="0" xfId="1" applyNumberFormat="1" applyFont="1" applyFill="1"/>
    <xf numFmtId="37" fontId="22" fillId="19" borderId="0" xfId="1" applyNumberFormat="1" applyFont="1" applyFill="1" applyBorder="1"/>
    <xf numFmtId="0" fontId="27" fillId="20" borderId="0" xfId="0" applyFont="1" applyFill="1" applyAlignment="1">
      <alignment horizontal="right"/>
    </xf>
    <xf numFmtId="172" fontId="38" fillId="19" borderId="0" xfId="1" applyNumberFormat="1" applyFont="1" applyFill="1" applyBorder="1"/>
    <xf numFmtId="0" fontId="17" fillId="19" borderId="0" xfId="0" applyFont="1" applyFill="1" applyAlignment="1">
      <alignment horizontal="right"/>
    </xf>
    <xf numFmtId="171" fontId="17" fillId="19" borderId="0" xfId="2" applyNumberFormat="1" applyFont="1" applyFill="1" applyBorder="1" applyAlignment="1">
      <alignment horizontal="right"/>
    </xf>
    <xf numFmtId="171" fontId="36" fillId="19" borderId="0" xfId="2" applyNumberFormat="1" applyFont="1" applyFill="1" applyBorder="1" applyAlignment="1">
      <alignment horizontal="right"/>
    </xf>
    <xf numFmtId="171" fontId="41" fillId="19" borderId="0" xfId="2" applyNumberFormat="1" applyFont="1" applyFill="1" applyBorder="1" applyAlignment="1">
      <alignment horizontal="right"/>
    </xf>
    <xf numFmtId="172" fontId="94" fillId="19" borderId="0" xfId="1" applyNumberFormat="1" applyFont="1" applyFill="1" applyBorder="1"/>
    <xf numFmtId="171" fontId="17" fillId="0" borderId="0" xfId="2" applyNumberFormat="1" applyFont="1" applyFill="1" applyBorder="1" applyAlignment="1">
      <alignment horizontal="right"/>
    </xf>
    <xf numFmtId="0" fontId="165" fillId="0" borderId="0" xfId="0" applyFont="1"/>
    <xf numFmtId="172" fontId="17" fillId="0" borderId="0" xfId="1" applyNumberFormat="1" applyFont="1" applyFill="1" applyBorder="1"/>
    <xf numFmtId="167" fontId="161" fillId="0" borderId="0" xfId="1" applyNumberFormat="1" applyFont="1" applyFill="1" applyBorder="1" applyAlignment="1">
      <alignment horizontal="right"/>
    </xf>
    <xf numFmtId="0" fontId="22" fillId="19" borderId="26" xfId="0" applyFont="1" applyFill="1" applyBorder="1"/>
    <xf numFmtId="0" fontId="17" fillId="19" borderId="26" xfId="0" applyFont="1" applyFill="1" applyBorder="1" applyAlignment="1">
      <alignment horizontal="right"/>
    </xf>
    <xf numFmtId="179" fontId="82" fillId="11" borderId="0" xfId="1" applyNumberFormat="1" applyFont="1" applyFill="1" applyBorder="1"/>
    <xf numFmtId="0" fontId="165" fillId="19" borderId="26" xfId="0" applyFont="1" applyFill="1" applyBorder="1"/>
    <xf numFmtId="171" fontId="175" fillId="19" borderId="0" xfId="2" applyNumberFormat="1" applyFont="1" applyFill="1" applyBorder="1"/>
    <xf numFmtId="171" fontId="162" fillId="19" borderId="0" xfId="2" applyNumberFormat="1" applyFont="1" applyFill="1" applyBorder="1"/>
    <xf numFmtId="179" fontId="17" fillId="19" borderId="26" xfId="0" applyNumberFormat="1" applyFont="1" applyFill="1" applyBorder="1"/>
    <xf numFmtId="179" fontId="17" fillId="19" borderId="0" xfId="0" applyNumberFormat="1" applyFont="1" applyFill="1" applyAlignment="1">
      <alignment horizontal="right"/>
    </xf>
    <xf numFmtId="179" fontId="136" fillId="19" borderId="0" xfId="1" applyNumberFormat="1" applyFont="1" applyFill="1" applyBorder="1"/>
    <xf numFmtId="179" fontId="83" fillId="19" borderId="0" xfId="1" applyNumberFormat="1" applyFont="1" applyFill="1" applyBorder="1"/>
    <xf numFmtId="179" fontId="17" fillId="19" borderId="0" xfId="1" applyNumberFormat="1" applyFont="1" applyFill="1" applyBorder="1"/>
    <xf numFmtId="179" fontId="17" fillId="19" borderId="0" xfId="0" applyNumberFormat="1" applyFont="1" applyFill="1"/>
    <xf numFmtId="179" fontId="38" fillId="19" borderId="0" xfId="1" applyNumberFormat="1" applyFont="1" applyFill="1" applyBorder="1"/>
    <xf numFmtId="179" fontId="17" fillId="19" borderId="26" xfId="1" applyNumberFormat="1" applyFont="1" applyFill="1" applyBorder="1" applyAlignment="1">
      <alignment horizontal="right"/>
    </xf>
    <xf numFmtId="179" fontId="17" fillId="19" borderId="0" xfId="1" applyNumberFormat="1" applyFont="1" applyFill="1" applyBorder="1" applyAlignment="1">
      <alignment horizontal="right"/>
    </xf>
    <xf numFmtId="179" fontId="21" fillId="19" borderId="0" xfId="1" applyNumberFormat="1" applyFont="1" applyFill="1" applyBorder="1" applyAlignment="1">
      <alignment horizontal="right"/>
    </xf>
    <xf numFmtId="179" fontId="36" fillId="19" borderId="0" xfId="1" applyNumberFormat="1" applyFont="1" applyFill="1" applyBorder="1" applyAlignment="1">
      <alignment horizontal="right"/>
    </xf>
    <xf numFmtId="179" fontId="40" fillId="19" borderId="0" xfId="1" applyNumberFormat="1" applyFont="1" applyFill="1" applyBorder="1" applyAlignment="1">
      <alignment horizontal="right"/>
    </xf>
    <xf numFmtId="179" fontId="17" fillId="0" borderId="0" xfId="1" applyNumberFormat="1" applyFont="1" applyFill="1" applyBorder="1" applyAlignment="1">
      <alignment horizontal="right"/>
    </xf>
    <xf numFmtId="10" fontId="78" fillId="19" borderId="0" xfId="2" applyNumberFormat="1" applyFont="1" applyFill="1" applyBorder="1"/>
    <xf numFmtId="171" fontId="84" fillId="19" borderId="0" xfId="2" applyNumberFormat="1" applyFont="1" applyFill="1"/>
    <xf numFmtId="171" fontId="39" fillId="19" borderId="0" xfId="2" applyNumberFormat="1" applyFont="1" applyFill="1"/>
    <xf numFmtId="37" fontId="82" fillId="19" borderId="0" xfId="1" applyNumberFormat="1" applyFont="1" applyFill="1"/>
    <xf numFmtId="37" fontId="129" fillId="28" borderId="0" xfId="1" applyNumberFormat="1" applyFont="1" applyFill="1" applyBorder="1"/>
    <xf numFmtId="172" fontId="0" fillId="11" borderId="0" xfId="1" applyNumberFormat="1" applyFont="1" applyFill="1"/>
    <xf numFmtId="0" fontId="16" fillId="11" borderId="23" xfId="0" applyFont="1" applyFill="1" applyBorder="1"/>
    <xf numFmtId="37" fontId="0" fillId="0" borderId="0" xfId="1" applyNumberFormat="1" applyFont="1" applyBorder="1" applyAlignment="1">
      <alignment vertical="center"/>
    </xf>
    <xf numFmtId="168" fontId="23" fillId="0" borderId="24" xfId="14" applyNumberFormat="1" applyFont="1" applyBorder="1"/>
    <xf numFmtId="168" fontId="23" fillId="0" borderId="25" xfId="13" applyNumberFormat="1" applyFont="1" applyBorder="1"/>
    <xf numFmtId="168" fontId="23" fillId="0" borderId="46" xfId="13" applyNumberFormat="1" applyFont="1" applyBorder="1"/>
    <xf numFmtId="174" fontId="23" fillId="9" borderId="35" xfId="13" applyNumberFormat="1" applyFont="1" applyFill="1" applyBorder="1"/>
    <xf numFmtId="0" fontId="149" fillId="12" borderId="36" xfId="13" applyNumberFormat="1" applyFont="1" applyFill="1" applyBorder="1" applyAlignment="1">
      <alignment horizontal="center" vertical="center"/>
    </xf>
    <xf numFmtId="171" fontId="21" fillId="9" borderId="36" xfId="12" applyNumberFormat="1" applyFont="1" applyFill="1" applyBorder="1"/>
    <xf numFmtId="174" fontId="23" fillId="9" borderId="36" xfId="13" applyNumberFormat="1" applyFont="1" applyFill="1" applyBorder="1"/>
    <xf numFmtId="171" fontId="23" fillId="9" borderId="36" xfId="12" applyNumberFormat="1" applyFont="1" applyFill="1" applyBorder="1"/>
    <xf numFmtId="174" fontId="21" fillId="9" borderId="36" xfId="13" applyNumberFormat="1" applyFont="1" applyFill="1" applyBorder="1"/>
    <xf numFmtId="171" fontId="151" fillId="9" borderId="36" xfId="12" applyNumberFormat="1" applyFont="1" applyFill="1" applyBorder="1"/>
    <xf numFmtId="171" fontId="21" fillId="9" borderId="36" xfId="2" applyNumberFormat="1" applyFont="1" applyFill="1" applyBorder="1"/>
    <xf numFmtId="37" fontId="25" fillId="9" borderId="36" xfId="1" applyNumberFormat="1" applyFont="1" applyFill="1" applyBorder="1"/>
    <xf numFmtId="167" fontId="151" fillId="9" borderId="36" xfId="1" applyNumberFormat="1" applyFont="1" applyFill="1" applyBorder="1"/>
    <xf numFmtId="174" fontId="23" fillId="0" borderId="35" xfId="13" applyNumberFormat="1" applyFont="1" applyBorder="1" applyAlignment="1">
      <alignment horizontal="center" vertical="center"/>
    </xf>
    <xf numFmtId="174" fontId="21" fillId="0" borderId="36" xfId="13" applyNumberFormat="1" applyFont="1" applyBorder="1" applyAlignment="1">
      <alignment horizontal="center" vertical="center"/>
    </xf>
    <xf numFmtId="165" fontId="23" fillId="0" borderId="36" xfId="13" applyFont="1" applyBorder="1" applyAlignment="1">
      <alignment horizontal="center" vertical="center"/>
    </xf>
    <xf numFmtId="168" fontId="21" fillId="0" borderId="36" xfId="13" applyNumberFormat="1" applyFont="1" applyBorder="1"/>
    <xf numFmtId="0" fontId="21" fillId="9" borderId="36" xfId="14" applyFont="1" applyFill="1" applyBorder="1"/>
    <xf numFmtId="168" fontId="23" fillId="0" borderId="36" xfId="13" applyNumberFormat="1" applyFont="1" applyBorder="1"/>
    <xf numFmtId="171" fontId="23" fillId="0" borderId="36" xfId="2" applyNumberFormat="1" applyFont="1" applyBorder="1"/>
    <xf numFmtId="168" fontId="21" fillId="9" borderId="36" xfId="13" applyNumberFormat="1" applyFont="1" applyFill="1" applyBorder="1"/>
    <xf numFmtId="171" fontId="21" fillId="9" borderId="36" xfId="14" applyNumberFormat="1" applyFont="1" applyFill="1" applyBorder="1"/>
    <xf numFmtId="171" fontId="21" fillId="9" borderId="37" xfId="14" applyNumberFormat="1" applyFont="1" applyFill="1" applyBorder="1"/>
    <xf numFmtId="10" fontId="115" fillId="20" borderId="0" xfId="2" applyNumberFormat="1" applyFont="1" applyFill="1" applyBorder="1"/>
    <xf numFmtId="10" fontId="107" fillId="20" borderId="0" xfId="2" applyNumberFormat="1" applyFont="1" applyFill="1" applyBorder="1"/>
    <xf numFmtId="174" fontId="21" fillId="0" borderId="0" xfId="13" applyNumberFormat="1" applyFont="1" applyFill="1" applyBorder="1"/>
    <xf numFmtId="0" fontId="21" fillId="19" borderId="26" xfId="0" applyFont="1" applyFill="1" applyBorder="1" applyAlignment="1">
      <alignment horizontal="right"/>
    </xf>
    <xf numFmtId="0" fontId="21" fillId="19" borderId="0" xfId="0" applyFont="1" applyFill="1" applyAlignment="1">
      <alignment horizontal="right"/>
    </xf>
    <xf numFmtId="171" fontId="21" fillId="19" borderId="0" xfId="2" applyNumberFormat="1" applyFont="1" applyFill="1" applyBorder="1" applyAlignment="1">
      <alignment horizontal="right"/>
    </xf>
    <xf numFmtId="171" fontId="21" fillId="0" borderId="0" xfId="2" applyNumberFormat="1" applyFont="1" applyFill="1" applyBorder="1" applyAlignment="1">
      <alignment horizontal="right"/>
    </xf>
    <xf numFmtId="171" fontId="17" fillId="19" borderId="0" xfId="0" applyNumberFormat="1" applyFont="1" applyFill="1" applyAlignment="1">
      <alignment horizontal="right"/>
    </xf>
    <xf numFmtId="171" fontId="21" fillId="11" borderId="0" xfId="2" applyNumberFormat="1" applyFont="1" applyFill="1" applyBorder="1" applyAlignment="1">
      <alignment horizontal="right"/>
    </xf>
    <xf numFmtId="37" fontId="94" fillId="19" borderId="0" xfId="1" applyNumberFormat="1" applyFont="1" applyFill="1" applyBorder="1"/>
    <xf numFmtId="0" fontId="22" fillId="19" borderId="25" xfId="0" applyFont="1" applyFill="1" applyBorder="1" applyAlignment="1">
      <alignment horizontal="right"/>
    </xf>
    <xf numFmtId="171" fontId="94" fillId="19" borderId="25" xfId="2" applyNumberFormat="1" applyFont="1" applyFill="1" applyBorder="1"/>
    <xf numFmtId="172" fontId="94" fillId="19" borderId="25" xfId="1" applyNumberFormat="1" applyFont="1" applyFill="1" applyBorder="1"/>
    <xf numFmtId="172" fontId="84" fillId="19" borderId="25" xfId="1" applyNumberFormat="1" applyFont="1" applyFill="1" applyBorder="1"/>
    <xf numFmtId="179" fontId="84" fillId="19" borderId="25" xfId="1" applyNumberFormat="1" applyFont="1" applyFill="1" applyBorder="1"/>
    <xf numFmtId="0" fontId="17" fillId="19" borderId="45" xfId="0" applyFont="1" applyFill="1" applyBorder="1"/>
    <xf numFmtId="171" fontId="38" fillId="19" borderId="45" xfId="2" applyNumberFormat="1" applyFont="1" applyFill="1" applyBorder="1"/>
    <xf numFmtId="171" fontId="38" fillId="19" borderId="47" xfId="2" applyNumberFormat="1" applyFont="1" applyFill="1" applyBorder="1"/>
    <xf numFmtId="10" fontId="82" fillId="19" borderId="45" xfId="2" applyNumberFormat="1" applyFont="1" applyFill="1" applyBorder="1"/>
    <xf numFmtId="0" fontId="17" fillId="19" borderId="47" xfId="0" applyFont="1" applyFill="1" applyBorder="1"/>
    <xf numFmtId="0" fontId="17" fillId="19" borderId="45" xfId="0" applyFont="1" applyFill="1" applyBorder="1" applyAlignment="1">
      <alignment horizontal="right"/>
    </xf>
    <xf numFmtId="172" fontId="38" fillId="19" borderId="45" xfId="1" applyNumberFormat="1" applyFont="1" applyFill="1" applyBorder="1"/>
    <xf numFmtId="43" fontId="22" fillId="19" borderId="45" xfId="1" applyFont="1" applyFill="1" applyBorder="1"/>
    <xf numFmtId="179" fontId="82" fillId="19" borderId="45" xfId="1" applyNumberFormat="1" applyFont="1" applyFill="1" applyBorder="1"/>
    <xf numFmtId="179" fontId="40" fillId="11" borderId="0" xfId="1" applyNumberFormat="1" applyFont="1" applyFill="1" applyBorder="1" applyAlignment="1">
      <alignment horizontal="right"/>
    </xf>
    <xf numFmtId="37" fontId="71" fillId="0" borderId="0" xfId="13" applyNumberFormat="1" applyFont="1" applyAlignment="1">
      <alignment horizontal="right" vertical="center"/>
    </xf>
    <xf numFmtId="171" fontId="41" fillId="11" borderId="0" xfId="2" applyNumberFormat="1" applyFont="1" applyFill="1" applyBorder="1" applyAlignment="1">
      <alignment horizontal="right"/>
    </xf>
    <xf numFmtId="165" fontId="21" fillId="9" borderId="0" xfId="13" applyFont="1" applyFill="1" applyBorder="1"/>
    <xf numFmtId="171" fontId="38" fillId="11" borderId="0" xfId="2" applyNumberFormat="1" applyFont="1" applyFill="1" applyBorder="1"/>
    <xf numFmtId="2" fontId="38" fillId="0" borderId="0" xfId="2" applyNumberFormat="1" applyFont="1" applyFill="1" applyBorder="1" applyAlignment="1">
      <alignment horizontal="center" vertical="center"/>
    </xf>
    <xf numFmtId="0" fontId="0" fillId="0" borderId="29" xfId="0" applyBorder="1"/>
    <xf numFmtId="174" fontId="31" fillId="9" borderId="31" xfId="1" applyNumberFormat="1" applyFont="1" applyFill="1" applyBorder="1" applyAlignment="1">
      <alignment vertical="center"/>
    </xf>
    <xf numFmtId="171" fontId="17" fillId="0" borderId="29" xfId="2" applyNumberFormat="1" applyFont="1" applyBorder="1"/>
    <xf numFmtId="171" fontId="40" fillId="0" borderId="29" xfId="2" applyNumberFormat="1" applyFont="1" applyBorder="1"/>
    <xf numFmtId="0" fontId="0" fillId="31" borderId="29" xfId="0" applyFill="1" applyBorder="1"/>
    <xf numFmtId="37" fontId="84" fillId="19" borderId="0" xfId="1" applyNumberFormat="1" applyFont="1" applyFill="1" applyBorder="1"/>
    <xf numFmtId="37" fontId="23" fillId="0" borderId="26" xfId="14" applyNumberFormat="1" applyFont="1" applyBorder="1"/>
    <xf numFmtId="174" fontId="23" fillId="0" borderId="0" xfId="13" applyNumberFormat="1" applyFont="1" applyFill="1" applyBorder="1"/>
    <xf numFmtId="174" fontId="23" fillId="0" borderId="36" xfId="13" applyNumberFormat="1" applyFont="1" applyFill="1" applyBorder="1"/>
    <xf numFmtId="37" fontId="21" fillId="0" borderId="26" xfId="14" applyNumberFormat="1" applyFont="1" applyBorder="1"/>
    <xf numFmtId="171" fontId="21" fillId="0" borderId="0" xfId="12" applyNumberFormat="1" applyFont="1" applyFill="1" applyBorder="1"/>
    <xf numFmtId="171" fontId="21" fillId="0" borderId="36" xfId="12" applyNumberFormat="1" applyFont="1" applyFill="1" applyBorder="1"/>
    <xf numFmtId="179" fontId="23" fillId="0" borderId="0" xfId="1" applyNumberFormat="1" applyFont="1" applyFill="1"/>
    <xf numFmtId="171" fontId="151" fillId="0" borderId="0" xfId="12" applyNumberFormat="1" applyFont="1" applyFill="1" applyBorder="1"/>
    <xf numFmtId="171" fontId="151" fillId="0" borderId="36" xfId="12" applyNumberFormat="1" applyFont="1" applyFill="1" applyBorder="1"/>
    <xf numFmtId="0" fontId="154" fillId="0" borderId="0" xfId="14" applyFont="1"/>
    <xf numFmtId="0" fontId="21" fillId="0" borderId="26" xfId="14" applyFont="1" applyBorder="1"/>
    <xf numFmtId="171" fontId="23" fillId="0" borderId="0" xfId="2" applyNumberFormat="1" applyFont="1" applyFill="1" applyBorder="1"/>
    <xf numFmtId="0" fontId="154" fillId="0" borderId="26" xfId="14" applyFont="1" applyBorder="1"/>
    <xf numFmtId="0" fontId="21" fillId="0" borderId="36" xfId="14" applyFont="1" applyBorder="1"/>
    <xf numFmtId="171" fontId="23" fillId="0" borderId="36" xfId="2" applyNumberFormat="1" applyFont="1" applyFill="1" applyBorder="1"/>
    <xf numFmtId="0" fontId="154" fillId="0" borderId="36" xfId="14" applyFont="1" applyBorder="1"/>
    <xf numFmtId="0" fontId="23" fillId="0" borderId="26" xfId="14" applyFont="1" applyBorder="1" applyAlignment="1">
      <alignment horizontal="right"/>
    </xf>
    <xf numFmtId="171" fontId="21" fillId="0" borderId="0" xfId="2" applyNumberFormat="1" applyFont="1" applyFill="1" applyBorder="1"/>
    <xf numFmtId="179" fontId="23" fillId="0" borderId="0" xfId="1" applyNumberFormat="1" applyFont="1" applyFill="1" applyBorder="1"/>
    <xf numFmtId="43" fontId="21" fillId="9" borderId="0" xfId="1" applyFont="1" applyFill="1" applyBorder="1"/>
    <xf numFmtId="172" fontId="21" fillId="9" borderId="0" xfId="1" applyNumberFormat="1" applyFont="1" applyFill="1" applyBorder="1"/>
    <xf numFmtId="167" fontId="23" fillId="0" borderId="29" xfId="1" applyNumberFormat="1" applyFont="1" applyFill="1" applyBorder="1" applyAlignment="1">
      <alignment horizontal="center" vertical="center"/>
    </xf>
    <xf numFmtId="172" fontId="36" fillId="20" borderId="51" xfId="1" applyNumberFormat="1" applyFont="1" applyFill="1" applyBorder="1"/>
    <xf numFmtId="10" fontId="30" fillId="0" borderId="24" xfId="0" applyNumberFormat="1" applyFont="1" applyBorder="1" applyAlignment="1">
      <alignment horizontal="left"/>
    </xf>
    <xf numFmtId="0" fontId="19" fillId="6" borderId="26" xfId="3" applyFont="1" applyFill="1" applyBorder="1" applyAlignment="1">
      <alignment horizontal="center" vertical="center" wrapText="1"/>
    </xf>
    <xf numFmtId="167" fontId="21" fillId="0" borderId="26" xfId="1" applyNumberFormat="1" applyFont="1" applyFill="1" applyBorder="1" applyAlignment="1">
      <alignment horizontal="center" vertical="center"/>
    </xf>
    <xf numFmtId="167" fontId="23" fillId="0" borderId="48" xfId="1" applyNumberFormat="1" applyFont="1" applyFill="1" applyBorder="1" applyAlignment="1">
      <alignment horizontal="center" vertical="center"/>
    </xf>
    <xf numFmtId="167" fontId="58" fillId="0" borderId="26" xfId="1" applyNumberFormat="1" applyFont="1" applyFill="1" applyBorder="1" applyAlignment="1">
      <alignment horizontal="center" vertical="center"/>
    </xf>
    <xf numFmtId="167" fontId="40" fillId="0" borderId="26" xfId="1" applyNumberFormat="1" applyFont="1" applyFill="1" applyBorder="1" applyAlignment="1">
      <alignment horizontal="center" vertical="center"/>
    </xf>
    <xf numFmtId="167" fontId="23" fillId="0" borderId="26" xfId="1" applyNumberFormat="1" applyFont="1" applyFill="1" applyBorder="1" applyAlignment="1">
      <alignment horizontal="center" vertical="center"/>
    </xf>
    <xf numFmtId="167" fontId="41" fillId="0" borderId="26" xfId="1" applyNumberFormat="1" applyFont="1" applyFill="1" applyBorder="1" applyAlignment="1">
      <alignment horizontal="center" vertical="center"/>
    </xf>
    <xf numFmtId="171" fontId="21" fillId="0" borderId="47" xfId="2" applyNumberFormat="1" applyFont="1" applyFill="1" applyBorder="1" applyAlignment="1">
      <alignment horizontal="center" vertical="center"/>
    </xf>
    <xf numFmtId="43" fontId="36" fillId="0" borderId="26" xfId="1" applyFont="1" applyFill="1" applyBorder="1" applyAlignment="1">
      <alignment horizontal="center" vertical="center"/>
    </xf>
    <xf numFmtId="167" fontId="23" fillId="0" borderId="30" xfId="1" applyNumberFormat="1" applyFont="1" applyFill="1" applyBorder="1" applyAlignment="1">
      <alignment horizontal="center" vertical="center"/>
    </xf>
    <xf numFmtId="171" fontId="38" fillId="0" borderId="26" xfId="2" applyNumberFormat="1" applyFont="1" applyFill="1" applyBorder="1" applyAlignment="1">
      <alignment horizontal="center" vertical="center"/>
    </xf>
    <xf numFmtId="169" fontId="25" fillId="0" borderId="26" xfId="2" applyNumberFormat="1" applyFont="1" applyFill="1" applyBorder="1" applyAlignment="1">
      <alignment horizontal="center" vertical="center"/>
    </xf>
    <xf numFmtId="0" fontId="17" fillId="0" borderId="26" xfId="0" applyFont="1" applyBorder="1"/>
    <xf numFmtId="167" fontId="22" fillId="0" borderId="26" xfId="1" applyNumberFormat="1" applyFont="1" applyFill="1" applyBorder="1" applyAlignment="1">
      <alignment horizontal="center" vertical="center"/>
    </xf>
    <xf numFmtId="167" fontId="36" fillId="0" borderId="26" xfId="1" applyNumberFormat="1" applyFont="1" applyFill="1" applyBorder="1" applyAlignment="1">
      <alignment horizontal="center" vertical="center"/>
    </xf>
    <xf numFmtId="169" fontId="143" fillId="0" borderId="26" xfId="2" applyNumberFormat="1" applyFont="1" applyFill="1" applyBorder="1" applyAlignment="1">
      <alignment horizontal="center" vertical="center"/>
    </xf>
    <xf numFmtId="171" fontId="39" fillId="0" borderId="26" xfId="2" applyNumberFormat="1" applyFont="1" applyFill="1" applyBorder="1" applyAlignment="1">
      <alignment horizontal="center" vertical="center"/>
    </xf>
    <xf numFmtId="171" fontId="138" fillId="0" borderId="26" xfId="2" applyNumberFormat="1" applyFont="1" applyFill="1" applyBorder="1" applyAlignment="1">
      <alignment horizontal="center" vertical="center"/>
    </xf>
    <xf numFmtId="179" fontId="25" fillId="0" borderId="26" xfId="1" applyNumberFormat="1" applyFont="1" applyFill="1" applyBorder="1" applyAlignment="1">
      <alignment horizontal="center" vertical="center"/>
    </xf>
    <xf numFmtId="172" fontId="25" fillId="0" borderId="26" xfId="1" applyNumberFormat="1" applyFont="1" applyFill="1" applyBorder="1" applyAlignment="1">
      <alignment horizontal="center" vertical="center"/>
    </xf>
    <xf numFmtId="167" fontId="37" fillId="0" borderId="26" xfId="1" applyNumberFormat="1" applyFont="1" applyBorder="1" applyAlignment="1">
      <alignment horizontal="center"/>
    </xf>
    <xf numFmtId="167" fontId="23" fillId="5" borderId="26" xfId="1" applyNumberFormat="1" applyFont="1" applyFill="1" applyBorder="1" applyAlignment="1">
      <alignment horizontal="center" vertical="center" wrapText="1"/>
    </xf>
    <xf numFmtId="171" fontId="29" fillId="0" borderId="26" xfId="2" applyNumberFormat="1" applyFont="1" applyBorder="1" applyAlignment="1">
      <alignment horizontal="center"/>
    </xf>
    <xf numFmtId="167" fontId="22" fillId="0" borderId="26" xfId="1" applyNumberFormat="1" applyFont="1" applyBorder="1" applyAlignment="1">
      <alignment horizontal="center"/>
    </xf>
    <xf numFmtId="0" fontId="17" fillId="19" borderId="48" xfId="0" applyFont="1" applyFill="1" applyBorder="1"/>
    <xf numFmtId="171" fontId="17" fillId="19" borderId="26" xfId="2" applyNumberFormat="1" applyFont="1" applyFill="1" applyBorder="1"/>
    <xf numFmtId="168" fontId="40" fillId="19" borderId="26" xfId="0" applyNumberFormat="1" applyFont="1" applyFill="1" applyBorder="1"/>
    <xf numFmtId="171" fontId="39" fillId="19" borderId="26" xfId="2" applyNumberFormat="1" applyFont="1" applyFill="1" applyBorder="1"/>
    <xf numFmtId="10" fontId="82" fillId="19" borderId="26" xfId="0" applyNumberFormat="1" applyFont="1" applyFill="1" applyBorder="1"/>
    <xf numFmtId="172" fontId="94" fillId="19" borderId="24" xfId="1" applyNumberFormat="1" applyFont="1" applyFill="1" applyBorder="1"/>
    <xf numFmtId="171" fontId="162" fillId="19" borderId="26" xfId="2" applyNumberFormat="1" applyFont="1" applyFill="1" applyBorder="1"/>
    <xf numFmtId="171" fontId="21" fillId="19" borderId="26" xfId="2" applyNumberFormat="1" applyFont="1" applyFill="1" applyBorder="1" applyAlignment="1">
      <alignment horizontal="right"/>
    </xf>
    <xf numFmtId="179" fontId="136" fillId="19" borderId="26" xfId="1" applyNumberFormat="1" applyFont="1" applyFill="1" applyBorder="1"/>
    <xf numFmtId="10" fontId="38" fillId="19" borderId="26" xfId="2" applyNumberFormat="1" applyFont="1" applyFill="1" applyBorder="1"/>
    <xf numFmtId="179" fontId="36" fillId="19" borderId="26" xfId="1" applyNumberFormat="1" applyFont="1" applyFill="1" applyBorder="1" applyAlignment="1">
      <alignment horizontal="right"/>
    </xf>
    <xf numFmtId="171" fontId="17" fillId="19" borderId="26" xfId="2" applyNumberFormat="1" applyFont="1" applyFill="1" applyBorder="1" applyAlignment="1">
      <alignment horizontal="right"/>
    </xf>
    <xf numFmtId="172" fontId="38" fillId="19" borderId="26" xfId="1" applyNumberFormat="1" applyFont="1" applyFill="1" applyBorder="1"/>
    <xf numFmtId="172" fontId="94" fillId="19" borderId="26" xfId="1" applyNumberFormat="1" applyFont="1" applyFill="1" applyBorder="1"/>
    <xf numFmtId="172" fontId="38" fillId="19" borderId="47" xfId="1" applyNumberFormat="1" applyFont="1" applyFill="1" applyBorder="1"/>
    <xf numFmtId="172" fontId="37" fillId="19" borderId="26" xfId="1" applyNumberFormat="1" applyFont="1" applyFill="1" applyBorder="1"/>
    <xf numFmtId="10" fontId="166" fillId="19" borderId="26" xfId="2" applyNumberFormat="1" applyFont="1" applyFill="1" applyBorder="1"/>
    <xf numFmtId="165" fontId="37" fillId="19" borderId="26" xfId="0" applyNumberFormat="1" applyFont="1" applyFill="1" applyBorder="1"/>
    <xf numFmtId="10" fontId="108" fillId="19" borderId="26" xfId="2" applyNumberFormat="1" applyFont="1" applyFill="1" applyBorder="1"/>
    <xf numFmtId="10" fontId="82" fillId="11" borderId="26" xfId="0" applyNumberFormat="1" applyFont="1" applyFill="1" applyBorder="1" applyAlignment="1">
      <alignment vertical="center"/>
    </xf>
    <xf numFmtId="179" fontId="129" fillId="19" borderId="26" xfId="1" applyNumberFormat="1" applyFont="1" applyFill="1" applyBorder="1"/>
    <xf numFmtId="10" fontId="129" fillId="19" borderId="26" xfId="0" applyNumberFormat="1" applyFont="1" applyFill="1" applyBorder="1"/>
    <xf numFmtId="167" fontId="37" fillId="19" borderId="26" xfId="1" applyNumberFormat="1" applyFont="1" applyFill="1" applyBorder="1"/>
    <xf numFmtId="10" fontId="96" fillId="19" borderId="26" xfId="2" applyNumberFormat="1" applyFont="1" applyFill="1" applyBorder="1"/>
    <xf numFmtId="171" fontId="82" fillId="19" borderId="26" xfId="2" applyNumberFormat="1" applyFont="1" applyFill="1" applyBorder="1"/>
    <xf numFmtId="10" fontId="21" fillId="19" borderId="26" xfId="2" applyNumberFormat="1" applyFont="1" applyFill="1" applyBorder="1"/>
    <xf numFmtId="167" fontId="23" fillId="19" borderId="26" xfId="1" applyNumberFormat="1" applyFont="1" applyFill="1" applyBorder="1"/>
    <xf numFmtId="10" fontId="23" fillId="19" borderId="26" xfId="2" applyNumberFormat="1" applyFont="1" applyFill="1" applyBorder="1"/>
    <xf numFmtId="171" fontId="23" fillId="19" borderId="26" xfId="2" applyNumberFormat="1" applyFont="1" applyFill="1" applyBorder="1"/>
    <xf numFmtId="43" fontId="129" fillId="19" borderId="24" xfId="1" applyFont="1" applyFill="1" applyBorder="1"/>
    <xf numFmtId="43" fontId="84" fillId="19" borderId="26" xfId="1" applyFont="1" applyFill="1" applyBorder="1"/>
    <xf numFmtId="167" fontId="84" fillId="19" borderId="26" xfId="1" applyNumberFormat="1" applyFont="1" applyFill="1" applyBorder="1"/>
    <xf numFmtId="167" fontId="82" fillId="19" borderId="26" xfId="1" applyNumberFormat="1" applyFont="1" applyFill="1" applyBorder="1"/>
    <xf numFmtId="165" fontId="58" fillId="19" borderId="26" xfId="0" applyNumberFormat="1" applyFont="1" applyFill="1" applyBorder="1"/>
    <xf numFmtId="172" fontId="58" fillId="19" borderId="26" xfId="1" applyNumberFormat="1" applyFont="1" applyFill="1" applyBorder="1"/>
    <xf numFmtId="171" fontId="84" fillId="19" borderId="26" xfId="2" applyNumberFormat="1" applyFont="1" applyFill="1" applyBorder="1"/>
    <xf numFmtId="10" fontId="115" fillId="19" borderId="26" xfId="0" applyNumberFormat="1" applyFont="1" applyFill="1" applyBorder="1"/>
    <xf numFmtId="9" fontId="41" fillId="19" borderId="26" xfId="2" applyFont="1" applyFill="1" applyBorder="1"/>
    <xf numFmtId="9" fontId="22" fillId="19" borderId="26" xfId="0" applyNumberFormat="1" applyFont="1" applyFill="1" applyBorder="1"/>
    <xf numFmtId="171" fontId="22" fillId="19" borderId="26" xfId="2" applyNumberFormat="1" applyFont="1" applyFill="1" applyBorder="1"/>
    <xf numFmtId="167" fontId="40" fillId="19" borderId="26" xfId="0" applyNumberFormat="1" applyFont="1" applyFill="1" applyBorder="1"/>
    <xf numFmtId="180" fontId="86" fillId="19" borderId="26" xfId="0" applyNumberFormat="1" applyFont="1" applyFill="1" applyBorder="1"/>
    <xf numFmtId="167" fontId="41" fillId="19" borderId="26" xfId="0" applyNumberFormat="1" applyFont="1" applyFill="1" applyBorder="1"/>
    <xf numFmtId="167" fontId="36" fillId="19" borderId="26" xfId="0" applyNumberFormat="1" applyFont="1" applyFill="1" applyBorder="1"/>
    <xf numFmtId="179" fontId="27" fillId="19" borderId="26" xfId="1" applyNumberFormat="1" applyFont="1" applyFill="1" applyBorder="1"/>
    <xf numFmtId="43" fontId="17" fillId="19" borderId="26" xfId="1" applyFont="1" applyFill="1" applyBorder="1"/>
    <xf numFmtId="43" fontId="40" fillId="19" borderId="26" xfId="1" applyFont="1" applyFill="1" applyBorder="1"/>
    <xf numFmtId="171" fontId="36" fillId="19" borderId="26" xfId="2" applyNumberFormat="1" applyFont="1" applyFill="1" applyBorder="1"/>
    <xf numFmtId="172" fontId="17" fillId="19" borderId="26" xfId="1" applyNumberFormat="1" applyFont="1" applyFill="1" applyBorder="1"/>
    <xf numFmtId="172" fontId="58" fillId="19" borderId="26" xfId="1" applyNumberFormat="1" applyFont="1" applyFill="1" applyBorder="1" applyAlignment="1">
      <alignment horizontal="center" vertical="center"/>
    </xf>
    <xf numFmtId="2" fontId="23" fillId="19" borderId="26" xfId="0" applyNumberFormat="1" applyFont="1" applyFill="1" applyBorder="1"/>
    <xf numFmtId="167" fontId="21" fillId="19" borderId="26" xfId="1" applyNumberFormat="1" applyFont="1" applyFill="1" applyBorder="1"/>
    <xf numFmtId="10" fontId="38" fillId="34" borderId="26" xfId="2" applyNumberFormat="1" applyFont="1" applyFill="1" applyBorder="1"/>
    <xf numFmtId="167" fontId="161" fillId="34" borderId="26" xfId="1" applyNumberFormat="1" applyFont="1" applyFill="1" applyBorder="1" applyAlignment="1">
      <alignment horizontal="right"/>
    </xf>
    <xf numFmtId="167" fontId="94" fillId="34" borderId="26" xfId="1" applyNumberFormat="1" applyFont="1" applyFill="1" applyBorder="1"/>
    <xf numFmtId="167" fontId="84" fillId="34" borderId="26" xfId="1" applyNumberFormat="1" applyFont="1" applyFill="1" applyBorder="1"/>
    <xf numFmtId="43" fontId="94" fillId="34" borderId="26" xfId="1" applyFont="1" applyFill="1" applyBorder="1"/>
    <xf numFmtId="10" fontId="96" fillId="34" borderId="26" xfId="2" applyNumberFormat="1" applyFont="1" applyFill="1" applyBorder="1"/>
    <xf numFmtId="171" fontId="94" fillId="34" borderId="26" xfId="2" applyNumberFormat="1" applyFont="1" applyFill="1" applyBorder="1"/>
    <xf numFmtId="171" fontId="82" fillId="34" borderId="26" xfId="2" applyNumberFormat="1" applyFont="1" applyFill="1" applyBorder="1"/>
    <xf numFmtId="10" fontId="21" fillId="34" borderId="26" xfId="2" applyNumberFormat="1" applyFont="1" applyFill="1" applyBorder="1"/>
    <xf numFmtId="171" fontId="38" fillId="34" borderId="26" xfId="2" applyNumberFormat="1" applyFont="1" applyFill="1" applyBorder="1"/>
    <xf numFmtId="167" fontId="23" fillId="34" borderId="26" xfId="1" applyNumberFormat="1" applyFont="1" applyFill="1" applyBorder="1"/>
    <xf numFmtId="10" fontId="82" fillId="34" borderId="26" xfId="0" applyNumberFormat="1" applyFont="1" applyFill="1" applyBorder="1"/>
    <xf numFmtId="43" fontId="94" fillId="34" borderId="24" xfId="1" applyFont="1" applyFill="1" applyBorder="1"/>
    <xf numFmtId="10" fontId="162" fillId="34" borderId="26" xfId="0" applyNumberFormat="1" applyFont="1" applyFill="1" applyBorder="1"/>
    <xf numFmtId="10" fontId="115" fillId="34" borderId="26" xfId="0" applyNumberFormat="1" applyFont="1" applyFill="1" applyBorder="1"/>
    <xf numFmtId="43" fontId="36" fillId="19" borderId="26" xfId="1" applyFont="1" applyFill="1" applyBorder="1"/>
    <xf numFmtId="171" fontId="17" fillId="34" borderId="26" xfId="2" applyNumberFormat="1" applyFont="1" applyFill="1" applyBorder="1"/>
    <xf numFmtId="172" fontId="17" fillId="34" borderId="26" xfId="1" applyNumberFormat="1" applyFont="1" applyFill="1" applyBorder="1"/>
    <xf numFmtId="10" fontId="23" fillId="34" borderId="26" xfId="2" applyNumberFormat="1" applyFont="1" applyFill="1" applyBorder="1"/>
    <xf numFmtId="171" fontId="17" fillId="20" borderId="26" xfId="2" applyNumberFormat="1" applyFont="1" applyFill="1" applyBorder="1"/>
    <xf numFmtId="172" fontId="37" fillId="20" borderId="48" xfId="1" applyNumberFormat="1" applyFont="1" applyFill="1" applyBorder="1"/>
    <xf numFmtId="167" fontId="17" fillId="20" borderId="26" xfId="1" applyNumberFormat="1" applyFont="1" applyFill="1" applyBorder="1"/>
    <xf numFmtId="171" fontId="17" fillId="2" borderId="26" xfId="2" applyNumberFormat="1" applyFont="1" applyFill="1" applyBorder="1"/>
    <xf numFmtId="172" fontId="36" fillId="20" borderId="47" xfId="1" applyNumberFormat="1" applyFont="1" applyFill="1" applyBorder="1"/>
    <xf numFmtId="0" fontId="22" fillId="2" borderId="26" xfId="0" applyFont="1" applyFill="1" applyBorder="1"/>
    <xf numFmtId="43" fontId="17" fillId="2" borderId="26" xfId="1" applyFont="1" applyFill="1" applyBorder="1"/>
    <xf numFmtId="171" fontId="17" fillId="2" borderId="31" xfId="2" applyNumberFormat="1" applyFont="1" applyFill="1" applyBorder="1"/>
    <xf numFmtId="171" fontId="35" fillId="2" borderId="26" xfId="0" applyNumberFormat="1" applyFont="1" applyFill="1" applyBorder="1"/>
    <xf numFmtId="9" fontId="17" fillId="11" borderId="26" xfId="0" applyNumberFormat="1" applyFont="1" applyFill="1" applyBorder="1"/>
    <xf numFmtId="179" fontId="22" fillId="2" borderId="26" xfId="1" applyNumberFormat="1" applyFont="1" applyFill="1" applyBorder="1"/>
    <xf numFmtId="179" fontId="36" fillId="2" borderId="26" xfId="1" applyNumberFormat="1" applyFont="1" applyFill="1" applyBorder="1"/>
    <xf numFmtId="37" fontId="17" fillId="2" borderId="26" xfId="0" applyNumberFormat="1" applyFont="1" applyFill="1" applyBorder="1"/>
    <xf numFmtId="172" fontId="17" fillId="2" borderId="26" xfId="0" applyNumberFormat="1" applyFont="1" applyFill="1" applyBorder="1"/>
    <xf numFmtId="171" fontId="41" fillId="2" borderId="26" xfId="0" applyNumberFormat="1" applyFont="1" applyFill="1" applyBorder="1"/>
    <xf numFmtId="43" fontId="22" fillId="2" borderId="26" xfId="1" applyFont="1" applyFill="1" applyBorder="1"/>
    <xf numFmtId="43" fontId="94" fillId="2" borderId="26" xfId="1" applyFont="1" applyFill="1" applyBorder="1"/>
    <xf numFmtId="167" fontId="17" fillId="2" borderId="26" xfId="0" applyNumberFormat="1" applyFont="1" applyFill="1" applyBorder="1"/>
    <xf numFmtId="43" fontId="129" fillId="2" borderId="24" xfId="1" applyFont="1" applyFill="1" applyBorder="1"/>
    <xf numFmtId="167" fontId="97" fillId="2" borderId="26" xfId="1" applyNumberFormat="1" applyFont="1" applyFill="1" applyBorder="1"/>
    <xf numFmtId="171" fontId="29" fillId="2" borderId="26" xfId="2" applyNumberFormat="1" applyFont="1" applyFill="1" applyBorder="1"/>
    <xf numFmtId="172" fontId="37" fillId="2" borderId="26" xfId="1" applyNumberFormat="1" applyFont="1" applyFill="1" applyBorder="1"/>
    <xf numFmtId="171" fontId="96" fillId="2" borderId="26" xfId="2" applyNumberFormat="1" applyFont="1" applyFill="1" applyBorder="1"/>
    <xf numFmtId="10" fontId="107" fillId="2" borderId="26" xfId="2" applyNumberFormat="1" applyFont="1" applyFill="1" applyBorder="1"/>
    <xf numFmtId="167" fontId="129" fillId="2" borderId="26" xfId="1" applyNumberFormat="1" applyFont="1" applyFill="1" applyBorder="1"/>
    <xf numFmtId="171" fontId="38" fillId="2" borderId="26" xfId="2" applyNumberFormat="1" applyFont="1" applyFill="1" applyBorder="1"/>
    <xf numFmtId="10" fontId="82" fillId="2" borderId="26" xfId="2" applyNumberFormat="1" applyFont="1" applyFill="1" applyBorder="1"/>
    <xf numFmtId="43" fontId="97" fillId="2" borderId="24" xfId="1" applyFont="1" applyFill="1" applyBorder="1"/>
    <xf numFmtId="171" fontId="94" fillId="2" borderId="26" xfId="2" applyNumberFormat="1" applyFont="1" applyFill="1" applyBorder="1"/>
    <xf numFmtId="43" fontId="22" fillId="2" borderId="24" xfId="0" applyNumberFormat="1" applyFont="1" applyFill="1" applyBorder="1"/>
    <xf numFmtId="10" fontId="80" fillId="20" borderId="26" xfId="2" applyNumberFormat="1" applyFont="1" applyFill="1" applyBorder="1"/>
    <xf numFmtId="172" fontId="58" fillId="2" borderId="26" xfId="1" applyNumberFormat="1" applyFont="1" applyFill="1" applyBorder="1"/>
    <xf numFmtId="10" fontId="84" fillId="2" borderId="26" xfId="2" applyNumberFormat="1" applyFont="1" applyFill="1" applyBorder="1"/>
    <xf numFmtId="10" fontId="108" fillId="2" borderId="26" xfId="2" applyNumberFormat="1" applyFont="1" applyFill="1" applyBorder="1"/>
    <xf numFmtId="10" fontId="115" fillId="2" borderId="26" xfId="0" applyNumberFormat="1" applyFont="1" applyFill="1" applyBorder="1"/>
    <xf numFmtId="179" fontId="36" fillId="21" borderId="26" xfId="1" applyNumberFormat="1" applyFont="1" applyFill="1" applyBorder="1"/>
    <xf numFmtId="180" fontId="22" fillId="21" borderId="26" xfId="0" applyNumberFormat="1" applyFont="1" applyFill="1" applyBorder="1"/>
    <xf numFmtId="180" fontId="17" fillId="21" borderId="26" xfId="0" applyNumberFormat="1" applyFont="1" applyFill="1" applyBorder="1"/>
    <xf numFmtId="172" fontId="17" fillId="21" borderId="26" xfId="0" applyNumberFormat="1" applyFont="1" applyFill="1" applyBorder="1"/>
    <xf numFmtId="172" fontId="22" fillId="21" borderId="26" xfId="1" applyNumberFormat="1" applyFont="1" applyFill="1" applyBorder="1"/>
    <xf numFmtId="172" fontId="37" fillId="21" borderId="24" xfId="1" applyNumberFormat="1" applyFont="1" applyFill="1" applyBorder="1"/>
    <xf numFmtId="167" fontId="22" fillId="21" borderId="26" xfId="1" applyNumberFormat="1" applyFont="1" applyFill="1" applyBorder="1"/>
    <xf numFmtId="168" fontId="37" fillId="21" borderId="26" xfId="0" applyNumberFormat="1" applyFont="1" applyFill="1" applyBorder="1"/>
    <xf numFmtId="171" fontId="134" fillId="21" borderId="26" xfId="2" applyNumberFormat="1" applyFont="1" applyFill="1" applyBorder="1"/>
    <xf numFmtId="167" fontId="37" fillId="21" borderId="26" xfId="1" applyNumberFormat="1" applyFont="1" applyFill="1" applyBorder="1"/>
    <xf numFmtId="165" fontId="37" fillId="21" borderId="26" xfId="0" applyNumberFormat="1" applyFont="1" applyFill="1" applyBorder="1"/>
    <xf numFmtId="43" fontId="17" fillId="25" borderId="24" xfId="0" applyNumberFormat="1" applyFont="1" applyFill="1" applyBorder="1"/>
    <xf numFmtId="0" fontId="17" fillId="25" borderId="26" xfId="0" applyFont="1" applyFill="1" applyBorder="1"/>
    <xf numFmtId="43" fontId="22" fillId="25" borderId="26" xfId="0" applyNumberFormat="1" applyFont="1" applyFill="1" applyBorder="1"/>
    <xf numFmtId="171" fontId="17" fillId="25" borderId="26" xfId="2" applyNumberFormat="1" applyFont="1" applyFill="1" applyBorder="1"/>
    <xf numFmtId="165" fontId="17" fillId="25" borderId="26" xfId="0" applyNumberFormat="1" applyFont="1" applyFill="1" applyBorder="1"/>
    <xf numFmtId="165" fontId="22" fillId="25" borderId="26" xfId="0" applyNumberFormat="1" applyFont="1" applyFill="1" applyBorder="1"/>
    <xf numFmtId="43" fontId="22" fillId="25" borderId="26" xfId="1" applyFont="1" applyFill="1" applyBorder="1"/>
    <xf numFmtId="43" fontId="17" fillId="25" borderId="26" xfId="1" applyFont="1" applyFill="1" applyBorder="1"/>
    <xf numFmtId="167" fontId="17" fillId="25" borderId="26" xfId="0" applyNumberFormat="1" applyFont="1" applyFill="1" applyBorder="1"/>
    <xf numFmtId="165" fontId="41" fillId="11" borderId="26" xfId="0" applyNumberFormat="1" applyFont="1" applyFill="1" applyBorder="1"/>
    <xf numFmtId="171" fontId="17" fillId="0" borderId="41" xfId="2" applyNumberFormat="1" applyFont="1" applyBorder="1"/>
    <xf numFmtId="171" fontId="17" fillId="0" borderId="26" xfId="2" applyNumberFormat="1" applyFont="1" applyBorder="1"/>
    <xf numFmtId="171" fontId="17" fillId="0" borderId="48" xfId="2" applyNumberFormat="1" applyFont="1" applyBorder="1"/>
    <xf numFmtId="43" fontId="17" fillId="0" borderId="26" xfId="1" applyFont="1" applyBorder="1"/>
    <xf numFmtId="167" fontId="40" fillId="0" borderId="26" xfId="1" applyNumberFormat="1" applyFont="1" applyBorder="1"/>
    <xf numFmtId="43" fontId="22" fillId="0" borderId="26" xfId="1" applyFont="1" applyBorder="1"/>
    <xf numFmtId="43" fontId="35" fillId="0" borderId="26" xfId="1" applyFont="1" applyBorder="1"/>
    <xf numFmtId="43" fontId="37" fillId="0" borderId="26" xfId="1" applyFont="1" applyBorder="1"/>
    <xf numFmtId="167" fontId="35" fillId="0" borderId="26" xfId="1" applyNumberFormat="1" applyFont="1" applyBorder="1"/>
    <xf numFmtId="167" fontId="37" fillId="0" borderId="26" xfId="1" applyNumberFormat="1" applyFont="1" applyBorder="1"/>
    <xf numFmtId="167" fontId="58" fillId="0" borderId="24" xfId="1" applyNumberFormat="1" applyFont="1" applyBorder="1"/>
    <xf numFmtId="167" fontId="22" fillId="0" borderId="26" xfId="1" applyNumberFormat="1" applyFont="1" applyBorder="1"/>
    <xf numFmtId="167" fontId="37" fillId="0" borderId="48" xfId="1" applyNumberFormat="1" applyFont="1" applyFill="1" applyBorder="1" applyAlignment="1">
      <alignment horizontal="center" vertical="center"/>
    </xf>
    <xf numFmtId="167" fontId="36" fillId="0" borderId="26" xfId="1" applyNumberFormat="1" applyFont="1" applyBorder="1" applyAlignment="1">
      <alignment horizontal="center" vertical="center"/>
    </xf>
    <xf numFmtId="167" fontId="21" fillId="0" borderId="26" xfId="1" applyNumberFormat="1" applyFont="1" applyBorder="1" applyAlignment="1">
      <alignment horizontal="center" vertical="center"/>
    </xf>
    <xf numFmtId="171" fontId="21" fillId="0" borderId="47" xfId="2" applyNumberFormat="1" applyFont="1" applyBorder="1" applyAlignment="1">
      <alignment horizontal="center" vertical="center"/>
    </xf>
    <xf numFmtId="167" fontId="37" fillId="0" borderId="30" xfId="1" applyNumberFormat="1" applyFont="1" applyFill="1" applyBorder="1" applyAlignment="1">
      <alignment horizontal="center" vertical="center"/>
    </xf>
    <xf numFmtId="171" fontId="36" fillId="0" borderId="26" xfId="2" applyNumberFormat="1" applyFont="1" applyFill="1" applyBorder="1" applyAlignment="1">
      <alignment horizontal="center" vertical="center"/>
    </xf>
    <xf numFmtId="167" fontId="23" fillId="0" borderId="26" xfId="1" applyNumberFormat="1" applyFont="1" applyBorder="1" applyAlignment="1">
      <alignment horizontal="center"/>
    </xf>
    <xf numFmtId="0" fontId="17" fillId="19" borderId="41" xfId="0" applyFont="1" applyFill="1" applyBorder="1"/>
    <xf numFmtId="171" fontId="175" fillId="19" borderId="26" xfId="2" applyNumberFormat="1" applyFont="1" applyFill="1" applyBorder="1"/>
    <xf numFmtId="171" fontId="94" fillId="19" borderId="24" xfId="2" applyNumberFormat="1" applyFont="1" applyFill="1" applyBorder="1"/>
    <xf numFmtId="43" fontId="82" fillId="11" borderId="26" xfId="2" applyNumberFormat="1" applyFont="1" applyFill="1" applyBorder="1" applyAlignment="1">
      <alignment vertical="center"/>
    </xf>
    <xf numFmtId="179" fontId="82" fillId="19" borderId="26" xfId="1" applyNumberFormat="1" applyFont="1" applyFill="1" applyBorder="1"/>
    <xf numFmtId="43" fontId="82" fillId="19" borderId="26" xfId="2" applyNumberFormat="1" applyFont="1" applyFill="1" applyBorder="1"/>
    <xf numFmtId="10" fontId="82" fillId="19" borderId="26" xfId="2" applyNumberFormat="1" applyFont="1" applyFill="1" applyBorder="1"/>
    <xf numFmtId="167" fontId="129" fillId="19" borderId="26" xfId="1" applyNumberFormat="1" applyFont="1" applyFill="1" applyBorder="1"/>
    <xf numFmtId="10" fontId="115" fillId="19" borderId="26" xfId="2" applyNumberFormat="1" applyFont="1" applyFill="1" applyBorder="1"/>
    <xf numFmtId="9" fontId="36" fillId="19" borderId="26" xfId="2" applyFont="1" applyFill="1" applyBorder="1"/>
    <xf numFmtId="179" fontId="36" fillId="19" borderId="26" xfId="1" applyNumberFormat="1" applyFont="1" applyFill="1" applyBorder="1"/>
    <xf numFmtId="179" fontId="109" fillId="19" borderId="26" xfId="1" applyNumberFormat="1" applyFont="1" applyFill="1" applyBorder="1"/>
    <xf numFmtId="170" fontId="23" fillId="19" borderId="26" xfId="0" applyNumberFormat="1" applyFont="1" applyFill="1" applyBorder="1"/>
    <xf numFmtId="167" fontId="160" fillId="34" borderId="26" xfId="1" applyNumberFormat="1" applyFont="1" applyFill="1" applyBorder="1" applyAlignment="1">
      <alignment horizontal="right"/>
    </xf>
    <xf numFmtId="167" fontId="37" fillId="34" borderId="26" xfId="1" applyNumberFormat="1" applyFont="1" applyFill="1" applyBorder="1"/>
    <xf numFmtId="10" fontId="82" fillId="34" borderId="26" xfId="2" applyNumberFormat="1" applyFont="1" applyFill="1" applyBorder="1"/>
    <xf numFmtId="43" fontId="129" fillId="34" borderId="26" xfId="1" applyFont="1" applyFill="1" applyBorder="1"/>
    <xf numFmtId="10" fontId="115" fillId="34" borderId="26" xfId="2" applyNumberFormat="1" applyFont="1" applyFill="1" applyBorder="1"/>
    <xf numFmtId="172" fontId="37" fillId="20" borderId="48" xfId="0" applyNumberFormat="1" applyFont="1" applyFill="1" applyBorder="1"/>
    <xf numFmtId="9" fontId="37" fillId="2" borderId="26" xfId="2" applyFont="1" applyFill="1" applyBorder="1"/>
    <xf numFmtId="9" fontId="22" fillId="2" borderId="26" xfId="2" applyFont="1" applyFill="1" applyBorder="1"/>
    <xf numFmtId="179" fontId="17" fillId="2" borderId="26" xfId="0" applyNumberFormat="1" applyFont="1" applyFill="1" applyBorder="1"/>
    <xf numFmtId="167" fontId="23" fillId="2" borderId="26" xfId="0" applyNumberFormat="1" applyFont="1" applyFill="1" applyBorder="1"/>
    <xf numFmtId="171" fontId="28" fillId="2" borderId="26" xfId="2" applyNumberFormat="1" applyFont="1" applyFill="1" applyBorder="1"/>
    <xf numFmtId="43" fontId="37" fillId="2" borderId="24" xfId="1" applyFont="1" applyFill="1" applyBorder="1"/>
    <xf numFmtId="10" fontId="94" fillId="2" borderId="26" xfId="2" applyNumberFormat="1" applyFont="1" applyFill="1" applyBorder="1"/>
    <xf numFmtId="10" fontId="115" fillId="2" borderId="26" xfId="2" applyNumberFormat="1" applyFont="1" applyFill="1" applyBorder="1"/>
    <xf numFmtId="179" fontId="17" fillId="21" borderId="26" xfId="0" applyNumberFormat="1" applyFont="1" applyFill="1" applyBorder="1"/>
    <xf numFmtId="43" fontId="37" fillId="21" borderId="26" xfId="1" applyFont="1" applyFill="1" applyBorder="1"/>
    <xf numFmtId="10" fontId="23" fillId="21" borderId="26" xfId="2" applyNumberFormat="1" applyFont="1" applyFill="1" applyBorder="1"/>
    <xf numFmtId="167" fontId="17" fillId="0" borderId="41" xfId="1" applyNumberFormat="1" applyFont="1" applyBorder="1"/>
    <xf numFmtId="167" fontId="17" fillId="0" borderId="26" xfId="1" applyNumberFormat="1" applyFont="1" applyBorder="1"/>
    <xf numFmtId="167" fontId="17" fillId="0" borderId="48" xfId="1" applyNumberFormat="1" applyFont="1" applyBorder="1"/>
    <xf numFmtId="167" fontId="17" fillId="0" borderId="26" xfId="2" applyNumberFormat="1" applyFont="1" applyBorder="1"/>
    <xf numFmtId="171" fontId="22" fillId="0" borderId="26" xfId="2" applyNumberFormat="1" applyFont="1" applyBorder="1"/>
    <xf numFmtId="167" fontId="22" fillId="0" borderId="26" xfId="2" applyNumberFormat="1" applyFont="1" applyBorder="1"/>
    <xf numFmtId="167" fontId="22" fillId="0" borderId="24" xfId="2" applyNumberFormat="1" applyFont="1" applyBorder="1"/>
    <xf numFmtId="0" fontId="19" fillId="6" borderId="27" xfId="3" applyFont="1" applyFill="1" applyBorder="1" applyAlignment="1">
      <alignment horizontal="center" vertical="center" wrapText="1"/>
    </xf>
    <xf numFmtId="167" fontId="21" fillId="0" borderId="27" xfId="1" applyNumberFormat="1" applyFont="1" applyFill="1" applyBorder="1" applyAlignment="1">
      <alignment horizontal="center" vertical="center"/>
    </xf>
    <xf numFmtId="169" fontId="25" fillId="0" borderId="27" xfId="2" applyNumberFormat="1" applyFont="1" applyFill="1" applyBorder="1" applyAlignment="1">
      <alignment horizontal="center" vertical="center"/>
    </xf>
    <xf numFmtId="167" fontId="23" fillId="0" borderId="27" xfId="1" applyNumberFormat="1" applyFont="1" applyFill="1" applyBorder="1" applyAlignment="1">
      <alignment horizontal="center" vertical="center"/>
    </xf>
    <xf numFmtId="171" fontId="21" fillId="0" borderId="27" xfId="2" applyNumberFormat="1" applyFont="1" applyFill="1" applyBorder="1" applyAlignment="1">
      <alignment horizontal="center" vertical="center"/>
    </xf>
    <xf numFmtId="169" fontId="25" fillId="11" borderId="27" xfId="2" applyNumberFormat="1" applyFont="1" applyFill="1" applyBorder="1" applyAlignment="1">
      <alignment horizontal="center" vertical="center"/>
    </xf>
    <xf numFmtId="167" fontId="21" fillId="11" borderId="27" xfId="1" applyNumberFormat="1" applyFont="1" applyFill="1" applyBorder="1" applyAlignment="1">
      <alignment horizontal="center" vertical="center"/>
    </xf>
    <xf numFmtId="171" fontId="21" fillId="11" borderId="27" xfId="2" applyNumberFormat="1" applyFont="1" applyFill="1" applyBorder="1" applyAlignment="1">
      <alignment horizontal="center" vertical="center"/>
    </xf>
    <xf numFmtId="171" fontId="38" fillId="0" borderId="27" xfId="2" applyNumberFormat="1" applyFont="1" applyFill="1" applyBorder="1" applyAlignment="1">
      <alignment horizontal="center" vertical="center"/>
    </xf>
    <xf numFmtId="169" fontId="143" fillId="0" borderId="27" xfId="2" applyNumberFormat="1" applyFont="1" applyFill="1" applyBorder="1" applyAlignment="1">
      <alignment horizontal="center" vertical="center"/>
    </xf>
    <xf numFmtId="179" fontId="25" fillId="0" borderId="27" xfId="1" applyNumberFormat="1" applyFont="1" applyFill="1" applyBorder="1" applyAlignment="1">
      <alignment horizontal="center" vertical="center"/>
    </xf>
    <xf numFmtId="167" fontId="37" fillId="0" borderId="27" xfId="1" applyNumberFormat="1" applyFont="1" applyFill="1" applyBorder="1" applyAlignment="1">
      <alignment horizontal="center" vertical="center"/>
    </xf>
    <xf numFmtId="167" fontId="36" fillId="0" borderId="27" xfId="1" applyNumberFormat="1" applyFont="1" applyFill="1" applyBorder="1" applyAlignment="1">
      <alignment horizontal="center" vertical="center"/>
    </xf>
    <xf numFmtId="2" fontId="168" fillId="0" borderId="27" xfId="2" applyNumberFormat="1" applyFont="1" applyFill="1" applyBorder="1" applyAlignment="1">
      <alignment horizontal="center" vertical="center"/>
    </xf>
    <xf numFmtId="2" fontId="136" fillId="0" borderId="27" xfId="2" applyNumberFormat="1" applyFont="1" applyFill="1" applyBorder="1" applyAlignment="1">
      <alignment horizontal="center" vertical="center"/>
    </xf>
    <xf numFmtId="172" fontId="25" fillId="0" borderId="27" xfId="1" applyNumberFormat="1" applyFont="1" applyFill="1" applyBorder="1" applyAlignment="1">
      <alignment horizontal="center" vertical="center"/>
    </xf>
    <xf numFmtId="167" fontId="22" fillId="0" borderId="27" xfId="1" applyNumberFormat="1" applyFont="1" applyBorder="1" applyAlignment="1">
      <alignment horizontal="center"/>
    </xf>
    <xf numFmtId="169" fontId="21" fillId="0" borderId="27" xfId="2" applyNumberFormat="1" applyFont="1" applyFill="1" applyBorder="1" applyAlignment="1">
      <alignment horizontal="center" vertical="center"/>
    </xf>
    <xf numFmtId="167" fontId="21" fillId="0" borderId="27" xfId="1" applyNumberFormat="1" applyFont="1" applyFill="1" applyBorder="1" applyAlignment="1">
      <alignment horizontal="center" vertical="center" wrapText="1"/>
    </xf>
    <xf numFmtId="171" fontId="29" fillId="0" borderId="27" xfId="2" applyNumberFormat="1" applyFont="1" applyFill="1" applyBorder="1" applyAlignment="1">
      <alignment horizontal="center"/>
    </xf>
    <xf numFmtId="167" fontId="22" fillId="0" borderId="27" xfId="1" applyNumberFormat="1" applyFont="1" applyFill="1" applyBorder="1" applyAlignment="1">
      <alignment horizontal="center"/>
    </xf>
    <xf numFmtId="0" fontId="17" fillId="0" borderId="27" xfId="0" applyFont="1" applyBorder="1"/>
    <xf numFmtId="0" fontId="17" fillId="19" borderId="27" xfId="0" applyFont="1" applyFill="1" applyBorder="1"/>
    <xf numFmtId="167" fontId="17" fillId="19" borderId="27" xfId="1" applyNumberFormat="1" applyFont="1" applyFill="1" applyBorder="1"/>
    <xf numFmtId="171" fontId="29" fillId="19" borderId="27" xfId="2" applyNumberFormat="1" applyFont="1" applyFill="1" applyBorder="1"/>
    <xf numFmtId="10" fontId="82" fillId="19" borderId="27" xfId="2" applyNumberFormat="1" applyFont="1" applyFill="1" applyBorder="1"/>
    <xf numFmtId="172" fontId="94" fillId="19" borderId="23" xfId="1" applyNumberFormat="1" applyFont="1" applyFill="1" applyBorder="1"/>
    <xf numFmtId="171" fontId="162" fillId="19" borderId="27" xfId="2" applyNumberFormat="1" applyFont="1" applyFill="1" applyBorder="1"/>
    <xf numFmtId="0" fontId="21" fillId="19" borderId="27" xfId="0" applyFont="1" applyFill="1" applyBorder="1" applyAlignment="1">
      <alignment horizontal="right"/>
    </xf>
    <xf numFmtId="179" fontId="17" fillId="19" borderId="27" xfId="1" applyNumberFormat="1" applyFont="1" applyFill="1" applyBorder="1"/>
    <xf numFmtId="171" fontId="38" fillId="19" borderId="27" xfId="2" applyNumberFormat="1" applyFont="1" applyFill="1" applyBorder="1"/>
    <xf numFmtId="10" fontId="38" fillId="19" borderId="27" xfId="2" applyNumberFormat="1" applyFont="1" applyFill="1" applyBorder="1"/>
    <xf numFmtId="179" fontId="17" fillId="19" borderId="27" xfId="1" applyNumberFormat="1" applyFont="1" applyFill="1" applyBorder="1" applyAlignment="1">
      <alignment horizontal="right"/>
    </xf>
    <xf numFmtId="0" fontId="17" fillId="19" borderId="27" xfId="0" applyFont="1" applyFill="1" applyBorder="1" applyAlignment="1">
      <alignment horizontal="right"/>
    </xf>
    <xf numFmtId="43" fontId="22" fillId="19" borderId="27" xfId="1" applyFont="1" applyFill="1" applyBorder="1"/>
    <xf numFmtId="171" fontId="115" fillId="19" borderId="27" xfId="2" applyNumberFormat="1" applyFont="1" applyFill="1" applyBorder="1"/>
    <xf numFmtId="171" fontId="96" fillId="19" borderId="27" xfId="2" applyNumberFormat="1" applyFont="1" applyFill="1" applyBorder="1"/>
    <xf numFmtId="10" fontId="166" fillId="19" borderId="27" xfId="2" applyNumberFormat="1" applyFont="1" applyFill="1" applyBorder="1"/>
    <xf numFmtId="37" fontId="22" fillId="19" borderId="27" xfId="1" applyNumberFormat="1" applyFont="1" applyFill="1" applyBorder="1"/>
    <xf numFmtId="167" fontId="22" fillId="19" borderId="27" xfId="1" applyNumberFormat="1" applyFont="1" applyFill="1" applyBorder="1"/>
    <xf numFmtId="171" fontId="94" fillId="19" borderId="27" xfId="2" applyNumberFormat="1" applyFont="1" applyFill="1" applyBorder="1"/>
    <xf numFmtId="43" fontId="17" fillId="19" borderId="27" xfId="1" applyFont="1" applyFill="1" applyBorder="1"/>
    <xf numFmtId="10" fontId="108" fillId="19" borderId="27" xfId="2" applyNumberFormat="1" applyFont="1" applyFill="1" applyBorder="1"/>
    <xf numFmtId="165" fontId="17" fillId="19" borderId="27" xfId="0" applyNumberFormat="1" applyFont="1" applyFill="1" applyBorder="1"/>
    <xf numFmtId="10" fontId="82" fillId="11" borderId="27" xfId="0" applyNumberFormat="1" applyFont="1" applyFill="1" applyBorder="1" applyAlignment="1">
      <alignment vertical="center"/>
    </xf>
    <xf numFmtId="179" fontId="82" fillId="19" borderId="27" xfId="1" applyNumberFormat="1" applyFont="1" applyFill="1" applyBorder="1"/>
    <xf numFmtId="10" fontId="82" fillId="19" borderId="27" xfId="0" applyNumberFormat="1" applyFont="1" applyFill="1" applyBorder="1"/>
    <xf numFmtId="167" fontId="23" fillId="19" borderId="27" xfId="1" applyNumberFormat="1" applyFont="1" applyFill="1" applyBorder="1"/>
    <xf numFmtId="43" fontId="94" fillId="19" borderId="27" xfId="1" applyFont="1" applyFill="1" applyBorder="1"/>
    <xf numFmtId="10" fontId="96" fillId="19" borderId="27" xfId="2" applyNumberFormat="1" applyFont="1" applyFill="1" applyBorder="1"/>
    <xf numFmtId="10" fontId="21" fillId="19" borderId="27" xfId="2" applyNumberFormat="1" applyFont="1" applyFill="1" applyBorder="1"/>
    <xf numFmtId="10" fontId="23" fillId="19" borderId="27" xfId="2" applyNumberFormat="1" applyFont="1" applyFill="1" applyBorder="1"/>
    <xf numFmtId="43" fontId="23" fillId="19" borderId="27" xfId="1" applyFont="1" applyFill="1" applyBorder="1"/>
    <xf numFmtId="172" fontId="22" fillId="19" borderId="27" xfId="1" applyNumberFormat="1" applyFont="1" applyFill="1" applyBorder="1"/>
    <xf numFmtId="10" fontId="115" fillId="19" borderId="27" xfId="2" applyNumberFormat="1" applyFont="1" applyFill="1" applyBorder="1"/>
    <xf numFmtId="9" fontId="17" fillId="19" borderId="27" xfId="2" applyFont="1" applyFill="1" applyBorder="1"/>
    <xf numFmtId="9" fontId="22" fillId="19" borderId="27" xfId="0" applyNumberFormat="1" applyFont="1" applyFill="1" applyBorder="1"/>
    <xf numFmtId="171" fontId="22" fillId="19" borderId="27" xfId="2" applyNumberFormat="1" applyFont="1" applyFill="1" applyBorder="1"/>
    <xf numFmtId="171" fontId="17" fillId="19" borderId="27" xfId="2" applyNumberFormat="1" applyFont="1" applyFill="1" applyBorder="1"/>
    <xf numFmtId="179" fontId="27" fillId="19" borderId="27" xfId="1" applyNumberFormat="1" applyFont="1" applyFill="1" applyBorder="1"/>
    <xf numFmtId="172" fontId="17" fillId="19" borderId="27" xfId="1" applyNumberFormat="1" applyFont="1" applyFill="1" applyBorder="1"/>
    <xf numFmtId="167" fontId="21" fillId="19" borderId="27" xfId="1" applyNumberFormat="1" applyFont="1" applyFill="1" applyBorder="1"/>
    <xf numFmtId="10" fontId="38" fillId="34" borderId="27" xfId="2" applyNumberFormat="1" applyFont="1" applyFill="1" applyBorder="1"/>
    <xf numFmtId="167" fontId="143" fillId="34" borderId="27" xfId="1" applyNumberFormat="1" applyFont="1" applyFill="1" applyBorder="1" applyAlignment="1">
      <alignment horizontal="right"/>
    </xf>
    <xf numFmtId="167" fontId="23" fillId="34" borderId="27" xfId="1" applyNumberFormat="1" applyFont="1" applyFill="1" applyBorder="1"/>
    <xf numFmtId="43" fontId="94" fillId="34" borderId="27" xfId="1" applyFont="1" applyFill="1" applyBorder="1"/>
    <xf numFmtId="10" fontId="96" fillId="34" borderId="27" xfId="2" applyNumberFormat="1" applyFont="1" applyFill="1" applyBorder="1"/>
    <xf numFmtId="171" fontId="94" fillId="34" borderId="27" xfId="2" applyNumberFormat="1" applyFont="1" applyFill="1" applyBorder="1"/>
    <xf numFmtId="10" fontId="82" fillId="34" borderId="27" xfId="2" applyNumberFormat="1" applyFont="1" applyFill="1" applyBorder="1"/>
    <xf numFmtId="10" fontId="21" fillId="34" borderId="27" xfId="2" applyNumberFormat="1" applyFont="1" applyFill="1" applyBorder="1"/>
    <xf numFmtId="43" fontId="23" fillId="34" borderId="27" xfId="1" applyFont="1" applyFill="1" applyBorder="1"/>
    <xf numFmtId="171" fontId="38" fillId="34" borderId="27" xfId="2" applyNumberFormat="1" applyFont="1" applyFill="1" applyBorder="1"/>
    <xf numFmtId="10" fontId="162" fillId="34" borderId="27" xfId="2" applyNumberFormat="1" applyFont="1" applyFill="1" applyBorder="1"/>
    <xf numFmtId="172" fontId="115" fillId="34" borderId="27" xfId="1" applyNumberFormat="1" applyFont="1" applyFill="1" applyBorder="1"/>
    <xf numFmtId="0" fontId="17" fillId="34" borderId="27" xfId="0" applyFont="1" applyFill="1" applyBorder="1"/>
    <xf numFmtId="0" fontId="17" fillId="20" borderId="27" xfId="0" applyFont="1" applyFill="1" applyBorder="1"/>
    <xf numFmtId="171" fontId="29" fillId="20" borderId="27" xfId="2" applyNumberFormat="1" applyFont="1" applyFill="1" applyBorder="1"/>
    <xf numFmtId="172" fontId="22" fillId="20" borderId="27" xfId="1" applyNumberFormat="1" applyFont="1" applyFill="1" applyBorder="1"/>
    <xf numFmtId="171" fontId="17" fillId="2" borderId="27" xfId="2" applyNumberFormat="1" applyFont="1" applyFill="1" applyBorder="1"/>
    <xf numFmtId="0" fontId="22" fillId="2" borderId="27" xfId="0" applyFont="1" applyFill="1" applyBorder="1"/>
    <xf numFmtId="43" fontId="17" fillId="2" borderId="27" xfId="1" applyFont="1" applyFill="1" applyBorder="1"/>
    <xf numFmtId="171" fontId="22" fillId="2" borderId="27" xfId="2" applyNumberFormat="1" applyFont="1" applyFill="1" applyBorder="1"/>
    <xf numFmtId="171" fontId="17" fillId="11" borderId="27" xfId="2" applyNumberFormat="1" applyFont="1" applyFill="1" applyBorder="1"/>
    <xf numFmtId="0" fontId="17" fillId="2" borderId="27" xfId="0" applyFont="1" applyFill="1" applyBorder="1"/>
    <xf numFmtId="179" fontId="22" fillId="2" borderId="27" xfId="1" applyNumberFormat="1" applyFont="1" applyFill="1" applyBorder="1"/>
    <xf numFmtId="37" fontId="17" fillId="2" borderId="27" xfId="1" applyNumberFormat="1" applyFont="1" applyFill="1" applyBorder="1"/>
    <xf numFmtId="172" fontId="17" fillId="2" borderId="27" xfId="0" applyNumberFormat="1" applyFont="1" applyFill="1" applyBorder="1"/>
    <xf numFmtId="43" fontId="22" fillId="2" borderId="27" xfId="1" applyFont="1" applyFill="1" applyBorder="1"/>
    <xf numFmtId="167" fontId="17" fillId="2" borderId="27" xfId="0" applyNumberFormat="1" applyFont="1" applyFill="1" applyBorder="1"/>
    <xf numFmtId="171" fontId="28" fillId="2" borderId="27" xfId="2" applyNumberFormat="1" applyFont="1" applyFill="1" applyBorder="1"/>
    <xf numFmtId="171" fontId="29" fillId="2" borderId="27" xfId="2" applyNumberFormat="1" applyFont="1" applyFill="1" applyBorder="1"/>
    <xf numFmtId="167" fontId="97" fillId="2" borderId="27" xfId="1" applyNumberFormat="1" applyFont="1" applyFill="1" applyBorder="1"/>
    <xf numFmtId="172" fontId="22" fillId="2" borderId="27" xfId="1" applyNumberFormat="1" applyFont="1" applyFill="1" applyBorder="1"/>
    <xf numFmtId="171" fontId="96" fillId="2" borderId="27" xfId="2" applyNumberFormat="1" applyFont="1" applyFill="1" applyBorder="1"/>
    <xf numFmtId="10" fontId="107" fillId="2" borderId="27" xfId="2" applyNumberFormat="1" applyFont="1" applyFill="1" applyBorder="1"/>
    <xf numFmtId="171" fontId="38" fillId="2" borderId="27" xfId="2" applyNumberFormat="1" applyFont="1" applyFill="1" applyBorder="1"/>
    <xf numFmtId="171" fontId="94" fillId="2" borderId="27" xfId="2" applyNumberFormat="1" applyFont="1" applyFill="1" applyBorder="1"/>
    <xf numFmtId="10" fontId="80" fillId="20" borderId="27" xfId="2" applyNumberFormat="1" applyFont="1" applyFill="1" applyBorder="1"/>
    <xf numFmtId="10" fontId="94" fillId="2" borderId="27" xfId="2" applyNumberFormat="1" applyFont="1" applyFill="1" applyBorder="1"/>
    <xf numFmtId="10" fontId="108" fillId="2" borderId="27" xfId="2" applyNumberFormat="1" applyFont="1" applyFill="1" applyBorder="1"/>
    <xf numFmtId="10" fontId="115" fillId="2" borderId="27" xfId="2" applyNumberFormat="1" applyFont="1" applyFill="1" applyBorder="1"/>
    <xf numFmtId="0" fontId="22" fillId="21" borderId="27" xfId="0" applyFont="1" applyFill="1" applyBorder="1"/>
    <xf numFmtId="0" fontId="17" fillId="21" borderId="27" xfId="0" applyFont="1" applyFill="1" applyBorder="1"/>
    <xf numFmtId="179" fontId="22" fillId="21" borderId="27" xfId="1" applyNumberFormat="1" applyFont="1" applyFill="1" applyBorder="1"/>
    <xf numFmtId="179" fontId="17" fillId="21" borderId="27" xfId="1" applyNumberFormat="1" applyFont="1" applyFill="1" applyBorder="1"/>
    <xf numFmtId="180" fontId="22" fillId="21" borderId="27" xfId="0" applyNumberFormat="1" applyFont="1" applyFill="1" applyBorder="1"/>
    <xf numFmtId="37" fontId="17" fillId="21" borderId="27" xfId="1" applyNumberFormat="1" applyFont="1" applyFill="1" applyBorder="1"/>
    <xf numFmtId="172" fontId="17" fillId="21" borderId="27" xfId="1" applyNumberFormat="1" applyFont="1" applyFill="1" applyBorder="1"/>
    <xf numFmtId="171" fontId="17" fillId="21" borderId="27" xfId="2" applyNumberFormat="1" applyFont="1" applyFill="1" applyBorder="1"/>
    <xf numFmtId="165" fontId="17" fillId="21" borderId="27" xfId="0" applyNumberFormat="1" applyFont="1" applyFill="1" applyBorder="1"/>
    <xf numFmtId="172" fontId="22" fillId="21" borderId="27" xfId="1" applyNumberFormat="1" applyFont="1" applyFill="1" applyBorder="1"/>
    <xf numFmtId="165" fontId="22" fillId="21" borderId="27" xfId="0" applyNumberFormat="1" applyFont="1" applyFill="1" applyBorder="1"/>
    <xf numFmtId="10" fontId="17" fillId="21" borderId="27" xfId="2" applyNumberFormat="1" applyFont="1" applyFill="1" applyBorder="1"/>
    <xf numFmtId="43" fontId="17" fillId="21" borderId="27" xfId="0" applyNumberFormat="1" applyFont="1" applyFill="1" applyBorder="1"/>
    <xf numFmtId="167" fontId="22" fillId="21" borderId="27" xfId="1" applyNumberFormat="1" applyFont="1" applyFill="1" applyBorder="1"/>
    <xf numFmtId="168" fontId="22" fillId="21" borderId="27" xfId="0" applyNumberFormat="1" applyFont="1" applyFill="1" applyBorder="1"/>
    <xf numFmtId="171" fontId="95" fillId="21" borderId="27" xfId="2" applyNumberFormat="1" applyFont="1" applyFill="1" applyBorder="1"/>
    <xf numFmtId="171" fontId="134" fillId="21" borderId="27" xfId="2" applyNumberFormat="1" applyFont="1" applyFill="1" applyBorder="1"/>
    <xf numFmtId="171" fontId="21" fillId="21" borderId="27" xfId="2" applyNumberFormat="1" applyFont="1" applyFill="1" applyBorder="1"/>
    <xf numFmtId="171" fontId="23" fillId="21" borderId="27" xfId="2" applyNumberFormat="1" applyFont="1" applyFill="1" applyBorder="1"/>
    <xf numFmtId="43" fontId="22" fillId="21" borderId="27" xfId="1" applyFont="1" applyFill="1" applyBorder="1"/>
    <xf numFmtId="171" fontId="38" fillId="21" borderId="27" xfId="2" applyNumberFormat="1" applyFont="1" applyFill="1" applyBorder="1"/>
    <xf numFmtId="10" fontId="23" fillId="21" borderId="27" xfId="2" applyNumberFormat="1" applyFont="1" applyFill="1" applyBorder="1"/>
    <xf numFmtId="10" fontId="108" fillId="21" borderId="27" xfId="2" applyNumberFormat="1" applyFont="1" applyFill="1" applyBorder="1"/>
    <xf numFmtId="10" fontId="115" fillId="21" borderId="27" xfId="2" applyNumberFormat="1" applyFont="1" applyFill="1" applyBorder="1"/>
    <xf numFmtId="0" fontId="17" fillId="25" borderId="27" xfId="0" applyFont="1" applyFill="1" applyBorder="1"/>
    <xf numFmtId="43" fontId="22" fillId="25" borderId="27" xfId="0" applyNumberFormat="1" applyFont="1" applyFill="1" applyBorder="1"/>
    <xf numFmtId="171" fontId="17" fillId="25" borderId="27" xfId="2" applyNumberFormat="1" applyFont="1" applyFill="1" applyBorder="1"/>
    <xf numFmtId="165" fontId="17" fillId="25" borderId="27" xfId="0" applyNumberFormat="1" applyFont="1" applyFill="1" applyBorder="1"/>
    <xf numFmtId="165" fontId="22" fillId="25" borderId="27" xfId="0" applyNumberFormat="1" applyFont="1" applyFill="1" applyBorder="1"/>
    <xf numFmtId="43" fontId="22" fillId="25" borderId="27" xfId="1" applyFont="1" applyFill="1" applyBorder="1"/>
    <xf numFmtId="43" fontId="17" fillId="25" borderId="27" xfId="1" applyFont="1" applyFill="1" applyBorder="1"/>
    <xf numFmtId="167" fontId="17" fillId="25" borderId="27" xfId="0" applyNumberFormat="1" applyFont="1" applyFill="1" applyBorder="1"/>
    <xf numFmtId="165" fontId="41" fillId="11" borderId="27" xfId="0" applyNumberFormat="1" applyFont="1" applyFill="1" applyBorder="1"/>
    <xf numFmtId="167" fontId="17" fillId="0" borderId="27" xfId="0" applyNumberFormat="1" applyFont="1" applyBorder="1"/>
    <xf numFmtId="0" fontId="22" fillId="0" borderId="27" xfId="0" applyFont="1" applyBorder="1"/>
    <xf numFmtId="0" fontId="35" fillId="0" borderId="27" xfId="0" applyFont="1" applyBorder="1"/>
    <xf numFmtId="167" fontId="22" fillId="0" borderId="27" xfId="0" applyNumberFormat="1" applyFont="1" applyBorder="1"/>
    <xf numFmtId="10" fontId="30" fillId="0" borderId="0" xfId="0" applyNumberFormat="1" applyFont="1" applyAlignment="1">
      <alignment horizontal="left"/>
    </xf>
    <xf numFmtId="167" fontId="23" fillId="11" borderId="0" xfId="1" applyNumberFormat="1" applyFont="1" applyFill="1" applyBorder="1" applyAlignment="1">
      <alignment horizontal="center" vertical="center"/>
    </xf>
    <xf numFmtId="171" fontId="115" fillId="19" borderId="0" xfId="2" applyNumberFormat="1" applyFont="1" applyFill="1" applyBorder="1"/>
    <xf numFmtId="172" fontId="22" fillId="20" borderId="0" xfId="0" applyNumberFormat="1" applyFont="1" applyFill="1"/>
    <xf numFmtId="172" fontId="22" fillId="20" borderId="0" xfId="1" applyNumberFormat="1" applyFont="1" applyFill="1" applyBorder="1"/>
    <xf numFmtId="43" fontId="22" fillId="2" borderId="0" xfId="0" applyNumberFormat="1" applyFont="1" applyFill="1"/>
    <xf numFmtId="10" fontId="80" fillId="20" borderId="0" xfId="2" applyNumberFormat="1" applyFont="1" applyFill="1" applyBorder="1"/>
    <xf numFmtId="10" fontId="30" fillId="0" borderId="53" xfId="0" applyNumberFormat="1" applyFont="1" applyBorder="1" applyAlignment="1">
      <alignment horizontal="left"/>
    </xf>
    <xf numFmtId="167" fontId="23" fillId="11" borderId="27" xfId="1" applyNumberFormat="1" applyFont="1" applyFill="1" applyBorder="1" applyAlignment="1">
      <alignment horizontal="center" vertical="center"/>
    </xf>
    <xf numFmtId="167" fontId="94" fillId="19" borderId="27" xfId="1" applyNumberFormat="1" applyFont="1" applyFill="1" applyBorder="1"/>
    <xf numFmtId="172" fontId="22" fillId="20" borderId="27" xfId="0" applyNumberFormat="1" applyFont="1" applyFill="1" applyBorder="1"/>
    <xf numFmtId="167" fontId="94" fillId="20" borderId="27" xfId="1" applyNumberFormat="1" applyFont="1" applyFill="1" applyBorder="1"/>
    <xf numFmtId="43" fontId="94" fillId="20" borderId="27" xfId="1" applyFont="1" applyFill="1" applyBorder="1"/>
    <xf numFmtId="43" fontId="97" fillId="2" borderId="27" xfId="1" applyFont="1" applyFill="1" applyBorder="1"/>
    <xf numFmtId="43" fontId="22" fillId="2" borderId="27" xfId="0" applyNumberFormat="1" applyFont="1" applyFill="1" applyBorder="1"/>
    <xf numFmtId="43" fontId="29" fillId="21" borderId="0" xfId="1" applyFont="1" applyFill="1"/>
    <xf numFmtId="179" fontId="29" fillId="21" borderId="0" xfId="1" applyNumberFormat="1" applyFont="1" applyFill="1"/>
    <xf numFmtId="179" fontId="17" fillId="19" borderId="27" xfId="0" applyNumberFormat="1" applyFont="1" applyFill="1" applyBorder="1"/>
    <xf numFmtId="43" fontId="62" fillId="0" borderId="0" xfId="1" applyFont="1" applyAlignment="1">
      <alignment vertical="center"/>
    </xf>
    <xf numFmtId="43" fontId="41" fillId="0" borderId="0" xfId="1" applyFont="1"/>
    <xf numFmtId="172" fontId="17" fillId="0" borderId="0" xfId="1" applyNumberFormat="1" applyFont="1"/>
    <xf numFmtId="172" fontId="40" fillId="0" borderId="0" xfId="1" applyNumberFormat="1" applyFont="1"/>
    <xf numFmtId="171" fontId="41" fillId="0" borderId="29" xfId="2" applyNumberFormat="1" applyFont="1" applyBorder="1"/>
    <xf numFmtId="171" fontId="17" fillId="0" borderId="0" xfId="2" applyNumberFormat="1" applyFont="1" applyAlignment="1">
      <alignment horizontal="right"/>
    </xf>
    <xf numFmtId="9" fontId="38" fillId="19" borderId="0" xfId="2" applyFont="1" applyFill="1" applyBorder="1"/>
    <xf numFmtId="39" fontId="178" fillId="0" borderId="0" xfId="0" applyNumberFormat="1" applyFont="1"/>
    <xf numFmtId="37" fontId="178" fillId="0" borderId="0" xfId="0" applyNumberFormat="1" applyFont="1"/>
    <xf numFmtId="0" fontId="17" fillId="20" borderId="26" xfId="0" quotePrefix="1" applyFont="1" applyFill="1" applyBorder="1"/>
    <xf numFmtId="172" fontId="35" fillId="20" borderId="48" xfId="1" applyNumberFormat="1" applyFont="1" applyFill="1" applyBorder="1"/>
    <xf numFmtId="171" fontId="83" fillId="20" borderId="26" xfId="2" applyNumberFormat="1" applyFont="1" applyFill="1" applyBorder="1"/>
    <xf numFmtId="43" fontId="40" fillId="20" borderId="26" xfId="1" applyFont="1" applyFill="1" applyBorder="1"/>
    <xf numFmtId="171" fontId="41" fillId="20" borderId="26" xfId="2" applyNumberFormat="1" applyFont="1" applyFill="1" applyBorder="1"/>
    <xf numFmtId="172" fontId="40" fillId="20" borderId="48" xfId="1" applyNumberFormat="1" applyFont="1" applyFill="1" applyBorder="1"/>
    <xf numFmtId="43" fontId="84" fillId="20" borderId="26" xfId="1" applyFont="1" applyFill="1" applyBorder="1"/>
    <xf numFmtId="10" fontId="38" fillId="20" borderId="26" xfId="2" applyNumberFormat="1" applyFont="1" applyFill="1" applyBorder="1"/>
    <xf numFmtId="171" fontId="84" fillId="20" borderId="26" xfId="0" applyNumberFormat="1" applyFont="1" applyFill="1" applyBorder="1"/>
    <xf numFmtId="171" fontId="82" fillId="20" borderId="26" xfId="2" applyNumberFormat="1" applyFont="1" applyFill="1" applyBorder="1"/>
    <xf numFmtId="167" fontId="84" fillId="20" borderId="26" xfId="1" applyNumberFormat="1" applyFont="1" applyFill="1" applyBorder="1"/>
    <xf numFmtId="171" fontId="39" fillId="20" borderId="26" xfId="2" applyNumberFormat="1" applyFont="1" applyFill="1" applyBorder="1"/>
    <xf numFmtId="167" fontId="82" fillId="20" borderId="26" xfId="1" applyNumberFormat="1" applyFont="1" applyFill="1" applyBorder="1"/>
    <xf numFmtId="165" fontId="58" fillId="20" borderId="26" xfId="0" applyNumberFormat="1" applyFont="1" applyFill="1" applyBorder="1"/>
    <xf numFmtId="171" fontId="41" fillId="0" borderId="0" xfId="2" applyNumberFormat="1" applyFont="1" applyFill="1" applyBorder="1" applyAlignment="1">
      <alignment horizontal="center" vertical="center"/>
    </xf>
    <xf numFmtId="171" fontId="27" fillId="19" borderId="25" xfId="0" applyNumberFormat="1" applyFont="1" applyFill="1" applyBorder="1" applyAlignment="1">
      <alignment horizontal="left"/>
    </xf>
    <xf numFmtId="171" fontId="170" fillId="19" borderId="0" xfId="3" applyNumberFormat="1" applyFont="1" applyFill="1" applyAlignment="1">
      <alignment horizontal="left" vertical="center" wrapText="1"/>
    </xf>
    <xf numFmtId="171" fontId="25" fillId="19" borderId="0" xfId="1" applyNumberFormat="1" applyFont="1" applyFill="1" applyBorder="1" applyAlignment="1">
      <alignment horizontal="left" vertical="center"/>
    </xf>
    <xf numFmtId="171" fontId="26" fillId="19" borderId="40" xfId="1" applyNumberFormat="1" applyFont="1" applyFill="1" applyBorder="1" applyAlignment="1">
      <alignment horizontal="left" vertical="center"/>
    </xf>
    <xf numFmtId="171" fontId="26" fillId="19" borderId="0" xfId="1" applyNumberFormat="1" applyFont="1" applyFill="1" applyBorder="1" applyAlignment="1">
      <alignment horizontal="left" vertical="center"/>
    </xf>
    <xf numFmtId="171" fontId="26" fillId="19" borderId="45" xfId="1" applyNumberFormat="1" applyFont="1" applyFill="1" applyBorder="1" applyAlignment="1">
      <alignment horizontal="left" vertical="center"/>
    </xf>
    <xf numFmtId="171" fontId="26" fillId="19" borderId="28" xfId="1" applyNumberFormat="1" applyFont="1" applyFill="1" applyBorder="1" applyAlignment="1">
      <alignment horizontal="left" vertical="center"/>
    </xf>
    <xf numFmtId="171" fontId="25" fillId="19" borderId="0" xfId="2" applyNumberFormat="1" applyFont="1" applyFill="1" applyBorder="1" applyAlignment="1">
      <alignment horizontal="left" vertical="center"/>
    </xf>
    <xf numFmtId="171" fontId="120" fillId="19" borderId="0" xfId="1" applyNumberFormat="1" applyFont="1" applyFill="1" applyBorder="1" applyAlignment="1">
      <alignment horizontal="left" vertical="center"/>
    </xf>
    <xf numFmtId="171" fontId="143" fillId="19" borderId="0" xfId="2" applyNumberFormat="1" applyFont="1" applyFill="1" applyBorder="1" applyAlignment="1">
      <alignment horizontal="left" vertical="center"/>
    </xf>
    <xf numFmtId="171" fontId="26" fillId="19" borderId="0" xfId="1" applyNumberFormat="1" applyFont="1" applyFill="1" applyBorder="1" applyAlignment="1">
      <alignment horizontal="left" vertical="center" wrapText="1"/>
    </xf>
    <xf numFmtId="171" fontId="120" fillId="19" borderId="0" xfId="1" applyNumberFormat="1" applyFont="1" applyFill="1" applyBorder="1" applyAlignment="1">
      <alignment horizontal="left"/>
    </xf>
    <xf numFmtId="171" fontId="27" fillId="19" borderId="0" xfId="0" applyNumberFormat="1" applyFont="1" applyFill="1" applyAlignment="1">
      <alignment horizontal="left"/>
    </xf>
    <xf numFmtId="171" fontId="27" fillId="19" borderId="40" xfId="0" applyNumberFormat="1" applyFont="1" applyFill="1" applyBorder="1" applyAlignment="1">
      <alignment horizontal="left"/>
    </xf>
    <xf numFmtId="171" fontId="120" fillId="19" borderId="0" xfId="1" applyNumberFormat="1" applyFont="1" applyFill="1" applyAlignment="1">
      <alignment horizontal="left"/>
    </xf>
    <xf numFmtId="171" fontId="80" fillId="19" borderId="0" xfId="0" applyNumberFormat="1" applyFont="1" applyFill="1" applyAlignment="1">
      <alignment horizontal="left"/>
    </xf>
    <xf numFmtId="171" fontId="27" fillId="19" borderId="45" xfId="0" applyNumberFormat="1" applyFont="1" applyFill="1" applyBorder="1" applyAlignment="1">
      <alignment horizontal="left"/>
    </xf>
    <xf numFmtId="171" fontId="120" fillId="19" borderId="25" xfId="1" applyNumberFormat="1" applyFont="1" applyFill="1" applyBorder="1" applyAlignment="1">
      <alignment horizontal="left"/>
    </xf>
    <xf numFmtId="171" fontId="140" fillId="19" borderId="0" xfId="0" applyNumberFormat="1" applyFont="1" applyFill="1" applyAlignment="1">
      <alignment horizontal="left"/>
    </xf>
    <xf numFmtId="171" fontId="25" fillId="19" borderId="0" xfId="2" applyNumberFormat="1" applyFont="1" applyFill="1" applyBorder="1" applyAlignment="1">
      <alignment horizontal="left"/>
    </xf>
    <xf numFmtId="171" fontId="120" fillId="19" borderId="0" xfId="0" applyNumberFormat="1" applyFont="1" applyFill="1" applyAlignment="1">
      <alignment horizontal="left"/>
    </xf>
    <xf numFmtId="171" fontId="120" fillId="19" borderId="25" xfId="0" applyNumberFormat="1" applyFont="1" applyFill="1" applyBorder="1" applyAlignment="1">
      <alignment horizontal="left"/>
    </xf>
    <xf numFmtId="171" fontId="27" fillId="19" borderId="0" xfId="2" applyNumberFormat="1" applyFont="1" applyFill="1" applyBorder="1" applyAlignment="1">
      <alignment horizontal="left"/>
    </xf>
    <xf numFmtId="171" fontId="171" fillId="19" borderId="0" xfId="0" applyNumberFormat="1" applyFont="1" applyFill="1" applyAlignment="1">
      <alignment horizontal="left"/>
    </xf>
    <xf numFmtId="171" fontId="120" fillId="19" borderId="0" xfId="0" applyNumberFormat="1" applyFont="1" applyFill="1" applyAlignment="1">
      <alignment horizontal="left" vertical="center"/>
    </xf>
    <xf numFmtId="171" fontId="172" fillId="19" borderId="0" xfId="1" applyNumberFormat="1" applyFont="1" applyFill="1" applyBorder="1" applyAlignment="1">
      <alignment horizontal="left"/>
    </xf>
    <xf numFmtId="171" fontId="26" fillId="19" borderId="0" xfId="2" applyNumberFormat="1" applyFont="1" applyFill="1" applyAlignment="1">
      <alignment horizontal="left"/>
    </xf>
    <xf numFmtId="171" fontId="27" fillId="19" borderId="0" xfId="1" applyNumberFormat="1" applyFont="1" applyFill="1" applyBorder="1" applyAlignment="1">
      <alignment horizontal="left"/>
    </xf>
    <xf numFmtId="171" fontId="161" fillId="19" borderId="0" xfId="1" applyNumberFormat="1" applyFont="1" applyFill="1" applyBorder="1" applyAlignment="1">
      <alignment horizontal="left"/>
    </xf>
    <xf numFmtId="171" fontId="173" fillId="19" borderId="0" xfId="0" applyNumberFormat="1" applyFont="1" applyFill="1" applyAlignment="1">
      <alignment horizontal="left"/>
    </xf>
    <xf numFmtId="171" fontId="27" fillId="19" borderId="0" xfId="1" applyNumberFormat="1" applyFont="1" applyFill="1" applyAlignment="1">
      <alignment horizontal="left"/>
    </xf>
    <xf numFmtId="171" fontId="27" fillId="19" borderId="0" xfId="2" applyNumberFormat="1" applyFont="1" applyFill="1" applyAlignment="1">
      <alignment horizontal="left"/>
    </xf>
    <xf numFmtId="171" fontId="120" fillId="19" borderId="40" xfId="0" applyNumberFormat="1" applyFont="1" applyFill="1" applyBorder="1" applyAlignment="1">
      <alignment horizontal="left"/>
    </xf>
    <xf numFmtId="171" fontId="80" fillId="19" borderId="0" xfId="2" applyNumberFormat="1" applyFont="1" applyFill="1" applyAlignment="1">
      <alignment horizontal="left"/>
    </xf>
    <xf numFmtId="171" fontId="27" fillId="19" borderId="40" xfId="1" applyNumberFormat="1" applyFont="1" applyFill="1" applyBorder="1" applyAlignment="1">
      <alignment horizontal="left"/>
    </xf>
    <xf numFmtId="171" fontId="120" fillId="19" borderId="29" xfId="0" applyNumberFormat="1" applyFont="1" applyFill="1" applyBorder="1" applyAlignment="1">
      <alignment horizontal="left"/>
    </xf>
    <xf numFmtId="179" fontId="40" fillId="19" borderId="0" xfId="1" applyNumberFormat="1" applyFont="1" applyFill="1" applyBorder="1"/>
    <xf numFmtId="171" fontId="174" fillId="19" borderId="0" xfId="1" applyNumberFormat="1" applyFont="1" applyFill="1" applyBorder="1" applyAlignment="1">
      <alignment horizontal="left"/>
    </xf>
    <xf numFmtId="171" fontId="25" fillId="19" borderId="0" xfId="0" applyNumberFormat="1" applyFont="1" applyFill="1" applyAlignment="1">
      <alignment horizontal="left"/>
    </xf>
    <xf numFmtId="171" fontId="86" fillId="19" borderId="43" xfId="1" applyNumberFormat="1" applyFont="1" applyFill="1" applyBorder="1" applyAlignment="1">
      <alignment horizontal="left"/>
    </xf>
    <xf numFmtId="171" fontId="86" fillId="19" borderId="0" xfId="1" applyNumberFormat="1" applyFont="1" applyFill="1" applyBorder="1" applyAlignment="1">
      <alignment horizontal="left"/>
    </xf>
    <xf numFmtId="171" fontId="86" fillId="19" borderId="40" xfId="1" applyNumberFormat="1" applyFont="1" applyFill="1" applyBorder="1" applyAlignment="1">
      <alignment horizontal="left"/>
    </xf>
    <xf numFmtId="171" fontId="120" fillId="19" borderId="0" xfId="2" applyNumberFormat="1" applyFont="1" applyFill="1" applyBorder="1" applyAlignment="1">
      <alignment horizontal="left"/>
    </xf>
    <xf numFmtId="171" fontId="120" fillId="19" borderId="25" xfId="2" applyNumberFormat="1" applyFont="1" applyFill="1" applyBorder="1" applyAlignment="1">
      <alignment horizontal="left"/>
    </xf>
    <xf numFmtId="172" fontId="136" fillId="19" borderId="0" xfId="1" applyNumberFormat="1" applyFont="1" applyFill="1" applyBorder="1"/>
    <xf numFmtId="9" fontId="17" fillId="19" borderId="26" xfId="2" applyFont="1" applyFill="1" applyBorder="1"/>
    <xf numFmtId="9" fontId="17" fillId="19" borderId="0" xfId="2" applyFont="1" applyFill="1" applyAlignment="1">
      <alignment horizontal="right"/>
    </xf>
    <xf numFmtId="9" fontId="38" fillId="19" borderId="26" xfId="2" applyFont="1" applyFill="1" applyBorder="1"/>
    <xf numFmtId="9" fontId="27" fillId="19" borderId="0" xfId="2" applyFont="1" applyFill="1" applyAlignment="1">
      <alignment horizontal="left"/>
    </xf>
    <xf numFmtId="9" fontId="17" fillId="19" borderId="0" xfId="2" applyFont="1" applyFill="1"/>
    <xf numFmtId="9" fontId="39" fillId="11" borderId="0" xfId="2" applyFont="1" applyFill="1" applyBorder="1"/>
    <xf numFmtId="9" fontId="39" fillId="19" borderId="0" xfId="2" applyFont="1" applyFill="1" applyBorder="1"/>
    <xf numFmtId="179" fontId="83" fillId="11" borderId="0" xfId="1" applyNumberFormat="1" applyFont="1" applyFill="1" applyBorder="1"/>
    <xf numFmtId="179" fontId="39" fillId="11" borderId="0" xfId="1" applyNumberFormat="1" applyFont="1" applyFill="1" applyBorder="1"/>
    <xf numFmtId="0" fontId="17" fillId="19" borderId="24" xfId="0" applyFont="1" applyFill="1" applyBorder="1"/>
    <xf numFmtId="0" fontId="17" fillId="19" borderId="25" xfId="0" applyFont="1" applyFill="1" applyBorder="1" applyAlignment="1">
      <alignment horizontal="right"/>
    </xf>
    <xf numFmtId="171" fontId="38" fillId="19" borderId="25" xfId="2" applyNumberFormat="1" applyFont="1" applyFill="1" applyBorder="1"/>
    <xf numFmtId="171" fontId="38" fillId="19" borderId="24" xfId="2" applyNumberFormat="1" applyFont="1" applyFill="1" applyBorder="1"/>
    <xf numFmtId="179" fontId="82" fillId="11" borderId="25" xfId="1" applyNumberFormat="1" applyFont="1" applyFill="1" applyBorder="1"/>
    <xf numFmtId="179" fontId="82" fillId="19" borderId="25" xfId="1" applyNumberFormat="1" applyFont="1" applyFill="1" applyBorder="1"/>
    <xf numFmtId="10" fontId="82" fillId="19" borderId="25" xfId="2" applyNumberFormat="1" applyFont="1" applyFill="1" applyBorder="1"/>
    <xf numFmtId="43" fontId="22" fillId="19" borderId="23" xfId="1" applyFont="1" applyFill="1" applyBorder="1"/>
    <xf numFmtId="0" fontId="17" fillId="19" borderId="25" xfId="0" applyFont="1" applyFill="1" applyBorder="1"/>
    <xf numFmtId="171" fontId="38" fillId="30" borderId="0" xfId="2" applyNumberFormat="1" applyFont="1" applyFill="1" applyBorder="1"/>
    <xf numFmtId="172" fontId="94" fillId="30" borderId="0" xfId="1" applyNumberFormat="1" applyFont="1" applyFill="1" applyBorder="1"/>
    <xf numFmtId="37" fontId="94" fillId="30" borderId="0" xfId="1" applyNumberFormat="1" applyFont="1" applyFill="1" applyBorder="1"/>
    <xf numFmtId="179" fontId="82" fillId="30" borderId="0" xfId="1" applyNumberFormat="1" applyFont="1" applyFill="1" applyBorder="1"/>
    <xf numFmtId="10" fontId="82" fillId="30" borderId="0" xfId="2" applyNumberFormat="1" applyFont="1" applyFill="1" applyBorder="1"/>
    <xf numFmtId="43" fontId="22" fillId="30" borderId="0" xfId="1" applyFont="1" applyFill="1" applyBorder="1"/>
    <xf numFmtId="43" fontId="22" fillId="30" borderId="27" xfId="1" applyFont="1" applyFill="1" applyBorder="1"/>
    <xf numFmtId="0" fontId="22" fillId="30" borderId="0" xfId="0" applyFont="1" applyFill="1" applyAlignment="1">
      <alignment horizontal="right"/>
    </xf>
    <xf numFmtId="171" fontId="94" fillId="30" borderId="0" xfId="2" applyNumberFormat="1" applyFont="1" applyFill="1" applyBorder="1"/>
    <xf numFmtId="171" fontId="120" fillId="30" borderId="0" xfId="0" applyNumberFormat="1" applyFont="1" applyFill="1" applyAlignment="1">
      <alignment horizontal="left"/>
    </xf>
    <xf numFmtId="179" fontId="22" fillId="30" borderId="0" xfId="1" applyNumberFormat="1" applyFont="1" applyFill="1" applyBorder="1" applyAlignment="1">
      <alignment horizontal="right"/>
    </xf>
    <xf numFmtId="171" fontId="27" fillId="30" borderId="0" xfId="0" applyNumberFormat="1" applyFont="1" applyFill="1" applyAlignment="1">
      <alignment horizontal="left"/>
    </xf>
    <xf numFmtId="0" fontId="19" fillId="0" borderId="0" xfId="3" applyFont="1" applyAlignment="1">
      <alignment horizontal="center" vertical="center" wrapText="1"/>
    </xf>
    <xf numFmtId="179" fontId="22" fillId="0" borderId="0" xfId="1" applyNumberFormat="1" applyFont="1" applyFill="1" applyBorder="1"/>
    <xf numFmtId="179" fontId="17" fillId="0" borderId="0" xfId="0" applyNumberFormat="1" applyFont="1"/>
    <xf numFmtId="9" fontId="17" fillId="0" borderId="0" xfId="2" applyFont="1" applyFill="1" applyBorder="1"/>
    <xf numFmtId="37" fontId="22" fillId="0" borderId="0" xfId="0" applyNumberFormat="1" applyFont="1"/>
    <xf numFmtId="0" fontId="95" fillId="0" borderId="0" xfId="0" applyFont="1"/>
    <xf numFmtId="0" fontId="22" fillId="0" borderId="0" xfId="0" applyFont="1" applyAlignment="1">
      <alignment vertical="center"/>
    </xf>
    <xf numFmtId="0" fontId="162" fillId="0" borderId="0" xfId="0" applyFont="1"/>
    <xf numFmtId="172" fontId="22" fillId="0" borderId="0" xfId="0" applyNumberFormat="1" applyFont="1"/>
    <xf numFmtId="171" fontId="29" fillId="0" borderId="0" xfId="2" applyNumberFormat="1" applyFont="1" applyFill="1" applyBorder="1"/>
    <xf numFmtId="171" fontId="95" fillId="0" borderId="0" xfId="0" applyNumberFormat="1" applyFont="1"/>
    <xf numFmtId="10" fontId="22" fillId="0" borderId="0" xfId="0" applyNumberFormat="1" applyFont="1"/>
    <xf numFmtId="168" fontId="22" fillId="0" borderId="0" xfId="0" applyNumberFormat="1" applyFont="1"/>
    <xf numFmtId="0" fontId="21" fillId="0" borderId="0" xfId="0" applyFont="1" applyAlignment="1">
      <alignment horizontal="right"/>
    </xf>
    <xf numFmtId="0" fontId="17" fillId="0" borderId="0" xfId="0" applyFont="1" applyAlignment="1">
      <alignment horizontal="right"/>
    </xf>
    <xf numFmtId="0" fontId="102" fillId="0" borderId="0" xfId="0" applyFont="1" applyAlignment="1">
      <alignment horizontal="right"/>
    </xf>
    <xf numFmtId="171" fontId="39" fillId="30" borderId="0" xfId="2" applyNumberFormat="1" applyFont="1" applyFill="1" applyBorder="1"/>
    <xf numFmtId="171" fontId="29" fillId="30" borderId="0" xfId="2" applyNumberFormat="1" applyFont="1" applyFill="1" applyBorder="1"/>
    <xf numFmtId="171" fontId="29" fillId="30" borderId="0" xfId="2" applyNumberFormat="1" applyFont="1" applyFill="1" applyBorder="1" applyAlignment="1">
      <alignment horizontal="right"/>
    </xf>
    <xf numFmtId="171" fontId="80" fillId="30" borderId="0" xfId="2" applyNumberFormat="1" applyFont="1" applyFill="1" applyBorder="1" applyAlignment="1">
      <alignment horizontal="left"/>
    </xf>
    <xf numFmtId="166" fontId="22" fillId="30" borderId="0" xfId="4" applyFont="1" applyFill="1" applyAlignment="1">
      <alignment horizontal="left" vertical="center" wrapText="1"/>
    </xf>
    <xf numFmtId="167" fontId="23" fillId="30" borderId="0" xfId="1" applyNumberFormat="1" applyFont="1" applyFill="1" applyBorder="1" applyAlignment="1">
      <alignment horizontal="center" vertical="center"/>
    </xf>
    <xf numFmtId="167" fontId="23" fillId="30" borderId="26" xfId="1" applyNumberFormat="1" applyFont="1" applyFill="1" applyBorder="1" applyAlignment="1">
      <alignment horizontal="center" vertical="center"/>
    </xf>
    <xf numFmtId="167" fontId="37" fillId="30" borderId="26" xfId="1" applyNumberFormat="1" applyFont="1" applyFill="1" applyBorder="1" applyAlignment="1">
      <alignment horizontal="center" vertical="center"/>
    </xf>
    <xf numFmtId="167" fontId="37" fillId="30" borderId="0" xfId="1" applyNumberFormat="1" applyFont="1" applyFill="1" applyBorder="1" applyAlignment="1">
      <alignment horizontal="center" vertical="center"/>
    </xf>
    <xf numFmtId="171" fontId="25" fillId="30" borderId="0" xfId="1" applyNumberFormat="1" applyFont="1" applyFill="1" applyBorder="1" applyAlignment="1">
      <alignment horizontal="left" vertical="center"/>
    </xf>
    <xf numFmtId="167" fontId="23" fillId="30" borderId="27" xfId="1" applyNumberFormat="1" applyFont="1" applyFill="1" applyBorder="1" applyAlignment="1">
      <alignment horizontal="center" vertical="center"/>
    </xf>
    <xf numFmtId="167" fontId="58" fillId="30" borderId="0" xfId="1" applyNumberFormat="1" applyFont="1" applyFill="1" applyBorder="1" applyAlignment="1">
      <alignment horizontal="center" vertical="center"/>
    </xf>
    <xf numFmtId="171" fontId="80" fillId="30" borderId="0" xfId="2" applyNumberFormat="1" applyFont="1" applyFill="1" applyBorder="1"/>
    <xf numFmtId="167" fontId="32" fillId="0" borderId="0" xfId="0" applyNumberFormat="1" applyFont="1"/>
    <xf numFmtId="167" fontId="31" fillId="0" borderId="0" xfId="1" applyNumberFormat="1" applyFont="1"/>
    <xf numFmtId="172" fontId="15" fillId="0" borderId="0" xfId="1" applyNumberFormat="1" applyFont="1"/>
    <xf numFmtId="43" fontId="15" fillId="0" borderId="0" xfId="0" applyNumberFormat="1" applyFont="1"/>
    <xf numFmtId="43" fontId="50" fillId="0" borderId="0" xfId="1" applyFont="1"/>
    <xf numFmtId="10" fontId="50" fillId="0" borderId="0" xfId="0" applyNumberFormat="1" applyFont="1"/>
    <xf numFmtId="43" fontId="31" fillId="31" borderId="0" xfId="1" applyFont="1" applyFill="1"/>
    <xf numFmtId="171" fontId="0" fillId="0" borderId="0" xfId="2" applyNumberFormat="1" applyFont="1" applyAlignment="1">
      <alignment vertical="center"/>
    </xf>
    <xf numFmtId="172" fontId="0" fillId="0" borderId="27" xfId="1" applyNumberFormat="1" applyFont="1" applyBorder="1" applyAlignment="1">
      <alignment horizontal="right" vertical="center"/>
    </xf>
    <xf numFmtId="171" fontId="50" fillId="0" borderId="27" xfId="2" applyNumberFormat="1" applyFont="1" applyBorder="1" applyAlignment="1">
      <alignment horizontal="right" vertical="center"/>
    </xf>
    <xf numFmtId="43" fontId="31" fillId="0" borderId="27" xfId="1" applyFont="1" applyBorder="1" applyAlignment="1">
      <alignment horizontal="right" vertical="center"/>
    </xf>
    <xf numFmtId="37" fontId="16" fillId="30" borderId="27" xfId="1" applyNumberFormat="1" applyFont="1" applyFill="1" applyBorder="1" applyAlignment="1">
      <alignment vertical="center"/>
    </xf>
    <xf numFmtId="43" fontId="16" fillId="30" borderId="0" xfId="1" applyFont="1" applyFill="1"/>
    <xf numFmtId="179" fontId="16" fillId="30" borderId="0" xfId="1" applyNumberFormat="1" applyFont="1" applyFill="1"/>
    <xf numFmtId="179" fontId="16" fillId="30" borderId="27" xfId="1" applyNumberFormat="1" applyFont="1" applyFill="1" applyBorder="1" applyAlignment="1">
      <alignment vertical="center"/>
    </xf>
    <xf numFmtId="171" fontId="26" fillId="30" borderId="0" xfId="1" applyNumberFormat="1" applyFont="1" applyFill="1" applyBorder="1" applyAlignment="1">
      <alignment horizontal="left" vertical="center"/>
    </xf>
    <xf numFmtId="0" fontId="27" fillId="30" borderId="0" xfId="0" applyFont="1" applyFill="1" applyAlignment="1">
      <alignment horizontal="right" vertical="center"/>
    </xf>
    <xf numFmtId="169" fontId="25" fillId="30" borderId="0" xfId="2" applyNumberFormat="1" applyFont="1" applyFill="1" applyBorder="1" applyAlignment="1">
      <alignment horizontal="center" vertical="center"/>
    </xf>
    <xf numFmtId="169" fontId="25" fillId="30" borderId="26" xfId="2" applyNumberFormat="1" applyFont="1" applyFill="1" applyBorder="1" applyAlignment="1">
      <alignment horizontal="center" vertical="center"/>
    </xf>
    <xf numFmtId="171" fontId="25" fillId="30" borderId="0" xfId="2" applyNumberFormat="1" applyFont="1" applyFill="1" applyBorder="1" applyAlignment="1">
      <alignment horizontal="left" vertical="center"/>
    </xf>
    <xf numFmtId="169" fontId="25" fillId="30" borderId="27" xfId="2" applyNumberFormat="1" applyFont="1" applyFill="1" applyBorder="1" applyAlignment="1">
      <alignment horizontal="center" vertical="center"/>
    </xf>
    <xf numFmtId="0" fontId="147" fillId="30" borderId="0" xfId="0" applyFont="1" applyFill="1"/>
    <xf numFmtId="0" fontId="147" fillId="30" borderId="0" xfId="0" applyFont="1" applyFill="1" applyAlignment="1">
      <alignment vertical="center"/>
    </xf>
    <xf numFmtId="169" fontId="147" fillId="30" borderId="0" xfId="2" applyNumberFormat="1" applyFont="1" applyFill="1" applyBorder="1" applyAlignment="1">
      <alignment horizontal="center" vertical="center"/>
    </xf>
    <xf numFmtId="169" fontId="147" fillId="30" borderId="26" xfId="2" applyNumberFormat="1" applyFont="1" applyFill="1" applyBorder="1" applyAlignment="1">
      <alignment horizontal="center" vertical="center"/>
    </xf>
    <xf numFmtId="171" fontId="141" fillId="30" borderId="0" xfId="2" applyNumberFormat="1" applyFont="1" applyFill="1" applyBorder="1" applyAlignment="1">
      <alignment horizontal="left" vertical="center"/>
    </xf>
    <xf numFmtId="169" fontId="147" fillId="30" borderId="27" xfId="2" applyNumberFormat="1" applyFont="1" applyFill="1" applyBorder="1" applyAlignment="1">
      <alignment horizontal="center" vertical="center"/>
    </xf>
    <xf numFmtId="0" fontId="147" fillId="0" borderId="0" xfId="0" applyFont="1" applyAlignment="1">
      <alignment vertical="center"/>
    </xf>
    <xf numFmtId="169" fontId="140" fillId="0" borderId="0" xfId="2" applyNumberFormat="1" applyFont="1" applyFill="1" applyBorder="1" applyAlignment="1">
      <alignment horizontal="center" vertical="center"/>
    </xf>
    <xf numFmtId="169" fontId="147" fillId="0" borderId="0" xfId="2" applyNumberFormat="1" applyFont="1" applyFill="1" applyBorder="1" applyAlignment="1">
      <alignment horizontal="center" vertical="center"/>
    </xf>
    <xf numFmtId="169" fontId="147" fillId="0" borderId="26" xfId="2" applyNumberFormat="1" applyFont="1" applyFill="1" applyBorder="1" applyAlignment="1">
      <alignment horizontal="center" vertical="center"/>
    </xf>
    <xf numFmtId="171" fontId="140" fillId="19" borderId="0" xfId="2" applyNumberFormat="1" applyFont="1" applyFill="1" applyBorder="1" applyAlignment="1">
      <alignment horizontal="left" vertical="center"/>
    </xf>
    <xf numFmtId="169" fontId="147" fillId="0" borderId="27" xfId="2" applyNumberFormat="1" applyFont="1" applyFill="1" applyBorder="1" applyAlignment="1">
      <alignment horizontal="center" vertical="center"/>
    </xf>
    <xf numFmtId="0" fontId="147" fillId="30" borderId="0" xfId="0" applyFont="1" applyFill="1" applyAlignment="1">
      <alignment horizontal="right" vertical="center"/>
    </xf>
    <xf numFmtId="174" fontId="22" fillId="30" borderId="0" xfId="0" applyNumberFormat="1" applyFont="1" applyFill="1"/>
    <xf numFmtId="174" fontId="37" fillId="30" borderId="26" xfId="0" applyNumberFormat="1" applyFont="1" applyFill="1" applyBorder="1"/>
    <xf numFmtId="174" fontId="37" fillId="30" borderId="0" xfId="0" applyNumberFormat="1" applyFont="1" applyFill="1"/>
    <xf numFmtId="174" fontId="58" fillId="30" borderId="0" xfId="0" applyNumberFormat="1" applyFont="1" applyFill="1"/>
    <xf numFmtId="174" fontId="22" fillId="30" borderId="0" xfId="1" applyNumberFormat="1" applyFont="1" applyFill="1" applyBorder="1"/>
    <xf numFmtId="174" fontId="22" fillId="30" borderId="27" xfId="1" applyNumberFormat="1" applyFont="1" applyFill="1" applyBorder="1"/>
    <xf numFmtId="179" fontId="22" fillId="30" borderId="0" xfId="1" applyNumberFormat="1" applyFont="1" applyFill="1"/>
    <xf numFmtId="179" fontId="37" fillId="30" borderId="26" xfId="1" applyNumberFormat="1" applyFont="1" applyFill="1" applyBorder="1"/>
    <xf numFmtId="179" fontId="37" fillId="30" borderId="0" xfId="1" applyNumberFormat="1" applyFont="1" applyFill="1"/>
    <xf numFmtId="179" fontId="37" fillId="30" borderId="43" xfId="1" applyNumberFormat="1" applyFont="1" applyFill="1" applyBorder="1"/>
    <xf numFmtId="179" fontId="58" fillId="30" borderId="26" xfId="1" applyNumberFormat="1" applyFont="1" applyFill="1" applyBorder="1"/>
    <xf numFmtId="179" fontId="58" fillId="30" borderId="0" xfId="1" applyNumberFormat="1" applyFont="1" applyFill="1" applyBorder="1"/>
    <xf numFmtId="179" fontId="22" fillId="30" borderId="0" xfId="1" applyNumberFormat="1" applyFont="1" applyFill="1" applyBorder="1"/>
    <xf numFmtId="171" fontId="120" fillId="30" borderId="0" xfId="1" applyNumberFormat="1" applyFont="1" applyFill="1" applyAlignment="1">
      <alignment horizontal="left"/>
    </xf>
    <xf numFmtId="179" fontId="22" fillId="30" borderId="27" xfId="1" applyNumberFormat="1" applyFont="1" applyFill="1" applyBorder="1"/>
    <xf numFmtId="43" fontId="129" fillId="30" borderId="0" xfId="1" applyFont="1" applyFill="1" applyBorder="1"/>
    <xf numFmtId="43" fontId="129" fillId="30" borderId="26" xfId="1" applyFont="1" applyFill="1" applyBorder="1"/>
    <xf numFmtId="172" fontId="37" fillId="30" borderId="26" xfId="1" applyNumberFormat="1" applyFont="1" applyFill="1" applyBorder="1"/>
    <xf numFmtId="172" fontId="37" fillId="30" borderId="0" xfId="1" applyNumberFormat="1" applyFont="1" applyFill="1" applyBorder="1"/>
    <xf numFmtId="43" fontId="84" fillId="30" borderId="0" xfId="1" applyFont="1" applyFill="1" applyBorder="1"/>
    <xf numFmtId="10" fontId="38" fillId="19" borderId="0" xfId="2" applyNumberFormat="1" applyFont="1" applyFill="1" applyBorder="1" applyAlignment="1">
      <alignment horizontal="right"/>
    </xf>
    <xf numFmtId="172" fontId="38" fillId="19" borderId="0" xfId="1" applyNumberFormat="1" applyFont="1" applyFill="1" applyBorder="1" applyAlignment="1">
      <alignment horizontal="right"/>
    </xf>
    <xf numFmtId="179" fontId="108" fillId="19" borderId="0" xfId="1" applyNumberFormat="1" applyFont="1" applyFill="1" applyBorder="1"/>
    <xf numFmtId="165" fontId="2" fillId="0" borderId="0" xfId="13" applyFont="1"/>
    <xf numFmtId="165" fontId="15" fillId="0" borderId="0" xfId="13" applyFont="1"/>
    <xf numFmtId="179" fontId="31" fillId="0" borderId="0" xfId="13" applyNumberFormat="1" applyFont="1"/>
    <xf numFmtId="179" fontId="15" fillId="0" borderId="0" xfId="13" applyNumberFormat="1" applyFont="1"/>
    <xf numFmtId="171" fontId="16" fillId="0" borderId="0" xfId="0" applyNumberFormat="1" applyFont="1"/>
    <xf numFmtId="165" fontId="16" fillId="0" borderId="54" xfId="13" applyFont="1" applyBorder="1"/>
    <xf numFmtId="165" fontId="16" fillId="0" borderId="55" xfId="13" applyFont="1" applyBorder="1"/>
    <xf numFmtId="165" fontId="27" fillId="0" borderId="56" xfId="13" applyFont="1" applyBorder="1"/>
    <xf numFmtId="171" fontId="27" fillId="0" borderId="57" xfId="12" applyNumberFormat="1" applyFont="1" applyBorder="1"/>
    <xf numFmtId="165" fontId="16" fillId="0" borderId="58" xfId="13" applyFont="1" applyBorder="1"/>
    <xf numFmtId="173" fontId="16" fillId="0" borderId="59" xfId="0" applyNumberFormat="1" applyFont="1" applyBorder="1"/>
    <xf numFmtId="179" fontId="0" fillId="0" borderId="0" xfId="13" applyNumberFormat="1" applyFont="1" applyBorder="1"/>
    <xf numFmtId="165" fontId="16" fillId="35" borderId="0" xfId="13" applyFont="1" applyFill="1"/>
    <xf numFmtId="9" fontId="125" fillId="35" borderId="0" xfId="0" applyNumberFormat="1" applyFont="1" applyFill="1"/>
    <xf numFmtId="165" fontId="16" fillId="0" borderId="0" xfId="13" applyFont="1" applyFill="1"/>
    <xf numFmtId="9" fontId="125" fillId="0" borderId="0" xfId="0" applyNumberFormat="1" applyFont="1"/>
    <xf numFmtId="165" fontId="16" fillId="3" borderId="30" xfId="13" applyFont="1" applyFill="1" applyBorder="1"/>
    <xf numFmtId="171" fontId="0" fillId="3" borderId="35" xfId="12" applyNumberFormat="1" applyFont="1" applyFill="1" applyBorder="1"/>
    <xf numFmtId="171" fontId="0" fillId="0" borderId="0" xfId="12" applyNumberFormat="1" applyFont="1" applyFill="1" applyBorder="1"/>
    <xf numFmtId="165" fontId="0" fillId="0" borderId="26" xfId="13" applyFont="1" applyBorder="1"/>
    <xf numFmtId="171" fontId="179" fillId="3" borderId="36" xfId="12" applyNumberFormat="1" applyFont="1" applyFill="1" applyBorder="1"/>
    <xf numFmtId="171" fontId="77" fillId="0" borderId="0" xfId="12" applyNumberFormat="1" applyFont="1" applyFill="1" applyBorder="1"/>
    <xf numFmtId="171" fontId="67" fillId="0" borderId="0" xfId="12" applyNumberFormat="1" applyFont="1" applyFill="1" applyBorder="1"/>
    <xf numFmtId="171" fontId="67" fillId="3" borderId="36" xfId="12" applyNumberFormat="1" applyFont="1" applyFill="1" applyBorder="1"/>
    <xf numFmtId="165" fontId="31" fillId="0" borderId="26" xfId="13" applyFont="1" applyBorder="1"/>
    <xf numFmtId="171" fontId="2" fillId="0" borderId="0" xfId="12" applyNumberFormat="1" applyFont="1" applyFill="1" applyBorder="1"/>
    <xf numFmtId="0" fontId="31" fillId="0" borderId="26" xfId="0" applyFont="1" applyBorder="1"/>
    <xf numFmtId="171" fontId="15" fillId="0" borderId="36" xfId="12" applyNumberFormat="1" applyFont="1" applyBorder="1"/>
    <xf numFmtId="171" fontId="15" fillId="0" borderId="0" xfId="12" applyNumberFormat="1" applyFont="1" applyFill="1" applyBorder="1"/>
    <xf numFmtId="171" fontId="0" fillId="0" borderId="36" xfId="12" applyNumberFormat="1" applyFont="1" applyBorder="1"/>
    <xf numFmtId="174" fontId="67" fillId="3" borderId="36" xfId="13" applyNumberFormat="1" applyFont="1" applyFill="1" applyBorder="1"/>
    <xf numFmtId="174" fontId="67" fillId="0" borderId="0" xfId="13" applyNumberFormat="1" applyFont="1" applyFill="1" applyBorder="1"/>
    <xf numFmtId="171" fontId="0" fillId="3" borderId="36" xfId="12" applyNumberFormat="1" applyFont="1" applyFill="1" applyBorder="1"/>
    <xf numFmtId="171" fontId="15" fillId="0" borderId="36" xfId="12" applyNumberFormat="1" applyFont="1" applyFill="1" applyBorder="1"/>
    <xf numFmtId="165" fontId="0" fillId="11" borderId="26" xfId="13" applyFont="1" applyFill="1" applyBorder="1"/>
    <xf numFmtId="171" fontId="15" fillId="11" borderId="36" xfId="12" applyNumberFormat="1" applyFont="1" applyFill="1" applyBorder="1"/>
    <xf numFmtId="0" fontId="0" fillId="11" borderId="26" xfId="0" applyFill="1" applyBorder="1"/>
    <xf numFmtId="165" fontId="15" fillId="0" borderId="36" xfId="13" applyFont="1" applyFill="1" applyBorder="1"/>
    <xf numFmtId="165" fontId="15" fillId="0" borderId="0" xfId="13" applyFont="1" applyFill="1" applyBorder="1"/>
    <xf numFmtId="165" fontId="42" fillId="0" borderId="31" xfId="13" applyFont="1" applyBorder="1"/>
    <xf numFmtId="168" fontId="42" fillId="0" borderId="37" xfId="13" applyNumberFormat="1" applyFont="1" applyBorder="1"/>
    <xf numFmtId="168" fontId="42" fillId="0" borderId="0" xfId="13" applyNumberFormat="1" applyFont="1" applyFill="1" applyBorder="1"/>
    <xf numFmtId="0" fontId="42" fillId="0" borderId="31" xfId="0" applyFont="1" applyBorder="1"/>
    <xf numFmtId="0" fontId="17" fillId="20" borderId="47" xfId="0" applyFont="1" applyFill="1" applyBorder="1"/>
    <xf numFmtId="17" fontId="16" fillId="0" borderId="0" xfId="0" applyNumberFormat="1" applyFont="1"/>
    <xf numFmtId="4" fontId="180" fillId="3" borderId="23" xfId="0" applyNumberFormat="1" applyFont="1" applyFill="1" applyBorder="1" applyAlignment="1">
      <alignment horizontal="right" vertical="center" wrapText="1"/>
    </xf>
    <xf numFmtId="171" fontId="2" fillId="33" borderId="0" xfId="2" applyNumberFormat="1" applyFont="1" applyFill="1" applyAlignment="1">
      <alignment horizontal="right"/>
    </xf>
    <xf numFmtId="0" fontId="2" fillId="0" borderId="0" xfId="0" applyFont="1" applyAlignment="1">
      <alignment horizontal="right"/>
    </xf>
    <xf numFmtId="171" fontId="2" fillId="0" borderId="0" xfId="2" applyNumberFormat="1" applyFont="1" applyFill="1" applyAlignment="1">
      <alignment horizontal="right"/>
    </xf>
    <xf numFmtId="43" fontId="2" fillId="33" borderId="0" xfId="1" applyFont="1" applyFill="1" applyAlignment="1">
      <alignment horizontal="right"/>
    </xf>
    <xf numFmtId="174" fontId="0" fillId="0" borderId="26" xfId="1" applyNumberFormat="1" applyFont="1" applyBorder="1" applyAlignment="1">
      <alignment horizontal="left" vertical="center" indent="1"/>
    </xf>
    <xf numFmtId="179" fontId="39" fillId="19" borderId="0" xfId="1" applyNumberFormat="1" applyFont="1" applyFill="1" applyBorder="1"/>
    <xf numFmtId="172" fontId="129" fillId="19" borderId="0" xfId="1" applyNumberFormat="1" applyFont="1" applyFill="1" applyBorder="1"/>
    <xf numFmtId="167" fontId="58" fillId="0" borderId="48" xfId="1" applyNumberFormat="1" applyFont="1" applyFill="1" applyBorder="1" applyAlignment="1">
      <alignment horizontal="center" vertical="center"/>
    </xf>
    <xf numFmtId="43" fontId="40" fillId="0" borderId="26" xfId="1" applyFont="1" applyFill="1" applyBorder="1" applyAlignment="1">
      <alignment horizontal="center" vertical="center"/>
    </xf>
    <xf numFmtId="2" fontId="136" fillId="0" borderId="26" xfId="2" applyNumberFormat="1" applyFont="1" applyFill="1" applyBorder="1" applyAlignment="1">
      <alignment horizontal="center" vertical="center"/>
    </xf>
    <xf numFmtId="171" fontId="168" fillId="0" borderId="26" xfId="2" applyNumberFormat="1" applyFont="1" applyFill="1" applyBorder="1" applyAlignment="1">
      <alignment horizontal="center" vertical="center"/>
    </xf>
    <xf numFmtId="2" fontId="168" fillId="0" borderId="26" xfId="2" applyNumberFormat="1" applyFont="1" applyFill="1" applyBorder="1" applyAlignment="1">
      <alignment horizontal="center" vertical="center"/>
    </xf>
    <xf numFmtId="2" fontId="38" fillId="0" borderId="26" xfId="2" applyNumberFormat="1" applyFont="1" applyFill="1" applyBorder="1" applyAlignment="1">
      <alignment horizontal="center" vertical="center"/>
    </xf>
    <xf numFmtId="9" fontId="21" fillId="0" borderId="26" xfId="2" applyFont="1" applyBorder="1" applyAlignment="1">
      <alignment horizontal="center" vertical="center"/>
    </xf>
    <xf numFmtId="171" fontId="21" fillId="11" borderId="26" xfId="2" applyNumberFormat="1" applyFont="1" applyFill="1" applyBorder="1" applyAlignment="1">
      <alignment horizontal="right"/>
    </xf>
    <xf numFmtId="179" fontId="38" fillId="19" borderId="26" xfId="1" applyNumberFormat="1" applyFont="1" applyFill="1" applyBorder="1"/>
    <xf numFmtId="171" fontId="136" fillId="19" borderId="26" xfId="2" applyNumberFormat="1" applyFont="1" applyFill="1" applyBorder="1"/>
    <xf numFmtId="10" fontId="136" fillId="19" borderId="26" xfId="2" applyNumberFormat="1" applyFont="1" applyFill="1" applyBorder="1"/>
    <xf numFmtId="171" fontId="29" fillId="30" borderId="26" xfId="2" applyNumberFormat="1" applyFont="1" applyFill="1" applyBorder="1" applyAlignment="1">
      <alignment horizontal="right"/>
    </xf>
    <xf numFmtId="172" fontId="136" fillId="19" borderId="26" xfId="1" applyNumberFormat="1" applyFont="1" applyFill="1" applyBorder="1"/>
    <xf numFmtId="172" fontId="94" fillId="30" borderId="26" xfId="1" applyNumberFormat="1" applyFont="1" applyFill="1" applyBorder="1"/>
    <xf numFmtId="37" fontId="129" fillId="28" borderId="26" xfId="1" applyNumberFormat="1" applyFont="1" applyFill="1" applyBorder="1"/>
    <xf numFmtId="10" fontId="84" fillId="19" borderId="26" xfId="0" applyNumberFormat="1" applyFont="1" applyFill="1" applyBorder="1"/>
    <xf numFmtId="10" fontId="41" fillId="19" borderId="26" xfId="2" applyNumberFormat="1" applyFont="1" applyFill="1" applyBorder="1"/>
    <xf numFmtId="10" fontId="39" fillId="19" borderId="26" xfId="2" applyNumberFormat="1" applyFont="1" applyFill="1" applyBorder="1"/>
    <xf numFmtId="43" fontId="82" fillId="19" borderId="26" xfId="1" applyFont="1" applyFill="1" applyBorder="1"/>
    <xf numFmtId="167" fontId="40" fillId="19" borderId="26" xfId="1" applyNumberFormat="1" applyFont="1" applyFill="1" applyBorder="1" applyAlignment="1">
      <alignment horizontal="right" vertical="center"/>
    </xf>
    <xf numFmtId="171" fontId="41" fillId="19" borderId="26" xfId="0" applyNumberFormat="1" applyFont="1" applyFill="1" applyBorder="1"/>
    <xf numFmtId="167" fontId="83" fillId="19" borderId="26" xfId="1" applyNumberFormat="1" applyFont="1" applyFill="1" applyBorder="1"/>
    <xf numFmtId="10" fontId="39" fillId="19" borderId="26" xfId="0" applyNumberFormat="1" applyFont="1" applyFill="1" applyBorder="1"/>
    <xf numFmtId="171" fontId="39" fillId="34" borderId="26" xfId="2" applyNumberFormat="1" applyFont="1" applyFill="1" applyBorder="1"/>
    <xf numFmtId="43" fontId="84" fillId="34" borderId="26" xfId="1" applyFont="1" applyFill="1" applyBorder="1"/>
    <xf numFmtId="167" fontId="82" fillId="34" borderId="26" xfId="1" applyNumberFormat="1" applyFont="1" applyFill="1" applyBorder="1"/>
    <xf numFmtId="165" fontId="58" fillId="34" borderId="26" xfId="0" applyNumberFormat="1" applyFont="1" applyFill="1" applyBorder="1"/>
    <xf numFmtId="172" fontId="36" fillId="19" borderId="26" xfId="1" applyNumberFormat="1" applyFont="1" applyFill="1" applyBorder="1"/>
    <xf numFmtId="171" fontId="41" fillId="34" borderId="26" xfId="2" applyNumberFormat="1" applyFont="1" applyFill="1" applyBorder="1"/>
    <xf numFmtId="2" fontId="163" fillId="34" borderId="26" xfId="2" applyNumberFormat="1" applyFont="1" applyFill="1" applyBorder="1"/>
    <xf numFmtId="170" fontId="164" fillId="34" borderId="26" xfId="2" applyNumberFormat="1" applyFont="1" applyFill="1" applyBorder="1"/>
    <xf numFmtId="179" fontId="40" fillId="2" borderId="26" xfId="1" applyNumberFormat="1" applyFont="1" applyFill="1" applyBorder="1"/>
    <xf numFmtId="37" fontId="41" fillId="2" borderId="26" xfId="0" applyNumberFormat="1" applyFont="1" applyFill="1" applyBorder="1"/>
    <xf numFmtId="43" fontId="40" fillId="2" borderId="26" xfId="1" applyFont="1" applyFill="1" applyBorder="1"/>
    <xf numFmtId="43" fontId="58" fillId="2" borderId="26" xfId="1" applyFont="1" applyFill="1" applyBorder="1"/>
    <xf numFmtId="43" fontId="84" fillId="2" borderId="26" xfId="1" applyFont="1" applyFill="1" applyBorder="1"/>
    <xf numFmtId="167" fontId="40" fillId="2" borderId="26" xfId="0" applyNumberFormat="1" applyFont="1" applyFill="1" applyBorder="1"/>
    <xf numFmtId="10" fontId="39" fillId="2" borderId="26" xfId="2" applyNumberFormat="1" applyFont="1" applyFill="1" applyBorder="1"/>
    <xf numFmtId="43" fontId="84" fillId="2" borderId="24" xfId="1" applyFont="1" applyFill="1" applyBorder="1"/>
    <xf numFmtId="167" fontId="84" fillId="2" borderId="26" xfId="1" applyNumberFormat="1" applyFont="1" applyFill="1" applyBorder="1"/>
    <xf numFmtId="171" fontId="39" fillId="2" borderId="26" xfId="2" applyNumberFormat="1" applyFont="1" applyFill="1" applyBorder="1"/>
    <xf numFmtId="165" fontId="58" fillId="2" borderId="26" xfId="0" applyNumberFormat="1" applyFont="1" applyFill="1" applyBorder="1"/>
    <xf numFmtId="43" fontId="58" fillId="25" borderId="26" xfId="0" applyNumberFormat="1" applyFont="1" applyFill="1" applyBorder="1"/>
    <xf numFmtId="9" fontId="41" fillId="25" borderId="26" xfId="0" applyNumberFormat="1" applyFont="1" applyFill="1" applyBorder="1"/>
    <xf numFmtId="171" fontId="41" fillId="25" borderId="26" xfId="0" applyNumberFormat="1" applyFont="1" applyFill="1" applyBorder="1"/>
    <xf numFmtId="165" fontId="58" fillId="25" borderId="26" xfId="0" applyNumberFormat="1" applyFont="1" applyFill="1" applyBorder="1"/>
    <xf numFmtId="165" fontId="40" fillId="25" borderId="26" xfId="0" applyNumberFormat="1" applyFont="1" applyFill="1" applyBorder="1"/>
    <xf numFmtId="165" fontId="35" fillId="25" borderId="26" xfId="0" applyNumberFormat="1" applyFont="1" applyFill="1" applyBorder="1"/>
    <xf numFmtId="43" fontId="41" fillId="25" borderId="26" xfId="1" applyFont="1" applyFill="1" applyBorder="1"/>
    <xf numFmtId="0" fontId="41" fillId="25" borderId="26" xfId="0" applyFont="1" applyFill="1" applyBorder="1"/>
    <xf numFmtId="0" fontId="17" fillId="0" borderId="41" xfId="0" applyFont="1" applyBorder="1"/>
    <xf numFmtId="0" fontId="17" fillId="0" borderId="48" xfId="0" applyFont="1" applyBorder="1"/>
    <xf numFmtId="43" fontId="58" fillId="0" borderId="26" xfId="1" applyFont="1" applyBorder="1"/>
    <xf numFmtId="167" fontId="58" fillId="0" borderId="26" xfId="0" applyNumberFormat="1" applyFont="1" applyBorder="1"/>
    <xf numFmtId="0" fontId="17" fillId="0" borderId="26" xfId="0" quotePrefix="1" applyFont="1" applyBorder="1"/>
    <xf numFmtId="169" fontId="25" fillId="0" borderId="47" xfId="2" applyNumberFormat="1" applyFont="1" applyFill="1" applyBorder="1" applyAlignment="1">
      <alignment horizontal="center" vertical="center"/>
    </xf>
    <xf numFmtId="167" fontId="21" fillId="30" borderId="26" xfId="1" applyNumberFormat="1" applyFont="1" applyFill="1" applyBorder="1" applyAlignment="1">
      <alignment horizontal="center" vertical="center"/>
    </xf>
    <xf numFmtId="171" fontId="21" fillId="30" borderId="26" xfId="2" applyNumberFormat="1" applyFont="1" applyFill="1" applyBorder="1" applyAlignment="1">
      <alignment horizontal="center" vertical="center"/>
    </xf>
    <xf numFmtId="43" fontId="25" fillId="0" borderId="26" xfId="1" applyFont="1" applyFill="1" applyBorder="1" applyAlignment="1">
      <alignment horizontal="center" vertical="center"/>
    </xf>
    <xf numFmtId="169" fontId="25" fillId="0" borderId="30" xfId="2" applyNumberFormat="1" applyFont="1" applyFill="1" applyBorder="1" applyAlignment="1">
      <alignment horizontal="center" vertical="center"/>
    </xf>
    <xf numFmtId="167" fontId="58" fillId="0" borderId="26" xfId="1" applyNumberFormat="1" applyFont="1" applyBorder="1" applyAlignment="1">
      <alignment horizontal="center"/>
    </xf>
    <xf numFmtId="169" fontId="21" fillId="0" borderId="26" xfId="2" applyNumberFormat="1" applyFont="1" applyFill="1" applyBorder="1" applyAlignment="1">
      <alignment horizontal="center" vertical="center"/>
    </xf>
    <xf numFmtId="167" fontId="21" fillId="0" borderId="26" xfId="1" applyNumberFormat="1" applyFont="1" applyFill="1" applyBorder="1" applyAlignment="1">
      <alignment horizontal="center" vertical="center" wrapText="1"/>
    </xf>
    <xf numFmtId="171" fontId="29" fillId="0" borderId="26" xfId="2" applyNumberFormat="1" applyFont="1" applyFill="1" applyBorder="1" applyAlignment="1">
      <alignment horizontal="center"/>
    </xf>
    <xf numFmtId="179" fontId="22" fillId="30" borderId="26" xfId="1" applyNumberFormat="1" applyFont="1" applyFill="1" applyBorder="1"/>
    <xf numFmtId="167" fontId="17" fillId="19" borderId="26" xfId="1" applyNumberFormat="1" applyFont="1" applyFill="1" applyBorder="1"/>
    <xf numFmtId="174" fontId="22" fillId="30" borderId="26" xfId="1" applyNumberFormat="1" applyFont="1" applyFill="1" applyBorder="1"/>
    <xf numFmtId="179" fontId="17" fillId="19" borderId="26" xfId="1" applyNumberFormat="1" applyFont="1" applyFill="1" applyBorder="1"/>
    <xf numFmtId="43" fontId="22" fillId="19" borderId="26" xfId="1" applyFont="1" applyFill="1" applyBorder="1"/>
    <xf numFmtId="43" fontId="22" fillId="19" borderId="24" xfId="1" applyFont="1" applyFill="1" applyBorder="1"/>
    <xf numFmtId="179" fontId="22" fillId="30" borderId="26" xfId="1" applyNumberFormat="1" applyFont="1" applyFill="1" applyBorder="1" applyAlignment="1">
      <alignment horizontal="right"/>
    </xf>
    <xf numFmtId="43" fontId="22" fillId="30" borderId="26" xfId="1" applyFont="1" applyFill="1" applyBorder="1"/>
    <xf numFmtId="43" fontId="22" fillId="19" borderId="47" xfId="1" applyFont="1" applyFill="1" applyBorder="1"/>
    <xf numFmtId="171" fontId="115" fillId="19" borderId="26" xfId="2" applyNumberFormat="1" applyFont="1" applyFill="1" applyBorder="1"/>
    <xf numFmtId="37" fontId="22" fillId="19" borderId="26" xfId="1" applyNumberFormat="1" applyFont="1" applyFill="1" applyBorder="1"/>
    <xf numFmtId="167" fontId="22" fillId="19" borderId="26" xfId="1" applyNumberFormat="1" applyFont="1" applyFill="1" applyBorder="1"/>
    <xf numFmtId="179" fontId="94" fillId="19" borderId="26" xfId="1" applyNumberFormat="1" applyFont="1" applyFill="1" applyBorder="1"/>
    <xf numFmtId="10" fontId="38" fillId="19" borderId="26" xfId="0" applyNumberFormat="1" applyFont="1" applyFill="1" applyBorder="1"/>
    <xf numFmtId="43" fontId="23" fillId="19" borderId="26" xfId="1" applyFont="1" applyFill="1" applyBorder="1"/>
    <xf numFmtId="172" fontId="22" fillId="19" borderId="26" xfId="1" applyNumberFormat="1" applyFont="1" applyFill="1" applyBorder="1"/>
    <xf numFmtId="167" fontId="143" fillId="34" borderId="26" xfId="1" applyNumberFormat="1" applyFont="1" applyFill="1" applyBorder="1" applyAlignment="1">
      <alignment horizontal="right"/>
    </xf>
    <xf numFmtId="10" fontId="162" fillId="34" borderId="26" xfId="2" applyNumberFormat="1" applyFont="1" applyFill="1" applyBorder="1"/>
    <xf numFmtId="172" fontId="115" fillId="34" borderId="26" xfId="1" applyNumberFormat="1" applyFont="1" applyFill="1" applyBorder="1"/>
    <xf numFmtId="172" fontId="23" fillId="20" borderId="48" xfId="1" applyNumberFormat="1" applyFont="1" applyFill="1" applyBorder="1"/>
    <xf numFmtId="0" fontId="21" fillId="20" borderId="26" xfId="0" applyFont="1" applyFill="1" applyBorder="1"/>
    <xf numFmtId="167" fontId="21" fillId="20" borderId="26" xfId="1" applyNumberFormat="1" applyFont="1" applyFill="1" applyBorder="1"/>
    <xf numFmtId="172" fontId="22" fillId="20" borderId="26" xfId="1" applyNumberFormat="1" applyFont="1" applyFill="1" applyBorder="1"/>
    <xf numFmtId="172" fontId="22" fillId="20" borderId="48" xfId="1" applyNumberFormat="1" applyFont="1" applyFill="1" applyBorder="1"/>
    <xf numFmtId="43" fontId="22" fillId="20" borderId="26" xfId="1" applyFont="1" applyFill="1" applyBorder="1"/>
    <xf numFmtId="10" fontId="107" fillId="20" borderId="26" xfId="2" applyNumberFormat="1" applyFont="1" applyFill="1" applyBorder="1"/>
    <xf numFmtId="167" fontId="22" fillId="20" borderId="26" xfId="1" applyNumberFormat="1" applyFont="1" applyFill="1" applyBorder="1"/>
    <xf numFmtId="10" fontId="82" fillId="20" borderId="26" xfId="2" applyNumberFormat="1" applyFont="1" applyFill="1" applyBorder="1"/>
    <xf numFmtId="43" fontId="94" fillId="20" borderId="24" xfId="1" applyFont="1" applyFill="1" applyBorder="1"/>
    <xf numFmtId="171" fontId="22" fillId="2" borderId="26" xfId="2" applyNumberFormat="1" applyFont="1" applyFill="1" applyBorder="1"/>
    <xf numFmtId="171" fontId="17" fillId="11" borderId="26" xfId="2" applyNumberFormat="1" applyFont="1" applyFill="1" applyBorder="1"/>
    <xf numFmtId="179" fontId="22" fillId="2" borderId="26" xfId="0" applyNumberFormat="1" applyFont="1" applyFill="1" applyBorder="1"/>
    <xf numFmtId="37" fontId="17" fillId="2" borderId="26" xfId="1" applyNumberFormat="1" applyFont="1" applyFill="1" applyBorder="1"/>
    <xf numFmtId="43" fontId="28" fillId="2" borderId="26" xfId="1" applyFont="1" applyFill="1" applyBorder="1"/>
    <xf numFmtId="43" fontId="22" fillId="2" borderId="24" xfId="1" applyFont="1" applyFill="1" applyBorder="1"/>
    <xf numFmtId="172" fontId="22" fillId="2" borderId="26" xfId="1" applyNumberFormat="1" applyFont="1" applyFill="1" applyBorder="1"/>
    <xf numFmtId="172" fontId="78" fillId="2" borderId="26" xfId="1" applyNumberFormat="1" applyFont="1" applyFill="1" applyBorder="1"/>
    <xf numFmtId="172" fontId="28" fillId="2" borderId="26" xfId="1" applyNumberFormat="1" applyFont="1" applyFill="1" applyBorder="1"/>
    <xf numFmtId="179" fontId="28" fillId="2" borderId="26" xfId="1" applyNumberFormat="1" applyFont="1" applyFill="1" applyBorder="1"/>
    <xf numFmtId="37" fontId="17" fillId="21" borderId="26" xfId="1" applyNumberFormat="1" applyFont="1" applyFill="1" applyBorder="1"/>
    <xf numFmtId="172" fontId="17" fillId="21" borderId="26" xfId="1" applyNumberFormat="1" applyFont="1" applyFill="1" applyBorder="1"/>
    <xf numFmtId="168" fontId="22" fillId="21" borderId="26" xfId="0" applyNumberFormat="1" applyFont="1" applyFill="1" applyBorder="1"/>
    <xf numFmtId="43" fontId="22" fillId="21" borderId="26" xfId="1" applyFont="1" applyFill="1" applyBorder="1"/>
    <xf numFmtId="167" fontId="58" fillId="0" borderId="41" xfId="1" applyNumberFormat="1" applyFont="1" applyBorder="1"/>
    <xf numFmtId="167" fontId="58" fillId="0" borderId="26" xfId="1" applyNumberFormat="1" applyFont="1" applyBorder="1"/>
    <xf numFmtId="167" fontId="58" fillId="0" borderId="48" xfId="1" applyNumberFormat="1" applyFont="1" applyBorder="1"/>
    <xf numFmtId="171" fontId="121" fillId="0" borderId="26" xfId="12" applyNumberFormat="1" applyFont="1" applyBorder="1"/>
    <xf numFmtId="172" fontId="135" fillId="0" borderId="26" xfId="1" applyNumberFormat="1" applyFont="1" applyBorder="1"/>
    <xf numFmtId="179" fontId="22" fillId="0" borderId="26" xfId="1" applyNumberFormat="1" applyFont="1" applyBorder="1"/>
    <xf numFmtId="43" fontId="22" fillId="11" borderId="26" xfId="1" applyFont="1" applyFill="1" applyBorder="1"/>
    <xf numFmtId="171" fontId="36" fillId="0" borderId="26" xfId="2" applyNumberFormat="1" applyFont="1" applyBorder="1"/>
    <xf numFmtId="171" fontId="41" fillId="0" borderId="26" xfId="2" applyNumberFormat="1" applyFont="1" applyBorder="1"/>
    <xf numFmtId="167" fontId="22" fillId="0" borderId="24" xfId="1" applyNumberFormat="1" applyFont="1" applyBorder="1"/>
    <xf numFmtId="0" fontId="49" fillId="16" borderId="26" xfId="1" applyNumberFormat="1" applyFont="1" applyFill="1" applyBorder="1" applyAlignment="1">
      <alignment horizontal="right" vertical="center"/>
    </xf>
    <xf numFmtId="167" fontId="16" fillId="0" borderId="26" xfId="1" applyNumberFormat="1" applyFont="1" applyBorder="1" applyAlignment="1">
      <alignment horizontal="right"/>
    </xf>
    <xf numFmtId="167" fontId="0" fillId="0" borderId="26" xfId="1" applyNumberFormat="1" applyFont="1" applyBorder="1" applyAlignment="1">
      <alignment horizontal="right"/>
    </xf>
    <xf numFmtId="171" fontId="139" fillId="0" borderId="26" xfId="2" applyNumberFormat="1" applyFont="1" applyBorder="1" applyAlignment="1">
      <alignment horizontal="right"/>
    </xf>
    <xf numFmtId="171" fontId="104" fillId="0" borderId="26" xfId="2" applyNumberFormat="1" applyFont="1" applyBorder="1" applyAlignment="1">
      <alignment horizontal="right"/>
    </xf>
    <xf numFmtId="171" fontId="16" fillId="0" borderId="26" xfId="2" applyNumberFormat="1" applyFont="1" applyBorder="1" applyAlignment="1">
      <alignment horizontal="right"/>
    </xf>
    <xf numFmtId="167" fontId="31" fillId="0" borderId="26" xfId="1" applyNumberFormat="1" applyFont="1" applyBorder="1" applyAlignment="1">
      <alignment horizontal="right"/>
    </xf>
    <xf numFmtId="167" fontId="139" fillId="0" borderId="26" xfId="1" applyNumberFormat="1" applyFont="1" applyBorder="1" applyAlignment="1">
      <alignment horizontal="right"/>
    </xf>
    <xf numFmtId="167" fontId="106" fillId="0" borderId="26" xfId="1" applyNumberFormat="1" applyFont="1" applyBorder="1" applyAlignment="1">
      <alignment horizontal="right"/>
    </xf>
    <xf numFmtId="167" fontId="31" fillId="0" borderId="26" xfId="0" applyNumberFormat="1" applyFont="1" applyBorder="1" applyAlignment="1">
      <alignment horizontal="right"/>
    </xf>
    <xf numFmtId="167" fontId="50" fillId="0" borderId="26" xfId="1" applyNumberFormat="1" applyFont="1" applyBorder="1" applyAlignment="1">
      <alignment horizontal="right"/>
    </xf>
    <xf numFmtId="167" fontId="50" fillId="0" borderId="26" xfId="1" applyNumberFormat="1" applyFont="1" applyFill="1" applyBorder="1" applyAlignment="1">
      <alignment horizontal="right" vertical="center"/>
    </xf>
    <xf numFmtId="171" fontId="29" fillId="0" borderId="26" xfId="2" applyNumberFormat="1" applyFont="1" applyBorder="1"/>
    <xf numFmtId="172" fontId="57" fillId="0" borderId="26" xfId="1" applyNumberFormat="1" applyFont="1" applyBorder="1"/>
    <xf numFmtId="167" fontId="50" fillId="0" borderId="26" xfId="1" applyNumberFormat="1" applyFont="1" applyBorder="1"/>
    <xf numFmtId="167" fontId="16" fillId="0" borderId="26" xfId="1" applyNumberFormat="1" applyFont="1" applyBorder="1"/>
    <xf numFmtId="171" fontId="17" fillId="0" borderId="31" xfId="2" applyNumberFormat="1" applyFont="1" applyBorder="1"/>
    <xf numFmtId="167" fontId="116" fillId="9" borderId="26" xfId="1" applyNumberFormat="1" applyFont="1" applyFill="1" applyBorder="1" applyAlignment="1">
      <alignment horizontal="right" vertical="center"/>
    </xf>
    <xf numFmtId="167" fontId="57" fillId="9" borderId="26" xfId="1" applyNumberFormat="1" applyFont="1" applyFill="1" applyBorder="1" applyAlignment="1">
      <alignment horizontal="right" vertical="center"/>
    </xf>
    <xf numFmtId="167" fontId="1" fillId="9" borderId="26" xfId="1" applyNumberFormat="1" applyFill="1" applyBorder="1" applyAlignment="1">
      <alignment horizontal="right" vertical="center"/>
    </xf>
    <xf numFmtId="167" fontId="16" fillId="9" borderId="26" xfId="1" applyNumberFormat="1" applyFont="1" applyFill="1" applyBorder="1" applyAlignment="1">
      <alignment horizontal="right" vertical="center"/>
    </xf>
    <xf numFmtId="167" fontId="1" fillId="9" borderId="26" xfId="1" applyNumberFormat="1" applyFont="1" applyFill="1" applyBorder="1" applyAlignment="1">
      <alignment horizontal="right" vertical="center"/>
    </xf>
    <xf numFmtId="167" fontId="1" fillId="0" borderId="26" xfId="1" applyNumberFormat="1" applyFill="1" applyBorder="1" applyAlignment="1">
      <alignment horizontal="right" vertical="center"/>
    </xf>
    <xf numFmtId="167" fontId="1" fillId="11" borderId="26" xfId="1" applyNumberFormat="1" applyFill="1" applyBorder="1" applyAlignment="1">
      <alignment horizontal="right" vertical="center"/>
    </xf>
    <xf numFmtId="167" fontId="0" fillId="0" borderId="26" xfId="0" applyNumberFormat="1" applyBorder="1"/>
    <xf numFmtId="167" fontId="125" fillId="0" borderId="26" xfId="0" applyNumberFormat="1" applyFont="1" applyBorder="1"/>
    <xf numFmtId="167" fontId="42" fillId="9" borderId="26" xfId="1" applyNumberFormat="1" applyFont="1" applyFill="1" applyBorder="1" applyAlignment="1">
      <alignment horizontal="right" vertical="center"/>
    </xf>
    <xf numFmtId="0" fontId="57" fillId="0" borderId="26" xfId="0" applyFont="1" applyBorder="1"/>
    <xf numFmtId="167" fontId="50" fillId="0" borderId="26" xfId="1" applyNumberFormat="1" applyFont="1" applyBorder="1" applyAlignment="1">
      <alignment wrapText="1"/>
    </xf>
    <xf numFmtId="167" fontId="32" fillId="0" borderId="26" xfId="1" applyNumberFormat="1" applyFont="1" applyBorder="1"/>
    <xf numFmtId="167" fontId="50" fillId="0" borderId="26" xfId="0" applyNumberFormat="1" applyFont="1" applyBorder="1"/>
    <xf numFmtId="167" fontId="16" fillId="0" borderId="26" xfId="0" applyNumberFormat="1" applyFont="1" applyBorder="1"/>
    <xf numFmtId="167" fontId="106" fillId="0" borderId="26" xfId="0" applyNumberFormat="1" applyFont="1" applyBorder="1"/>
    <xf numFmtId="43" fontId="0" fillId="0" borderId="26" xfId="1" applyFont="1" applyBorder="1"/>
    <xf numFmtId="167" fontId="16" fillId="0" borderId="26" xfId="1" applyNumberFormat="1" applyFont="1" applyBorder="1" applyAlignment="1">
      <alignment horizontal="right" vertical="center"/>
    </xf>
    <xf numFmtId="167" fontId="104" fillId="9" borderId="26" xfId="1" applyNumberFormat="1" applyFont="1" applyFill="1" applyBorder="1" applyAlignment="1">
      <alignment horizontal="right" vertical="center"/>
    </xf>
    <xf numFmtId="167" fontId="31" fillId="9" borderId="26" xfId="1" applyNumberFormat="1" applyFont="1" applyFill="1" applyBorder="1" applyAlignment="1">
      <alignment horizontal="right" vertical="center"/>
    </xf>
    <xf numFmtId="167" fontId="31" fillId="19" borderId="26" xfId="1" applyNumberFormat="1" applyFont="1" applyFill="1" applyBorder="1" applyAlignment="1">
      <alignment horizontal="right" vertical="center"/>
    </xf>
    <xf numFmtId="167" fontId="15" fillId="19" borderId="26" xfId="1" applyNumberFormat="1" applyFont="1" applyFill="1" applyBorder="1" applyAlignment="1">
      <alignment horizontal="right" vertical="center"/>
    </xf>
    <xf numFmtId="167" fontId="145" fillId="19" borderId="26" xfId="1" applyNumberFormat="1" applyFont="1" applyFill="1" applyBorder="1" applyAlignment="1">
      <alignment horizontal="right" vertical="center"/>
    </xf>
    <xf numFmtId="167" fontId="32" fillId="19" borderId="26" xfId="1" applyNumberFormat="1" applyFont="1" applyFill="1" applyBorder="1" applyAlignment="1">
      <alignment horizontal="right" vertical="center"/>
    </xf>
    <xf numFmtId="37" fontId="32" fillId="9" borderId="26" xfId="1" applyNumberFormat="1" applyFont="1" applyFill="1" applyBorder="1" applyAlignment="1">
      <alignment horizontal="right" vertical="center"/>
    </xf>
    <xf numFmtId="39" fontId="32" fillId="9" borderId="26" xfId="1" applyNumberFormat="1" applyFont="1" applyFill="1" applyBorder="1" applyAlignment="1">
      <alignment horizontal="right" vertical="center"/>
    </xf>
    <xf numFmtId="39" fontId="1" fillId="9" borderId="26" xfId="1" applyNumberFormat="1" applyFill="1" applyBorder="1" applyAlignment="1">
      <alignment horizontal="right" vertical="center"/>
    </xf>
    <xf numFmtId="174" fontId="1" fillId="9" borderId="26" xfId="1" applyNumberFormat="1" applyFill="1" applyBorder="1" applyAlignment="1">
      <alignment horizontal="right" vertical="center"/>
    </xf>
    <xf numFmtId="171" fontId="1" fillId="9" borderId="26" xfId="2" applyNumberFormat="1" applyFill="1" applyBorder="1" applyAlignment="1">
      <alignment horizontal="right" vertical="center"/>
    </xf>
    <xf numFmtId="171" fontId="15" fillId="0" borderId="26" xfId="0" applyNumberFormat="1" applyFont="1" applyBorder="1"/>
    <xf numFmtId="179" fontId="28" fillId="0" borderId="26" xfId="1" applyNumberFormat="1" applyFont="1" applyBorder="1"/>
    <xf numFmtId="167" fontId="16" fillId="19" borderId="26" xfId="0" applyNumberFormat="1" applyFont="1" applyFill="1" applyBorder="1"/>
    <xf numFmtId="167" fontId="0" fillId="19" borderId="26" xfId="0" applyNumberFormat="1" applyFill="1" applyBorder="1"/>
    <xf numFmtId="0" fontId="0" fillId="19" borderId="26" xfId="0" applyFill="1" applyBorder="1"/>
    <xf numFmtId="0" fontId="16" fillId="19" borderId="26" xfId="0" applyFont="1" applyFill="1" applyBorder="1"/>
    <xf numFmtId="0" fontId="147" fillId="19" borderId="26" xfId="0" applyFont="1" applyFill="1" applyBorder="1" applyAlignment="1">
      <alignment horizontal="right"/>
    </xf>
    <xf numFmtId="0" fontId="49" fillId="0" borderId="26" xfId="1" applyNumberFormat="1" applyFont="1" applyFill="1" applyBorder="1" applyAlignment="1">
      <alignment horizontal="right" vertical="center"/>
    </xf>
    <xf numFmtId="43" fontId="106" fillId="0" borderId="26" xfId="1" applyFont="1" applyBorder="1"/>
    <xf numFmtId="171" fontId="0" fillId="0" borderId="26" xfId="2" applyNumberFormat="1" applyFont="1" applyBorder="1"/>
    <xf numFmtId="9" fontId="17" fillId="0" borderId="26" xfId="2" applyFont="1" applyBorder="1"/>
    <xf numFmtId="167" fontId="0" fillId="0" borderId="26" xfId="1" applyNumberFormat="1" applyFont="1" applyBorder="1"/>
    <xf numFmtId="37" fontId="33" fillId="17" borderId="26" xfId="1" applyNumberFormat="1" applyFont="1" applyFill="1" applyBorder="1"/>
    <xf numFmtId="43" fontId="81" fillId="0" borderId="26" xfId="1" applyFont="1" applyFill="1" applyBorder="1"/>
    <xf numFmtId="165" fontId="57" fillId="0" borderId="26" xfId="0" applyNumberFormat="1" applyFont="1" applyBorder="1"/>
    <xf numFmtId="9" fontId="0" fillId="0" borderId="26" xfId="2" applyFont="1" applyBorder="1"/>
    <xf numFmtId="39" fontId="31" fillId="0" borderId="26" xfId="1" applyNumberFormat="1" applyFont="1" applyBorder="1"/>
    <xf numFmtId="0" fontId="56" fillId="0" borderId="26" xfId="0" applyFont="1" applyBorder="1"/>
    <xf numFmtId="0" fontId="50" fillId="0" borderId="26" xfId="0" applyFont="1" applyBorder="1"/>
    <xf numFmtId="43" fontId="16" fillId="0" borderId="26" xfId="1" applyFont="1" applyBorder="1"/>
    <xf numFmtId="171" fontId="35" fillId="0" borderId="26" xfId="2" applyNumberFormat="1" applyFont="1" applyBorder="1"/>
    <xf numFmtId="172" fontId="0" fillId="11" borderId="26" xfId="1" applyNumberFormat="1" applyFont="1" applyFill="1" applyBorder="1"/>
    <xf numFmtId="43" fontId="16" fillId="18" borderId="26" xfId="1" applyFont="1" applyFill="1" applyBorder="1"/>
    <xf numFmtId="43" fontId="34" fillId="19" borderId="26" xfId="1" applyFont="1" applyFill="1" applyBorder="1"/>
    <xf numFmtId="43" fontId="81" fillId="0" borderId="26" xfId="1" applyFont="1" applyBorder="1"/>
    <xf numFmtId="165" fontId="0" fillId="0" borderId="26" xfId="0" applyNumberFormat="1" applyBorder="1"/>
    <xf numFmtId="43" fontId="0" fillId="0" borderId="26" xfId="0" applyNumberFormat="1" applyBorder="1"/>
    <xf numFmtId="39" fontId="16" fillId="18" borderId="26" xfId="0" applyNumberFormat="1" applyFont="1" applyFill="1" applyBorder="1"/>
    <xf numFmtId="179" fontId="16" fillId="30" borderId="26" xfId="1" applyNumberFormat="1" applyFont="1" applyFill="1" applyBorder="1"/>
    <xf numFmtId="178" fontId="0" fillId="0" borderId="26" xfId="0" applyNumberFormat="1" applyBorder="1"/>
    <xf numFmtId="10" fontId="0" fillId="0" borderId="26" xfId="0" applyNumberFormat="1" applyBorder="1"/>
    <xf numFmtId="10" fontId="15" fillId="0" borderId="26" xfId="0" applyNumberFormat="1" applyFont="1" applyBorder="1"/>
    <xf numFmtId="179" fontId="57" fillId="0" borderId="26" xfId="1" applyNumberFormat="1" applyFont="1" applyBorder="1"/>
    <xf numFmtId="180" fontId="57" fillId="0" borderId="26" xfId="1" applyNumberFormat="1" applyFont="1" applyBorder="1"/>
    <xf numFmtId="43" fontId="31" fillId="0" borderId="26" xfId="1" applyFont="1" applyBorder="1"/>
    <xf numFmtId="167" fontId="57" fillId="0" borderId="26" xfId="1" applyNumberFormat="1" applyFont="1" applyBorder="1"/>
    <xf numFmtId="180" fontId="15" fillId="0" borderId="26" xfId="1" applyNumberFormat="1" applyFont="1" applyBorder="1"/>
    <xf numFmtId="180" fontId="0" fillId="0" borderId="26" xfId="1" applyNumberFormat="1" applyFont="1" applyBorder="1"/>
    <xf numFmtId="171" fontId="41" fillId="0" borderId="26" xfId="0" applyNumberFormat="1" applyFont="1" applyBorder="1"/>
    <xf numFmtId="167" fontId="0" fillId="0" borderId="24" xfId="1" applyNumberFormat="1" applyFont="1" applyBorder="1"/>
    <xf numFmtId="172" fontId="50" fillId="0" borderId="26" xfId="1" applyNumberFormat="1" applyFont="1" applyBorder="1"/>
    <xf numFmtId="10" fontId="50" fillId="0" borderId="26" xfId="0" applyNumberFormat="1" applyFont="1" applyBorder="1"/>
    <xf numFmtId="172" fontId="31" fillId="0" borderId="26" xfId="1" applyNumberFormat="1" applyFont="1" applyBorder="1"/>
    <xf numFmtId="43" fontId="50" fillId="0" borderId="26" xfId="1" applyFont="1" applyBorder="1"/>
    <xf numFmtId="43" fontId="16" fillId="30" borderId="26" xfId="1" applyFont="1" applyFill="1" applyBorder="1"/>
    <xf numFmtId="171" fontId="39" fillId="0" borderId="0" xfId="2" applyNumberFormat="1" applyFont="1"/>
    <xf numFmtId="171" fontId="17" fillId="0" borderId="26" xfId="2" applyNumberFormat="1" applyFont="1" applyBorder="1" applyAlignment="1">
      <alignment horizontal="right"/>
    </xf>
    <xf numFmtId="167" fontId="32" fillId="0" borderId="26" xfId="1" applyNumberFormat="1" applyFont="1" applyBorder="1" applyAlignment="1">
      <alignment horizontal="right"/>
    </xf>
    <xf numFmtId="167" fontId="116" fillId="0" borderId="26" xfId="1" applyNumberFormat="1" applyFont="1" applyBorder="1" applyAlignment="1">
      <alignment horizontal="right"/>
    </xf>
    <xf numFmtId="167" fontId="50" fillId="0" borderId="26" xfId="0" applyNumberFormat="1" applyFont="1" applyBorder="1" applyAlignment="1">
      <alignment horizontal="right"/>
    </xf>
    <xf numFmtId="172" fontId="0" fillId="0" borderId="26" xfId="1" applyNumberFormat="1" applyFont="1" applyBorder="1"/>
    <xf numFmtId="43" fontId="41" fillId="0" borderId="26" xfId="1" applyFont="1" applyBorder="1"/>
    <xf numFmtId="172" fontId="17" fillId="0" borderId="26" xfId="1" applyNumberFormat="1" applyFont="1" applyBorder="1"/>
    <xf numFmtId="0" fontId="49" fillId="10" borderId="26" xfId="1" applyNumberFormat="1" applyFont="1" applyFill="1" applyBorder="1" applyAlignment="1">
      <alignment vertical="center"/>
    </xf>
    <xf numFmtId="167" fontId="0" fillId="0" borderId="26" xfId="1" applyNumberFormat="1" applyFont="1" applyBorder="1" applyAlignment="1">
      <alignment wrapText="1"/>
    </xf>
    <xf numFmtId="167" fontId="53" fillId="9" borderId="26" xfId="1" applyNumberFormat="1" applyFont="1" applyFill="1" applyBorder="1" applyAlignment="1">
      <alignment horizontal="right" vertical="center"/>
    </xf>
    <xf numFmtId="167" fontId="1" fillId="19" borderId="26" xfId="1" applyNumberFormat="1" applyFill="1" applyBorder="1" applyAlignment="1">
      <alignment horizontal="right" vertical="center"/>
    </xf>
    <xf numFmtId="167" fontId="16" fillId="19" borderId="26" xfId="1" applyNumberFormat="1" applyFont="1" applyFill="1" applyBorder="1" applyAlignment="1">
      <alignment horizontal="right" vertical="center"/>
    </xf>
    <xf numFmtId="0" fontId="49" fillId="0" borderId="26" xfId="1" applyNumberFormat="1" applyFont="1" applyFill="1" applyBorder="1" applyAlignment="1">
      <alignment vertical="center"/>
    </xf>
    <xf numFmtId="172" fontId="16" fillId="0" borderId="26" xfId="1" applyNumberFormat="1" applyFont="1" applyBorder="1"/>
    <xf numFmtId="37" fontId="34" fillId="17" borderId="26" xfId="1" applyNumberFormat="1" applyFont="1" applyFill="1" applyBorder="1"/>
    <xf numFmtId="39" fontId="0" fillId="0" borderId="26" xfId="1" applyNumberFormat="1" applyFont="1" applyBorder="1"/>
    <xf numFmtId="165" fontId="16" fillId="11" borderId="26" xfId="0" applyNumberFormat="1" applyFont="1" applyFill="1" applyBorder="1"/>
    <xf numFmtId="39" fontId="34" fillId="19" borderId="26" xfId="1" applyNumberFormat="1" applyFont="1" applyFill="1" applyBorder="1"/>
    <xf numFmtId="10" fontId="81" fillId="0" borderId="26" xfId="0" applyNumberFormat="1" applyFont="1" applyBorder="1"/>
    <xf numFmtId="178" fontId="0" fillId="0" borderId="26" xfId="0" applyNumberFormat="1" applyBorder="1" applyAlignment="1">
      <alignment vertical="center"/>
    </xf>
    <xf numFmtId="10" fontId="15" fillId="0" borderId="26" xfId="2" applyNumberFormat="1" applyFont="1" applyBorder="1"/>
    <xf numFmtId="37" fontId="148" fillId="0" borderId="26" xfId="1" applyNumberFormat="1" applyFont="1" applyBorder="1" applyAlignment="1">
      <alignment vertical="center"/>
    </xf>
    <xf numFmtId="37" fontId="181" fillId="9" borderId="0" xfId="1" applyNumberFormat="1" applyFont="1" applyFill="1" applyAlignment="1">
      <alignment horizontal="right" vertical="center"/>
    </xf>
    <xf numFmtId="37" fontId="181" fillId="9" borderId="26" xfId="1" applyNumberFormat="1" applyFont="1" applyFill="1" applyBorder="1" applyAlignment="1">
      <alignment horizontal="right" vertical="center"/>
    </xf>
    <xf numFmtId="0" fontId="182" fillId="0" borderId="0" xfId="0" applyFont="1"/>
    <xf numFmtId="0" fontId="182" fillId="31" borderId="0" xfId="0" applyFont="1" applyFill="1"/>
    <xf numFmtId="37" fontId="117" fillId="9" borderId="0" xfId="1" applyNumberFormat="1" applyFont="1" applyFill="1" applyAlignment="1">
      <alignment horizontal="right" vertical="center"/>
    </xf>
    <xf numFmtId="171" fontId="0" fillId="0" borderId="0" xfId="2" applyNumberFormat="1" applyFont="1" applyBorder="1"/>
    <xf numFmtId="171" fontId="81" fillId="0" borderId="0" xfId="2" applyNumberFormat="1" applyFont="1" applyBorder="1"/>
    <xf numFmtId="43" fontId="116" fillId="18" borderId="0" xfId="1" applyFont="1" applyFill="1"/>
    <xf numFmtId="39" fontId="116" fillId="18" borderId="0" xfId="0" applyNumberFormat="1" applyFont="1" applyFill="1"/>
    <xf numFmtId="178" fontId="16" fillId="30" borderId="0" xfId="0" applyNumberFormat="1" applyFont="1" applyFill="1"/>
    <xf numFmtId="178" fontId="116" fillId="30" borderId="0" xfId="0" applyNumberFormat="1" applyFont="1" applyFill="1"/>
    <xf numFmtId="178" fontId="16" fillId="30" borderId="26" xfId="0" applyNumberFormat="1" applyFont="1" applyFill="1" applyBorder="1"/>
    <xf numFmtId="167" fontId="50" fillId="11" borderId="0" xfId="0" applyNumberFormat="1" applyFont="1" applyFill="1"/>
    <xf numFmtId="172" fontId="38" fillId="11" borderId="0" xfId="1" applyNumberFormat="1" applyFont="1" applyFill="1" applyBorder="1"/>
    <xf numFmtId="172" fontId="39" fillId="19" borderId="0" xfId="1" applyNumberFormat="1" applyFont="1" applyFill="1" applyBorder="1"/>
    <xf numFmtId="172" fontId="82" fillId="19" borderId="0" xfId="1" applyNumberFormat="1" applyFont="1" applyFill="1" applyBorder="1"/>
    <xf numFmtId="171" fontId="57" fillId="0" borderId="0" xfId="0" applyNumberFormat="1" applyFont="1"/>
    <xf numFmtId="179" fontId="41" fillId="19" borderId="0" xfId="1" applyNumberFormat="1" applyFont="1" applyFill="1" applyBorder="1"/>
    <xf numFmtId="171" fontId="38" fillId="19" borderId="0" xfId="2" applyNumberFormat="1" applyFont="1" applyFill="1" applyBorder="1" applyAlignment="1">
      <alignment horizontal="right"/>
    </xf>
    <xf numFmtId="179" fontId="23" fillId="0" borderId="36" xfId="1" applyNumberFormat="1" applyFont="1" applyFill="1" applyBorder="1"/>
    <xf numFmtId="171" fontId="21" fillId="0" borderId="36" xfId="2" applyNumberFormat="1" applyFont="1" applyFill="1" applyBorder="1"/>
    <xf numFmtId="179" fontId="23" fillId="9" borderId="36" xfId="1" applyNumberFormat="1" applyFont="1" applyFill="1" applyBorder="1"/>
    <xf numFmtId="172" fontId="84" fillId="19" borderId="0" xfId="1" applyNumberFormat="1" applyFont="1" applyFill="1" applyBorder="1"/>
    <xf numFmtId="172" fontId="35" fillId="20" borderId="0" xfId="1" applyNumberFormat="1" applyFont="1" applyFill="1" applyBorder="1"/>
    <xf numFmtId="172" fontId="40" fillId="20" borderId="0" xfId="1" applyNumberFormat="1" applyFont="1" applyFill="1" applyBorder="1"/>
    <xf numFmtId="165" fontId="58" fillId="21" borderId="0" xfId="0" applyNumberFormat="1" applyFont="1" applyFill="1"/>
    <xf numFmtId="43" fontId="17" fillId="25" borderId="0" xfId="0" applyNumberFormat="1" applyFont="1" applyFill="1"/>
    <xf numFmtId="179" fontId="94" fillId="19" borderId="0" xfId="1" applyNumberFormat="1" applyFont="1" applyFill="1" applyBorder="1"/>
    <xf numFmtId="179" fontId="16" fillId="0" borderId="0" xfId="1" applyNumberFormat="1" applyFont="1"/>
    <xf numFmtId="179" fontId="1" fillId="0" borderId="0" xfId="1" applyNumberFormat="1" applyFont="1"/>
    <xf numFmtId="171" fontId="16" fillId="0" borderId="0" xfId="2" applyNumberFormat="1" applyFont="1"/>
    <xf numFmtId="179" fontId="16" fillId="0" borderId="0" xfId="1" applyNumberFormat="1" applyFont="1" applyAlignment="1">
      <alignment horizontal="right"/>
    </xf>
    <xf numFmtId="171" fontId="125" fillId="0" borderId="0" xfId="2" applyNumberFormat="1" applyFont="1"/>
    <xf numFmtId="43" fontId="21" fillId="9" borderId="26" xfId="1" applyFont="1" applyFill="1" applyBorder="1" applyAlignment="1">
      <alignment horizontal="right"/>
    </xf>
    <xf numFmtId="43" fontId="21" fillId="9" borderId="36" xfId="1" applyFont="1" applyFill="1" applyBorder="1"/>
    <xf numFmtId="43" fontId="21" fillId="0" borderId="0" xfId="1" applyFont="1"/>
    <xf numFmtId="43" fontId="41" fillId="9" borderId="0" xfId="1" applyFont="1" applyFill="1"/>
    <xf numFmtId="43" fontId="23" fillId="11" borderId="0" xfId="1" applyFont="1" applyFill="1" applyBorder="1"/>
    <xf numFmtId="172" fontId="151" fillId="9" borderId="0" xfId="1" applyNumberFormat="1" applyFont="1" applyFill="1" applyBorder="1"/>
    <xf numFmtId="179" fontId="151" fillId="9" borderId="0" xfId="1" applyNumberFormat="1" applyFont="1" applyFill="1" applyBorder="1"/>
    <xf numFmtId="9" fontId="23" fillId="9" borderId="0" xfId="2" applyFont="1" applyFill="1" applyBorder="1"/>
    <xf numFmtId="171" fontId="23" fillId="9" borderId="0" xfId="2" applyNumberFormat="1" applyFont="1" applyFill="1" applyBorder="1"/>
    <xf numFmtId="0" fontId="16" fillId="0" borderId="26" xfId="0" applyFont="1" applyBorder="1"/>
    <xf numFmtId="179" fontId="0" fillId="0" borderId="0" xfId="1" applyNumberFormat="1" applyFont="1" applyBorder="1"/>
    <xf numFmtId="172" fontId="0" fillId="0" borderId="0" xfId="1" applyNumberFormat="1" applyFont="1" applyBorder="1"/>
    <xf numFmtId="178" fontId="16" fillId="0" borderId="0" xfId="0" applyNumberFormat="1" applyFont="1"/>
    <xf numFmtId="178" fontId="15" fillId="0" borderId="0" xfId="0" applyNumberFormat="1" applyFont="1"/>
    <xf numFmtId="43" fontId="40" fillId="0" borderId="0" xfId="1" applyFont="1"/>
    <xf numFmtId="179" fontId="29" fillId="0" borderId="0" xfId="0" applyNumberFormat="1" applyFont="1"/>
    <xf numFmtId="179" fontId="29" fillId="0" borderId="26" xfId="1" applyNumberFormat="1" applyFont="1" applyBorder="1" applyAlignment="1">
      <alignment vertical="center"/>
    </xf>
    <xf numFmtId="179" fontId="130" fillId="9" borderId="0" xfId="1" applyNumberFormat="1" applyFont="1" applyFill="1" applyAlignment="1">
      <alignment horizontal="right" vertical="center"/>
    </xf>
    <xf numFmtId="179" fontId="29" fillId="31" borderId="0" xfId="0" applyNumberFormat="1" applyFont="1" applyFill="1"/>
    <xf numFmtId="179" fontId="130" fillId="9" borderId="26" xfId="1" applyNumberFormat="1" applyFont="1" applyFill="1" applyBorder="1" applyAlignment="1">
      <alignment horizontal="right" vertical="center"/>
    </xf>
    <xf numFmtId="178" fontId="50" fillId="0" borderId="0" xfId="0" applyNumberFormat="1" applyFont="1"/>
    <xf numFmtId="178" fontId="106" fillId="0" borderId="0" xfId="0" applyNumberFormat="1" applyFont="1"/>
    <xf numFmtId="167" fontId="37" fillId="0" borderId="26" xfId="1" applyNumberFormat="1" applyFont="1" applyFill="1" applyBorder="1" applyAlignment="1">
      <alignment horizontal="center" vertical="center"/>
    </xf>
    <xf numFmtId="0" fontId="23" fillId="9" borderId="0" xfId="14" applyFont="1" applyFill="1" applyAlignment="1">
      <alignment horizontal="center"/>
    </xf>
    <xf numFmtId="0" fontId="94" fillId="9" borderId="0" xfId="14" applyFont="1" applyFill="1" applyAlignment="1">
      <alignment horizontal="center" vertical="center" textRotation="90" wrapText="1"/>
    </xf>
    <xf numFmtId="0" fontId="94" fillId="9" borderId="0" xfId="14" applyFont="1" applyFill="1" applyAlignment="1">
      <alignment horizontal="center" wrapText="1"/>
    </xf>
    <xf numFmtId="0" fontId="23" fillId="11" borderId="0" xfId="14" applyFont="1" applyFill="1" applyAlignment="1">
      <alignment horizontal="center"/>
    </xf>
    <xf numFmtId="0" fontId="17" fillId="19" borderId="39" xfId="0" applyFont="1" applyFill="1" applyBorder="1" applyAlignment="1">
      <alignment horizontal="center"/>
    </xf>
    <xf numFmtId="0" fontId="17" fillId="19" borderId="40" xfId="0" applyFont="1" applyFill="1" applyBorder="1" applyAlignment="1">
      <alignment horizontal="center"/>
    </xf>
    <xf numFmtId="0" fontId="17" fillId="19" borderId="49" xfId="0" applyFont="1" applyFill="1" applyBorder="1" applyAlignment="1">
      <alignment horizontal="center"/>
    </xf>
    <xf numFmtId="172" fontId="22" fillId="20" borderId="24" xfId="1" applyNumberFormat="1" applyFont="1" applyFill="1" applyBorder="1" applyAlignment="1">
      <alignment horizontal="center"/>
    </xf>
    <xf numFmtId="172" fontId="22" fillId="20" borderId="25" xfId="1" applyNumberFormat="1" applyFont="1" applyFill="1" applyBorder="1" applyAlignment="1">
      <alignment horizontal="center"/>
    </xf>
    <xf numFmtId="172" fontId="22" fillId="20" borderId="46" xfId="1" applyNumberFormat="1" applyFont="1" applyFill="1" applyBorder="1" applyAlignment="1">
      <alignment horizontal="center"/>
    </xf>
    <xf numFmtId="0" fontId="22" fillId="11" borderId="50" xfId="0" applyFont="1" applyFill="1" applyBorder="1" applyAlignment="1">
      <alignment horizontal="center"/>
    </xf>
    <xf numFmtId="0" fontId="22" fillId="11" borderId="51" xfId="0" applyFont="1" applyFill="1" applyBorder="1" applyAlignment="1">
      <alignment horizontal="center"/>
    </xf>
    <xf numFmtId="0" fontId="22" fillId="11" borderId="52" xfId="0" applyFont="1" applyFill="1" applyBorder="1" applyAlignment="1">
      <alignment horizontal="center"/>
    </xf>
    <xf numFmtId="0" fontId="0" fillId="0" borderId="0" xfId="0" applyAlignment="1">
      <alignment horizontal="center"/>
    </xf>
  </cellXfs>
  <cellStyles count="53">
    <cellStyle name="AFE 2" xfId="19" xr:uid="{00000000-0005-0000-0000-000000000000}"/>
    <cellStyle name="Comma" xfId="1" builtinId="3"/>
    <cellStyle name="Comma 10 2" xfId="13" xr:uid="{00000000-0005-0000-0000-000001000000}"/>
    <cellStyle name="Comma 2" xfId="38" xr:uid="{484221DA-5019-496B-B4A1-BE27EBDCC14F}"/>
    <cellStyle name="Comma 2 2" xfId="40" xr:uid="{817261F8-E0D1-4411-AB05-ABB124A044D0}"/>
    <cellStyle name="Comma 3" xfId="50" xr:uid="{5642EC36-384B-4489-9127-C999D10BAADF}"/>
    <cellStyle name="Comma 4" xfId="21" xr:uid="{0EAE0DCB-B67C-4A0C-8B3A-9FD7FED8B140}"/>
    <cellStyle name="Comma_DROG3 2T10" xfId="17" xr:uid="{00000000-0005-0000-0000-000002000000}"/>
    <cellStyle name="Hyperlink" xfId="18" builtinId="8"/>
    <cellStyle name="Normal" xfId="0" builtinId="0"/>
    <cellStyle name="Normal 134" xfId="24" xr:uid="{907F707C-1D9A-4EE2-BCBB-641E448C78B8}"/>
    <cellStyle name="Normal 2" xfId="7" xr:uid="{00000000-0005-0000-0000-000006000000}"/>
    <cellStyle name="Normal 2 2" xfId="37" xr:uid="{C70C03A0-0966-4AAC-9BA3-A48AE01EA06E}"/>
    <cellStyle name="Normal 2 3" xfId="22" xr:uid="{DCFD61D8-B289-4F90-8F28-0F9E7DD8F514}"/>
    <cellStyle name="Normal 3" xfId="25" xr:uid="{373D533A-4FE8-4EDE-9CFC-4E2BD9B3F738}"/>
    <cellStyle name="Normal 3 2" xfId="26" xr:uid="{164B44C8-95A9-4464-8C3E-65BA50282A7D}"/>
    <cellStyle name="Normal 3 3" xfId="36" xr:uid="{9DA78C04-7E60-4A63-A904-845B34D8822C}"/>
    <cellStyle name="Normal 4" xfId="39" xr:uid="{97F1B6F6-6FDB-4474-892A-6F7FF3C5DB9F}"/>
    <cellStyle name="Normal 5" xfId="51" xr:uid="{46A24C3D-576C-47D9-B168-45CF267E437E}"/>
    <cellStyle name="Normal 6" xfId="3" xr:uid="{00000000-0005-0000-0000-000007000000}"/>
    <cellStyle name="Normal_Balanço_Mai_20041" xfId="4" xr:uid="{00000000-0005-0000-0000-000008000000}"/>
    <cellStyle name="Normal_CSNA3_Proj2009" xfId="14" xr:uid="{00000000-0005-0000-0000-000009000000}"/>
    <cellStyle name="Normal_Macro" xfId="10" xr:uid="{00000000-0005-0000-0000-00000A000000}"/>
    <cellStyle name="Normal_natura_PROJ2009" xfId="11" xr:uid="{00000000-0005-0000-0000-00000B000000}"/>
    <cellStyle name="Normal_Sadia_Proj2008" xfId="16" xr:uid="{00000000-0005-0000-0000-00000C000000}"/>
    <cellStyle name="Percent" xfId="2" builtinId="5"/>
    <cellStyle name="Percent 10" xfId="12" xr:uid="{00000000-0005-0000-0000-00000D000000}"/>
    <cellStyle name="Porcentagem 2" xfId="9" xr:uid="{00000000-0005-0000-0000-00000E000000}"/>
    <cellStyle name="Porcentagem 2 2" xfId="23" xr:uid="{CCB69A01-5420-4AE4-8575-A0DC00617942}"/>
    <cellStyle name="Porcentagem 5" xfId="6" xr:uid="{00000000-0005-0000-0000-00000F000000}"/>
    <cellStyle name="Separador de milhares 2 2" xfId="5" xr:uid="{00000000-0005-0000-0000-000011000000}"/>
    <cellStyle name="Separador de milhares 2 2 2" xfId="28" xr:uid="{B00D45EB-686C-4C6B-B734-A076E84BAD63}"/>
    <cellStyle name="Separador de milhares 2 2 2 2" xfId="32" xr:uid="{AA06B3C6-C953-456D-BBE1-0F552C68431E}"/>
    <cellStyle name="Separador de milhares 2 2 2 2 2" xfId="46" xr:uid="{32826711-9087-4F51-9B14-771EA3E21725}"/>
    <cellStyle name="Separador de milhares 2 2 2 3" xfId="42" xr:uid="{4BB5DB36-0C6D-4CB7-A7AD-BFBE884D63F1}"/>
    <cellStyle name="Separador de milhares 2 2 3" xfId="20" xr:uid="{F21727C6-4F3E-4004-B701-7A7B6BB75804}"/>
    <cellStyle name="Separador de milhares 4 3" xfId="27" xr:uid="{A875E178-9B90-431A-A2DE-ABFE1452E05B}"/>
    <cellStyle name="Separador de milhares 4 3 2" xfId="30" xr:uid="{BB9C33E0-6831-4F49-AAA5-6C571F1C1AE3}"/>
    <cellStyle name="Separador de milhares 4 3 2 2" xfId="34" xr:uid="{43A886DD-39D7-40F1-8221-108837BC13A1}"/>
    <cellStyle name="Separador de milhares 4 3 2 2 2" xfId="48" xr:uid="{9C265AED-C3FB-4717-829F-43037765350E}"/>
    <cellStyle name="Separador de milhares 4 3 2 3" xfId="44" xr:uid="{1FB25079-D106-46C6-B5BB-4A46702DD66C}"/>
    <cellStyle name="Style 1" xfId="15" xr:uid="{00000000-0005-0000-0000-000012000000}"/>
    <cellStyle name="Vírgula 2" xfId="8" xr:uid="{00000000-0005-0000-0000-000013000000}"/>
    <cellStyle name="Vírgula 2 2" xfId="33" xr:uid="{7F113217-14CC-42D8-A1C0-957C9774B315}"/>
    <cellStyle name="Vírgula 2 2 2" xfId="47" xr:uid="{1C221DBD-B5B1-4EEC-9DF3-062745CDFB21}"/>
    <cellStyle name="Vírgula 2 3" xfId="43" xr:uid="{4A898CB3-3048-453B-BA6D-E87B8B9672BF}"/>
    <cellStyle name="Vírgula 2 4" xfId="29" xr:uid="{83CC73EA-3C93-4D6A-B91E-00B258E6946C}"/>
    <cellStyle name="Vírgula 3" xfId="31" xr:uid="{DDFE983E-B5C7-4881-B2C6-A5283CE4FBE8}"/>
    <cellStyle name="Vírgula 3 2" xfId="45" xr:uid="{E6B0D498-B27A-476D-A428-175E8248037C}"/>
    <cellStyle name="Vírgula 4" xfId="35" xr:uid="{C86A661A-A13B-4402-83DC-10AC8D41AD38}"/>
    <cellStyle name="Vírgula 4 2" xfId="49" xr:uid="{3F607304-D699-40C5-8FC9-3372BD545DB8}"/>
    <cellStyle name="Vírgula 5" xfId="41" xr:uid="{5DF6A44A-9F2A-4890-86FA-CCA9E270D757}"/>
    <cellStyle name="Vírgula 6" xfId="52" xr:uid="{92876D1C-35C7-4601-8D6B-892214A51245}"/>
  </cellStyles>
  <dxfs count="0"/>
  <tableStyles count="0" defaultTableStyle="TableStyleMedium2" defaultPivotStyle="PivotStyleLight16"/>
  <colors>
    <mruColors>
      <color rgb="FF0000FF"/>
      <color rgb="FFFFCCFF"/>
      <color rgb="FFFEF5BE"/>
      <color rgb="FFDEB0FA"/>
      <color rgb="FF60497A"/>
      <color rgb="FFFF99CC"/>
      <color rgb="FF0A4137"/>
      <color rgb="FFCDC3BE"/>
      <color rgb="FFFD6C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21" Type="http://schemas.openxmlformats.org/officeDocument/2006/relationships/externalLink" Target="externalLinks/externalLink3.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microsoft.com/office/2017/06/relationships/rdRichValue" Target="richData/rdrichvalue.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6"/>
          <c:order val="0"/>
          <c:marker>
            <c:symbol val="none"/>
          </c:marker>
          <c:val>
            <c:numRef>
              <c:f>FAT!$C$285:$F$285</c:f>
            </c:numRef>
          </c:val>
          <c:smooth val="0"/>
          <c:extLst>
            <c:ext xmlns:c16="http://schemas.microsoft.com/office/drawing/2014/chart" uri="{C3380CC4-5D6E-409C-BE32-E72D297353CC}">
              <c16:uniqueId val="{00000000-FC38-4CC5-A4E4-70D75CDEF7C6}"/>
            </c:ext>
          </c:extLst>
        </c:ser>
        <c:ser>
          <c:idx val="7"/>
          <c:order val="1"/>
          <c:marker>
            <c:symbol val="none"/>
          </c:marker>
          <c:val>
            <c:numRef>
              <c:f>FAT!$G$285:$J$285</c:f>
            </c:numRef>
          </c:val>
          <c:smooth val="0"/>
          <c:extLst>
            <c:ext xmlns:c16="http://schemas.microsoft.com/office/drawing/2014/chart" uri="{C3380CC4-5D6E-409C-BE32-E72D297353CC}">
              <c16:uniqueId val="{00000001-FC38-4CC5-A4E4-70D75CDEF7C6}"/>
            </c:ext>
          </c:extLst>
        </c:ser>
        <c:ser>
          <c:idx val="8"/>
          <c:order val="2"/>
          <c:marker>
            <c:symbol val="none"/>
          </c:marker>
          <c:val>
            <c:numRef>
              <c:f>FAT!$K$285:$N$285</c:f>
            </c:numRef>
          </c:val>
          <c:smooth val="0"/>
          <c:extLst>
            <c:ext xmlns:c16="http://schemas.microsoft.com/office/drawing/2014/chart" uri="{C3380CC4-5D6E-409C-BE32-E72D297353CC}">
              <c16:uniqueId val="{00000002-FC38-4CC5-A4E4-70D75CDEF7C6}"/>
            </c:ext>
          </c:extLst>
        </c:ser>
        <c:ser>
          <c:idx val="9"/>
          <c:order val="3"/>
          <c:marker>
            <c:symbol val="none"/>
          </c:marker>
          <c:val>
            <c:numRef>
              <c:f>FAT!$O$285:$R$285</c:f>
            </c:numRef>
          </c:val>
          <c:smooth val="0"/>
          <c:extLst>
            <c:ext xmlns:c16="http://schemas.microsoft.com/office/drawing/2014/chart" uri="{C3380CC4-5D6E-409C-BE32-E72D297353CC}">
              <c16:uniqueId val="{00000003-FC38-4CC5-A4E4-70D75CDEF7C6}"/>
            </c:ext>
          </c:extLst>
        </c:ser>
        <c:ser>
          <c:idx val="10"/>
          <c:order val="4"/>
          <c:marker>
            <c:symbol val="none"/>
          </c:marker>
          <c:val>
            <c:numRef>
              <c:f>FAT!$S$285:$V$285</c:f>
            </c:numRef>
          </c:val>
          <c:smooth val="0"/>
          <c:extLst>
            <c:ext xmlns:c16="http://schemas.microsoft.com/office/drawing/2014/chart" uri="{C3380CC4-5D6E-409C-BE32-E72D297353CC}">
              <c16:uniqueId val="{00000004-FC38-4CC5-A4E4-70D75CDEF7C6}"/>
            </c:ext>
          </c:extLst>
        </c:ser>
        <c:ser>
          <c:idx val="0"/>
          <c:order val="5"/>
          <c:tx>
            <c:v>2020</c:v>
          </c:tx>
          <c:marker>
            <c:symbol val="none"/>
          </c:marker>
          <c:val>
            <c:numRef>
              <c:f>FAT!$W$285:$Z$285</c:f>
            </c:numRef>
          </c:val>
          <c:smooth val="0"/>
          <c:extLst>
            <c:ext xmlns:c16="http://schemas.microsoft.com/office/drawing/2014/chart" uri="{C3380CC4-5D6E-409C-BE32-E72D297353CC}">
              <c16:uniqueId val="{0000000C-FC38-4CC5-A4E4-70D75CDEF7C6}"/>
            </c:ext>
          </c:extLst>
        </c:ser>
        <c:dLbls>
          <c:showLegendKey val="0"/>
          <c:showVal val="0"/>
          <c:showCatName val="0"/>
          <c:showSerName val="0"/>
          <c:showPercent val="0"/>
          <c:showBubbleSize val="0"/>
        </c:dLbls>
        <c:marker val="1"/>
        <c:smooth val="0"/>
        <c:axId val="191567360"/>
        <c:axId val="191568896"/>
      </c:lineChart>
      <c:catAx>
        <c:axId val="1915673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68896"/>
        <c:crosses val="autoZero"/>
        <c:auto val="1"/>
        <c:lblAlgn val="ctr"/>
        <c:lblOffset val="100"/>
        <c:noMultiLvlLbl val="0"/>
      </c:catAx>
      <c:valAx>
        <c:axId val="191568896"/>
        <c:scaling>
          <c:orientation val="minMax"/>
          <c:min val="1000"/>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6736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EBITDA mrgns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Avon Int</c:v>
          </c:tx>
          <c:spPr>
            <a:ln w="28575" cap="rnd">
              <a:solidFill>
                <a:schemeClr val="accent1"/>
              </a:solidFill>
              <a:round/>
            </a:ln>
            <a:effectLst/>
          </c:spPr>
          <c:marker>
            <c:symbol val="none"/>
          </c:marker>
          <c:val>
            <c:numRef>
              <c:f>FAT!$S$500:$AH$500</c:f>
              <c:numCache>
                <c:formatCode>0.0%</c:formatCode>
                <c:ptCount val="16"/>
                <c:pt idx="0">
                  <c:v>8.6896488240438191E-2</c:v>
                </c:pt>
                <c:pt idx="1">
                  <c:v>9.2312075597131907E-2</c:v>
                </c:pt>
                <c:pt idx="2">
                  <c:v>8.4401814285002236E-2</c:v>
                </c:pt>
                <c:pt idx="3">
                  <c:v>4.8610755041425632E-2</c:v>
                </c:pt>
                <c:pt idx="4">
                  <c:v>1.3031740172707973E-2</c:v>
                </c:pt>
                <c:pt idx="5">
                  <c:v>3.2460640406360687E-2</c:v>
                </c:pt>
                <c:pt idx="6">
                  <c:v>5.5347078366957347E-2</c:v>
                </c:pt>
                <c:pt idx="7">
                  <c:v>3.4276771170910408E-2</c:v>
                </c:pt>
                <c:pt idx="8">
                  <c:v>9.4268492541799091E-3</c:v>
                </c:pt>
                <c:pt idx="9">
                  <c:v>-1.4985801445337402E-2</c:v>
                </c:pt>
                <c:pt idx="10">
                  <c:v>1.7868833921169905E-2</c:v>
                </c:pt>
                <c:pt idx="11">
                  <c:v>9.1594671103442243E-2</c:v>
                </c:pt>
                <c:pt idx="12">
                  <c:v>2.211781782945384E-2</c:v>
                </c:pt>
                <c:pt idx="13">
                  <c:v>8.6473123424455692E-2</c:v>
                </c:pt>
                <c:pt idx="14">
                  <c:v>-1.7662053896576838E-2</c:v>
                </c:pt>
                <c:pt idx="15">
                  <c:v>-0.10850383011732752</c:v>
                </c:pt>
              </c:numCache>
            </c:numRef>
          </c:val>
          <c:smooth val="0"/>
          <c:extLst>
            <c:ext xmlns:c15="http://schemas.microsoft.com/office/drawing/2012/chart" uri="{02D57815-91ED-43cb-92C2-25804820EDAC}">
              <c15:filteredCategoryTitle>
                <c15:cat>
                  <c:strRef>
                    <c:extLst>
                      <c:ext uri="{02D57815-91ED-43cb-92C2-25804820EDAC}">
                        <c15:formulaRef>
                          <c15:sqref>FAT!$S$3:$AH$3</c15:sqref>
                        </c15:formulaRef>
                      </c:ext>
                    </c:extLst>
                    <c:strCache>
                      <c:ptCount val="16"/>
                      <c:pt idx="0">
                        <c:v>Q1-19</c:v>
                      </c:pt>
                      <c:pt idx="1">
                        <c:v>Q2-19</c:v>
                      </c:pt>
                      <c:pt idx="2">
                        <c:v>Q3-19</c:v>
                      </c:pt>
                      <c:pt idx="3">
                        <c:v>Q4-19</c:v>
                      </c:pt>
                      <c:pt idx="4">
                        <c:v>Q1-20</c:v>
                      </c:pt>
                      <c:pt idx="5">
                        <c:v>Q2-20</c:v>
                      </c:pt>
                      <c:pt idx="6">
                        <c:v>Q3-20</c:v>
                      </c:pt>
                      <c:pt idx="7">
                        <c:v>Q4-20</c:v>
                      </c:pt>
                      <c:pt idx="8">
                        <c:v>Q1-21</c:v>
                      </c:pt>
                      <c:pt idx="9">
                        <c:v>Q2-21</c:v>
                      </c:pt>
                      <c:pt idx="10">
                        <c:v>Q3-21</c:v>
                      </c:pt>
                      <c:pt idx="11">
                        <c:v>Q4-21</c:v>
                      </c:pt>
                      <c:pt idx="12">
                        <c:v>Q1-22</c:v>
                      </c:pt>
                      <c:pt idx="13">
                        <c:v>Q2-22</c:v>
                      </c:pt>
                      <c:pt idx="14">
                        <c:v>Q3-22</c:v>
                      </c:pt>
                      <c:pt idx="15">
                        <c:v>Q4-22</c:v>
                      </c:pt>
                    </c:strCache>
                  </c:strRef>
                </c15:cat>
              </c15:filteredCategoryTitle>
            </c:ext>
            <c:ext xmlns:c16="http://schemas.microsoft.com/office/drawing/2014/chart" uri="{C3380CC4-5D6E-409C-BE32-E72D297353CC}">
              <c16:uniqueId val="{00000000-7F8F-4350-B964-7F01413AB3D6}"/>
            </c:ext>
          </c:extLst>
        </c:ser>
        <c:ser>
          <c:idx val="1"/>
          <c:order val="1"/>
          <c:tx>
            <c:v>NAT+AVP Latam2</c:v>
          </c:tx>
          <c:spPr>
            <a:ln w="28575" cap="rnd">
              <a:solidFill>
                <a:schemeClr val="accent2"/>
              </a:solidFill>
              <a:round/>
            </a:ln>
            <a:effectLst/>
          </c:spPr>
          <c:marker>
            <c:symbol val="none"/>
          </c:marker>
          <c:val>
            <c:numRef>
              <c:f>FAT!$S$235:$AH$235</c:f>
              <c:numCache>
                <c:formatCode>0.0%</c:formatCode>
                <c:ptCount val="16"/>
                <c:pt idx="0">
                  <c:v>5.3798636576181925E-2</c:v>
                </c:pt>
                <c:pt idx="1">
                  <c:v>0.1253988245172124</c:v>
                </c:pt>
                <c:pt idx="2">
                  <c:v>0.17352803439908035</c:v>
                </c:pt>
                <c:pt idx="3">
                  <c:v>0.10825960951799886</c:v>
                </c:pt>
                <c:pt idx="4">
                  <c:v>5.640411633873605E-2</c:v>
                </c:pt>
                <c:pt idx="5">
                  <c:v>0.11213957218544188</c:v>
                </c:pt>
                <c:pt idx="6">
                  <c:v>0.15978345925214013</c:v>
                </c:pt>
                <c:pt idx="7">
                  <c:v>0.11338503724206622</c:v>
                </c:pt>
                <c:pt idx="8">
                  <c:v>0.11074533582574736</c:v>
                </c:pt>
                <c:pt idx="9">
                  <c:v>0.1011814203709443</c:v>
                </c:pt>
                <c:pt idx="10">
                  <c:v>0.12958124237596252</c:v>
                </c:pt>
                <c:pt idx="11">
                  <c:v>0.120861269260701</c:v>
                </c:pt>
                <c:pt idx="12">
                  <c:v>8.276869959403739E-2</c:v>
                </c:pt>
                <c:pt idx="13">
                  <c:v>9.0346282362660388E-2</c:v>
                </c:pt>
                <c:pt idx="14">
                  <c:v>0.10168758113370831</c:v>
                </c:pt>
                <c:pt idx="15">
                  <c:v>7.169538295867546E-2</c:v>
                </c:pt>
              </c:numCache>
            </c:numRef>
          </c:val>
          <c:smooth val="0"/>
          <c:extLst>
            <c:ext xmlns:c16="http://schemas.microsoft.com/office/drawing/2014/chart" uri="{C3380CC4-5D6E-409C-BE32-E72D297353CC}">
              <c16:uniqueId val="{00000002-7F8F-4350-B964-7F01413AB3D6}"/>
            </c:ext>
          </c:extLst>
        </c:ser>
        <c:ser>
          <c:idx val="2"/>
          <c:order val="2"/>
          <c:tx>
            <c:v>Aesop</c:v>
          </c:tx>
          <c:spPr>
            <a:ln w="28575" cap="rnd">
              <a:solidFill>
                <a:schemeClr val="accent3"/>
              </a:solidFill>
              <a:round/>
            </a:ln>
            <a:effectLst/>
          </c:spPr>
          <c:marker>
            <c:symbol val="none"/>
          </c:marker>
          <c:val>
            <c:numRef>
              <c:f>FAT!$S$575:$AH$575</c:f>
            </c:numRef>
          </c:val>
          <c:smooth val="0"/>
          <c:extLst>
            <c:ext xmlns:c16="http://schemas.microsoft.com/office/drawing/2014/chart" uri="{C3380CC4-5D6E-409C-BE32-E72D297353CC}">
              <c16:uniqueId val="{00000003-7F8F-4350-B964-7F01413AB3D6}"/>
            </c:ext>
          </c:extLst>
        </c:ser>
        <c:ser>
          <c:idx val="3"/>
          <c:order val="3"/>
          <c:tx>
            <c:v>TBS</c:v>
          </c:tx>
          <c:spPr>
            <a:ln w="28575" cap="rnd">
              <a:solidFill>
                <a:schemeClr val="accent4"/>
              </a:solidFill>
              <a:round/>
            </a:ln>
            <a:effectLst/>
          </c:spPr>
          <c:marker>
            <c:symbol val="none"/>
          </c:marker>
          <c:val>
            <c:numRef>
              <c:f>FAT!$S$643:$AH$643</c:f>
            </c:numRef>
          </c:val>
          <c:smooth val="0"/>
          <c:extLst>
            <c:ext xmlns:c16="http://schemas.microsoft.com/office/drawing/2014/chart" uri="{C3380CC4-5D6E-409C-BE32-E72D297353CC}">
              <c16:uniqueId val="{00000004-7F8F-4350-B964-7F01413AB3D6}"/>
            </c:ext>
          </c:extLst>
        </c:ser>
        <c:dLbls>
          <c:showLegendKey val="0"/>
          <c:showVal val="0"/>
          <c:showCatName val="0"/>
          <c:showSerName val="0"/>
          <c:showPercent val="0"/>
          <c:showBubbleSize val="0"/>
        </c:dLbls>
        <c:smooth val="0"/>
        <c:axId val="191618048"/>
        <c:axId val="191623936"/>
      </c:lineChart>
      <c:catAx>
        <c:axId val="19161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23936"/>
        <c:crosses val="autoZero"/>
        <c:auto val="1"/>
        <c:lblAlgn val="ctr"/>
        <c:lblOffset val="100"/>
        <c:noMultiLvlLbl val="0"/>
      </c:catAx>
      <c:valAx>
        <c:axId val="191623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EBITDA mrgns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Avon Int</c:v>
          </c:tx>
          <c:spPr>
            <a:ln w="28575" cap="rnd">
              <a:solidFill>
                <a:schemeClr val="accent1"/>
              </a:solidFill>
              <a:round/>
            </a:ln>
            <a:effectLst/>
          </c:spPr>
          <c:marker>
            <c:symbol val="none"/>
          </c:marker>
          <c:val>
            <c:numRef>
              <c:f>FAT!$S$500:$AH$500</c:f>
              <c:numCache>
                <c:formatCode>0.0%</c:formatCode>
                <c:ptCount val="16"/>
                <c:pt idx="0">
                  <c:v>8.6896488240438191E-2</c:v>
                </c:pt>
                <c:pt idx="1">
                  <c:v>9.2312075597131907E-2</c:v>
                </c:pt>
                <c:pt idx="2">
                  <c:v>8.4401814285002236E-2</c:v>
                </c:pt>
                <c:pt idx="3">
                  <c:v>4.8610755041425632E-2</c:v>
                </c:pt>
                <c:pt idx="4">
                  <c:v>1.3031740172707973E-2</c:v>
                </c:pt>
                <c:pt idx="5">
                  <c:v>3.2460640406360687E-2</c:v>
                </c:pt>
                <c:pt idx="6">
                  <c:v>5.5347078366957347E-2</c:v>
                </c:pt>
                <c:pt idx="7">
                  <c:v>3.4276771170910408E-2</c:v>
                </c:pt>
                <c:pt idx="8">
                  <c:v>9.4268492541799091E-3</c:v>
                </c:pt>
                <c:pt idx="9">
                  <c:v>-1.4985801445337402E-2</c:v>
                </c:pt>
                <c:pt idx="10">
                  <c:v>1.7868833921169905E-2</c:v>
                </c:pt>
                <c:pt idx="11">
                  <c:v>9.1594671103442243E-2</c:v>
                </c:pt>
                <c:pt idx="12">
                  <c:v>2.211781782945384E-2</c:v>
                </c:pt>
                <c:pt idx="13">
                  <c:v>8.6473123424455692E-2</c:v>
                </c:pt>
                <c:pt idx="14">
                  <c:v>-1.7662053896576838E-2</c:v>
                </c:pt>
                <c:pt idx="15">
                  <c:v>-0.10850383011732752</c:v>
                </c:pt>
              </c:numCache>
            </c:numRef>
          </c:val>
          <c:smooth val="0"/>
          <c:extLst>
            <c:ext xmlns:c15="http://schemas.microsoft.com/office/drawing/2012/chart" uri="{02D57815-91ED-43cb-92C2-25804820EDAC}">
              <c15:filteredCategoryTitle>
                <c15:cat>
                  <c:strRef>
                    <c:extLst>
                      <c:ext uri="{02D57815-91ED-43cb-92C2-25804820EDAC}">
                        <c15:formulaRef>
                          <c15:sqref>FAT!$S$3:$AH$3</c15:sqref>
                        </c15:formulaRef>
                      </c:ext>
                    </c:extLst>
                    <c:strCache>
                      <c:ptCount val="16"/>
                      <c:pt idx="0">
                        <c:v>Q1-19</c:v>
                      </c:pt>
                      <c:pt idx="1">
                        <c:v>Q2-19</c:v>
                      </c:pt>
                      <c:pt idx="2">
                        <c:v>Q3-19</c:v>
                      </c:pt>
                      <c:pt idx="3">
                        <c:v>Q4-19</c:v>
                      </c:pt>
                      <c:pt idx="4">
                        <c:v>Q1-20</c:v>
                      </c:pt>
                      <c:pt idx="5">
                        <c:v>Q2-20</c:v>
                      </c:pt>
                      <c:pt idx="6">
                        <c:v>Q3-20</c:v>
                      </c:pt>
                      <c:pt idx="7">
                        <c:v>Q4-20</c:v>
                      </c:pt>
                      <c:pt idx="8">
                        <c:v>Q1-21</c:v>
                      </c:pt>
                      <c:pt idx="9">
                        <c:v>Q2-21</c:v>
                      </c:pt>
                      <c:pt idx="10">
                        <c:v>Q3-21</c:v>
                      </c:pt>
                      <c:pt idx="11">
                        <c:v>Q4-21</c:v>
                      </c:pt>
                      <c:pt idx="12">
                        <c:v>Q1-22</c:v>
                      </c:pt>
                      <c:pt idx="13">
                        <c:v>Q2-22</c:v>
                      </c:pt>
                      <c:pt idx="14">
                        <c:v>Q3-22</c:v>
                      </c:pt>
                      <c:pt idx="15">
                        <c:v>Q4-22</c:v>
                      </c:pt>
                    </c:strCache>
                  </c:strRef>
                </c15:cat>
              </c15:filteredCategoryTitle>
            </c:ext>
            <c:ext xmlns:c16="http://schemas.microsoft.com/office/drawing/2014/chart" uri="{C3380CC4-5D6E-409C-BE32-E72D297353CC}">
              <c16:uniqueId val="{00000000-1BBD-4D51-A75A-6B3370AFA8EC}"/>
            </c:ext>
          </c:extLst>
        </c:ser>
        <c:ser>
          <c:idx val="1"/>
          <c:order val="1"/>
          <c:tx>
            <c:v>NAT+AVP Latam2</c:v>
          </c:tx>
          <c:spPr>
            <a:ln w="28575" cap="rnd">
              <a:solidFill>
                <a:schemeClr val="accent2"/>
              </a:solidFill>
              <a:round/>
            </a:ln>
            <a:effectLst/>
          </c:spPr>
          <c:marker>
            <c:symbol val="none"/>
          </c:marker>
          <c:val>
            <c:numRef>
              <c:f>FAT!$S$235:$AH$235</c:f>
              <c:numCache>
                <c:formatCode>0.0%</c:formatCode>
                <c:ptCount val="16"/>
                <c:pt idx="0">
                  <c:v>5.3798636576181925E-2</c:v>
                </c:pt>
                <c:pt idx="1">
                  <c:v>0.1253988245172124</c:v>
                </c:pt>
                <c:pt idx="2">
                  <c:v>0.17352803439908035</c:v>
                </c:pt>
                <c:pt idx="3">
                  <c:v>0.10825960951799886</c:v>
                </c:pt>
                <c:pt idx="4">
                  <c:v>5.640411633873605E-2</c:v>
                </c:pt>
                <c:pt idx="5">
                  <c:v>0.11213957218544188</c:v>
                </c:pt>
                <c:pt idx="6">
                  <c:v>0.15978345925214013</c:v>
                </c:pt>
                <c:pt idx="7">
                  <c:v>0.11338503724206622</c:v>
                </c:pt>
                <c:pt idx="8">
                  <c:v>0.11074533582574736</c:v>
                </c:pt>
                <c:pt idx="9">
                  <c:v>0.1011814203709443</c:v>
                </c:pt>
                <c:pt idx="10">
                  <c:v>0.12958124237596252</c:v>
                </c:pt>
                <c:pt idx="11">
                  <c:v>0.120861269260701</c:v>
                </c:pt>
                <c:pt idx="12">
                  <c:v>8.276869959403739E-2</c:v>
                </c:pt>
                <c:pt idx="13">
                  <c:v>9.0346282362660388E-2</c:v>
                </c:pt>
                <c:pt idx="14">
                  <c:v>0.10168758113370831</c:v>
                </c:pt>
                <c:pt idx="15">
                  <c:v>7.169538295867546E-2</c:v>
                </c:pt>
              </c:numCache>
            </c:numRef>
          </c:val>
          <c:smooth val="0"/>
          <c:extLst>
            <c:ext xmlns:c16="http://schemas.microsoft.com/office/drawing/2014/chart" uri="{C3380CC4-5D6E-409C-BE32-E72D297353CC}">
              <c16:uniqueId val="{00000001-1BBD-4D51-A75A-6B3370AFA8EC}"/>
            </c:ext>
          </c:extLst>
        </c:ser>
        <c:ser>
          <c:idx val="2"/>
          <c:order val="2"/>
          <c:tx>
            <c:v>Aesop</c:v>
          </c:tx>
          <c:spPr>
            <a:ln w="28575" cap="rnd">
              <a:solidFill>
                <a:schemeClr val="accent3"/>
              </a:solidFill>
              <a:round/>
            </a:ln>
            <a:effectLst/>
          </c:spPr>
          <c:marker>
            <c:symbol val="none"/>
          </c:marker>
          <c:val>
            <c:numRef>
              <c:f>FAT!$S$575:$AH$575</c:f>
            </c:numRef>
          </c:val>
          <c:smooth val="0"/>
          <c:extLst>
            <c:ext xmlns:c16="http://schemas.microsoft.com/office/drawing/2014/chart" uri="{C3380CC4-5D6E-409C-BE32-E72D297353CC}">
              <c16:uniqueId val="{00000002-1BBD-4D51-A75A-6B3370AFA8EC}"/>
            </c:ext>
          </c:extLst>
        </c:ser>
        <c:ser>
          <c:idx val="3"/>
          <c:order val="3"/>
          <c:tx>
            <c:v>TBS</c:v>
          </c:tx>
          <c:spPr>
            <a:ln w="28575" cap="rnd">
              <a:solidFill>
                <a:schemeClr val="accent4"/>
              </a:solidFill>
              <a:round/>
            </a:ln>
            <a:effectLst/>
          </c:spPr>
          <c:marker>
            <c:symbol val="none"/>
          </c:marker>
          <c:val>
            <c:numRef>
              <c:f>FAT!$S$643:$AH$643</c:f>
            </c:numRef>
          </c:val>
          <c:smooth val="0"/>
          <c:extLst>
            <c:ext xmlns:c16="http://schemas.microsoft.com/office/drawing/2014/chart" uri="{C3380CC4-5D6E-409C-BE32-E72D297353CC}">
              <c16:uniqueId val="{00000003-1BBD-4D51-A75A-6B3370AFA8EC}"/>
            </c:ext>
          </c:extLst>
        </c:ser>
        <c:dLbls>
          <c:showLegendKey val="0"/>
          <c:showVal val="0"/>
          <c:showCatName val="0"/>
          <c:showSerName val="0"/>
          <c:showPercent val="0"/>
          <c:showBubbleSize val="0"/>
        </c:dLbls>
        <c:smooth val="0"/>
        <c:axId val="191618048"/>
        <c:axId val="191623936"/>
      </c:lineChart>
      <c:catAx>
        <c:axId val="19161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23936"/>
        <c:crosses val="autoZero"/>
        <c:auto val="1"/>
        <c:lblAlgn val="ctr"/>
        <c:lblOffset val="100"/>
        <c:noMultiLvlLbl val="0"/>
      </c:catAx>
      <c:valAx>
        <c:axId val="191623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32</xdr:col>
      <xdr:colOff>444875</xdr:colOff>
      <xdr:row>56</xdr:row>
      <xdr:rowOff>150159</xdr:rowOff>
    </xdr:from>
    <xdr:to>
      <xdr:col>47</xdr:col>
      <xdr:colOff>72271</xdr:colOff>
      <xdr:row>89</xdr:row>
      <xdr:rowOff>48184</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8704300" y="7693959"/>
          <a:ext cx="8990471" cy="3631825"/>
        </a:xfrm>
        <a:prstGeom prst="rect">
          <a:avLst/>
        </a:prstGeom>
      </xdr:spPr>
    </xdr:pic>
    <xdr:clientData/>
  </xdr:twoCellAnchor>
  <xdr:twoCellAnchor editAs="oneCell">
    <xdr:from>
      <xdr:col>27</xdr:col>
      <xdr:colOff>304800</xdr:colOff>
      <xdr:row>101</xdr:row>
      <xdr:rowOff>0</xdr:rowOff>
    </xdr:from>
    <xdr:to>
      <xdr:col>40</xdr:col>
      <xdr:colOff>439261</xdr:colOff>
      <xdr:row>122</xdr:row>
      <xdr:rowOff>33175</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1334750" y="13763625"/>
          <a:ext cx="9047619" cy="3542857"/>
        </a:xfrm>
        <a:prstGeom prst="rect">
          <a:avLst/>
        </a:prstGeom>
      </xdr:spPr>
    </xdr:pic>
    <xdr:clientData/>
  </xdr:twoCellAnchor>
  <xdr:twoCellAnchor editAs="oneCell">
    <xdr:from>
      <xdr:col>27</xdr:col>
      <xdr:colOff>428625</xdr:colOff>
      <xdr:row>101</xdr:row>
      <xdr:rowOff>0</xdr:rowOff>
    </xdr:from>
    <xdr:to>
      <xdr:col>41</xdr:col>
      <xdr:colOff>305866</xdr:colOff>
      <xdr:row>111</xdr:row>
      <xdr:rowOff>83280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9410700" y="12582525"/>
          <a:ext cx="9400000" cy="1638095"/>
        </a:xfrm>
        <a:prstGeom prst="rect">
          <a:avLst/>
        </a:prstGeom>
      </xdr:spPr>
    </xdr:pic>
    <xdr:clientData/>
  </xdr:twoCellAnchor>
  <xdr:twoCellAnchor editAs="oneCell">
    <xdr:from>
      <xdr:col>32</xdr:col>
      <xdr:colOff>800100</xdr:colOff>
      <xdr:row>26</xdr:row>
      <xdr:rowOff>142875</xdr:rowOff>
    </xdr:from>
    <xdr:to>
      <xdr:col>51</xdr:col>
      <xdr:colOff>360530</xdr:colOff>
      <xdr:row>69</xdr:row>
      <xdr:rowOff>161134</xdr:rowOff>
    </xdr:to>
    <xdr:pic>
      <xdr:nvPicPr>
        <xdr:cNvPr id="5" name="Picture 4">
          <a:extLst>
            <a:ext uri="{FF2B5EF4-FFF2-40B4-BE49-F238E27FC236}">
              <a16:creationId xmlns:a16="http://schemas.microsoft.com/office/drawing/2014/main" id="{DC454E5F-C6FE-5B5D-0F10-1C36B66FF977}"/>
            </a:ext>
          </a:extLst>
        </xdr:cNvPr>
        <xdr:cNvPicPr>
          <a:picLocks noChangeAspect="1"/>
        </xdr:cNvPicPr>
      </xdr:nvPicPr>
      <xdr:blipFill>
        <a:blip xmlns:r="http://schemas.openxmlformats.org/officeDocument/2006/relationships" r:embed="rId4"/>
        <a:stretch>
          <a:fillRect/>
        </a:stretch>
      </xdr:blipFill>
      <xdr:spPr>
        <a:xfrm>
          <a:off x="16802100" y="3571875"/>
          <a:ext cx="11361905" cy="63238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57</xdr:col>
      <xdr:colOff>142874</xdr:colOff>
      <xdr:row>289</xdr:row>
      <xdr:rowOff>9524</xdr:rowOff>
    </xdr:from>
    <xdr:to>
      <xdr:col>63</xdr:col>
      <xdr:colOff>190500</xdr:colOff>
      <xdr:row>300</xdr:row>
      <xdr:rowOff>152400</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73</xdr:col>
      <xdr:colOff>186360</xdr:colOff>
      <xdr:row>478</xdr:row>
      <xdr:rowOff>128381</xdr:rowOff>
    </xdr:from>
    <xdr:to>
      <xdr:col>80</xdr:col>
      <xdr:colOff>331305</xdr:colOff>
      <xdr:row>497</xdr:row>
      <xdr:rowOff>8283</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73</xdr:col>
      <xdr:colOff>190500</xdr:colOff>
      <xdr:row>497</xdr:row>
      <xdr:rowOff>149087</xdr:rowOff>
    </xdr:from>
    <xdr:to>
      <xdr:col>79</xdr:col>
      <xdr:colOff>596348</xdr:colOff>
      <xdr:row>725</xdr:row>
      <xdr:rowOff>99390</xdr:rowOff>
    </xdr:to>
    <xdr:graphicFrame macro="">
      <xdr:nvGraphicFramePr>
        <xdr:cNvPr id="6" name="Chart 5">
          <a:extLst>
            <a:ext uri="{FF2B5EF4-FFF2-40B4-BE49-F238E27FC236}">
              <a16:creationId xmlns:a16="http://schemas.microsoft.com/office/drawing/2014/main" id="{BF4EE0C6-E1E5-4AE9-A5D7-81304CAFC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304800</xdr:colOff>
      <xdr:row>83</xdr:row>
      <xdr:rowOff>28575</xdr:rowOff>
    </xdr:from>
    <xdr:to>
      <xdr:col>20</xdr:col>
      <xdr:colOff>360524</xdr:colOff>
      <xdr:row>105</xdr:row>
      <xdr:rowOff>95378</xdr:rowOff>
    </xdr:to>
    <xdr:pic>
      <xdr:nvPicPr>
        <xdr:cNvPr id="2" name="Picture 1">
          <a:extLst>
            <a:ext uri="{FF2B5EF4-FFF2-40B4-BE49-F238E27FC236}">
              <a16:creationId xmlns:a16="http://schemas.microsoft.com/office/drawing/2014/main" id="{3514BE66-0DC4-5795-F325-48F1454B9582}"/>
            </a:ext>
          </a:extLst>
        </xdr:cNvPr>
        <xdr:cNvPicPr>
          <a:picLocks noChangeAspect="1"/>
        </xdr:cNvPicPr>
      </xdr:nvPicPr>
      <xdr:blipFill>
        <a:blip xmlns:r="http://schemas.openxmlformats.org/officeDocument/2006/relationships" r:embed="rId1"/>
        <a:stretch>
          <a:fillRect/>
        </a:stretch>
      </xdr:blipFill>
      <xdr:spPr>
        <a:xfrm>
          <a:off x="4057650" y="20031075"/>
          <a:ext cx="9809324" cy="42578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49</xdr:col>
      <xdr:colOff>85725</xdr:colOff>
      <xdr:row>207</xdr:row>
      <xdr:rowOff>133350</xdr:rowOff>
    </xdr:from>
    <xdr:to>
      <xdr:col>64</xdr:col>
      <xdr:colOff>513153</xdr:colOff>
      <xdr:row>228</xdr:row>
      <xdr:rowOff>123401</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27003375" y="26755725"/>
          <a:ext cx="9571428" cy="33904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ol/PE%20targets%20Coverage%20Brasil.xlsx" TargetMode="External"/><Relationship Id="rId2" Type="http://schemas.openxmlformats.org/officeDocument/2006/relationships/externalLinkPath" Target="https://fundamentainvestments-my.sharepoint.com/personal/sebastianl_fundamentainvestments_onmicrosoft_com/Documents/FAM/Research/Sol/PE%20targets%20Coverage%20Brasil.xlsx" TargetMode="External"/><Relationship Id="rId1" Type="http://schemas.openxmlformats.org/officeDocument/2006/relationships/externalLinkPath" Target="/personal/sebastianl_fundamentainvestments_onmicrosoft_com/Documents/FAM/Research/Sol/PE%20targets%20Coverage%20Brasil.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acro/MACRO%20-%20Modelos%20Nico%202026.xlsx" TargetMode="External"/><Relationship Id="rId2" Type="http://schemas.openxmlformats.org/officeDocument/2006/relationships/externalLinkPath" Target="https://fundamentainvestments-my.sharepoint.com/personal/sebastianl_fundamentainvestments_onmicrosoft_com/Documents/FAM/Research/Macro/MACRO%20-%20Modelos%20Nico%202026.xlsx" TargetMode="External"/><Relationship Id="rId1" Type="http://schemas.openxmlformats.org/officeDocument/2006/relationships/externalLinkPath" Target="/personal/sebastianl_fundamentainvestments_onmicrosoft_com/Documents/FAM/Research/Macro/MACRO%20-%20Modelos%20Nico%202026.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Macro/MACRO%20-%20Modelos%20Nico.xlsx" TargetMode="External"/><Relationship Id="rId2" Type="http://schemas.openxmlformats.org/officeDocument/2006/relationships/externalLinkPath" Target="https://fundamentainvestments-my.sharepoint.com/personal/sebastianl_fundamentainvestments_onmicrosoft_com/Documents/FAM/Research/Macro/MACRO%20-%20Modelos%20Nico.xlsx" TargetMode="External"/><Relationship Id="rId1" Type="http://schemas.openxmlformats.org/officeDocument/2006/relationships/externalLinkPath" Target="/personal/sebastianl_fundamentainvestments_onmicrosoft_com/Documents/FAM/Research/Macro/MACRO%20-%20Modelos%20Nico.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Macro/Premisas%20Macro%20Modelos%20Latam.xlsx" TargetMode="External"/><Relationship Id="rId2" Type="http://schemas.openxmlformats.org/officeDocument/2006/relationships/externalLinkPath" Target="https://fundamentainvestments-my.sharepoint.com/personal/sebastianl_fundamentainvestments_onmicrosoft_com/Documents/FAM/Research/Macro/Premisas%20Macro%20Modelos%20Latam.xlsx" TargetMode="External"/><Relationship Id="rId1" Type="http://schemas.openxmlformats.org/officeDocument/2006/relationships/externalLinkPath" Target="/personal/sebastianl_fundamentainvestments_onmicrosoft_com/Documents/FAM/Research/Macro/Premisas%20Macro%20Modelos%20Latam.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Adm/AppData/Local/Microsoft/Windows/INetCache/Content.MSO/FX%20TABLE.xlsx" TargetMode="External"/><Relationship Id="rId1" Type="http://schemas.openxmlformats.org/officeDocument/2006/relationships/externalLinkPath" Target="/Users/Adm/AppData/Local/Microsoft/Windows/INetCache/Content.MSO/FX%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RASIL"/>
      <sheetName val="MEXICO"/>
    </sheetNames>
    <sheetDataSet>
      <sheetData sheetId="0">
        <row r="3">
          <cell r="P3">
            <v>7.0000000000000007E-2</v>
          </cell>
          <cell r="R3">
            <v>4.4999999999999998E-2</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J25Ax3SIZk6Y0HhZ4gwbUfwtyu-W7WVOgIC8rYEdxvP0KBOj3RqpT61xA3yTYYhi" itemId="014KQZNON7Q25ZT2CCY5HJTUZAUIY7FY45">
      <xxl21:absoluteUrl r:id="rId2"/>
      <xxl21:relativeUrl r:id="rId3"/>
    </xxl21:alternateUrls>
    <sheetNames>
      <sheetName val="Planilha1"/>
      <sheetName val="Sheet1"/>
    </sheetNames>
    <sheetDataSet>
      <sheetData sheetId="0">
        <row r="2">
          <cell r="AT2">
            <v>5.1897000000000002</v>
          </cell>
          <cell r="AU2">
            <v>4.9428000000000001</v>
          </cell>
          <cell r="AV2">
            <v>4.8849999999999998</v>
          </cell>
          <cell r="AW2">
            <v>4.9558</v>
          </cell>
          <cell r="AX2">
            <v>4.9515000000000002</v>
          </cell>
          <cell r="AY2">
            <v>5.1539999999999999</v>
          </cell>
          <cell r="AZ2">
            <v>5.5462999999999996</v>
          </cell>
          <cell r="BA2">
            <v>5.8349000000000002</v>
          </cell>
          <cell r="BB2">
            <v>5.85</v>
          </cell>
          <cell r="BC2">
            <v>5.65</v>
          </cell>
          <cell r="BD2">
            <v>5.4493</v>
          </cell>
          <cell r="BE2">
            <v>5.3971999999999998</v>
          </cell>
          <cell r="BF2">
            <v>5.3</v>
          </cell>
          <cell r="BG2">
            <v>5.3067232313310093</v>
          </cell>
          <cell r="BH2">
            <v>5.3162016664439689</v>
          </cell>
          <cell r="BI2">
            <v>5.3363420627358398</v>
          </cell>
          <cell r="BU2">
            <v>4.9933250000000005</v>
          </cell>
          <cell r="BV2">
            <v>5.3716749999999998</v>
          </cell>
          <cell r="BW2">
            <v>5.5866249999999997</v>
          </cell>
          <cell r="BX2">
            <v>5.3148167401277053</v>
          </cell>
          <cell r="BY2">
            <v>5.4005723687291631</v>
          </cell>
          <cell r="BZ2">
            <v>5.4882731133291589</v>
          </cell>
          <cell r="CA2">
            <v>5.5705972100290966</v>
          </cell>
          <cell r="CB2">
            <v>5.6541561681795338</v>
          </cell>
        </row>
        <row r="3">
          <cell r="AT3">
            <v>5.0640000000000001</v>
          </cell>
          <cell r="AU3">
            <v>4.7874999999999996</v>
          </cell>
          <cell r="AV3">
            <v>5.0324999999999998</v>
          </cell>
          <cell r="AW3">
            <v>4.8525999999999998</v>
          </cell>
          <cell r="AX3">
            <v>5.0145</v>
          </cell>
          <cell r="AY3">
            <v>5.5941000000000001</v>
          </cell>
          <cell r="AZ3">
            <v>5.45</v>
          </cell>
          <cell r="BA3">
            <v>6.1736000000000004</v>
          </cell>
          <cell r="BB3">
            <v>5.75</v>
          </cell>
          <cell r="BC3">
            <v>5.47</v>
          </cell>
          <cell r="BD3">
            <v>5.3216999999999999</v>
          </cell>
          <cell r="BE3">
            <v>5.4752999999999998</v>
          </cell>
          <cell r="BF3">
            <v>5.3</v>
          </cell>
          <cell r="BG3">
            <v>5.3134464626620197</v>
          </cell>
          <cell r="BH3">
            <v>5.318956870225918</v>
          </cell>
          <cell r="BI3">
            <v>5.3537272552457624</v>
          </cell>
          <cell r="BU3">
            <v>4.8525999999999998</v>
          </cell>
          <cell r="BV3">
            <v>6.1736000000000004</v>
          </cell>
          <cell r="BW3">
            <v>5.4752999999999998</v>
          </cell>
          <cell r="BX3">
            <v>5.3537272552457624</v>
          </cell>
          <cell r="BY3">
            <v>5.4474174822125638</v>
          </cell>
          <cell r="BZ3">
            <v>5.5291287444457531</v>
          </cell>
          <cell r="CA3">
            <v>5.6120656756124401</v>
          </cell>
          <cell r="CB3">
            <v>5.6962466607466276</v>
          </cell>
        </row>
        <row r="4">
          <cell r="AT4">
            <v>0.13750000000000001</v>
          </cell>
          <cell r="AU4">
            <v>0.13750000000000001</v>
          </cell>
          <cell r="AV4">
            <v>0.1336</v>
          </cell>
          <cell r="AW4">
            <v>0.12330000000000001</v>
          </cell>
          <cell r="AX4">
            <v>0.1135</v>
          </cell>
          <cell r="AY4">
            <v>0.106</v>
          </cell>
          <cell r="AZ4">
            <v>0.1053</v>
          </cell>
          <cell r="BA4">
            <v>0.11269999999999999</v>
          </cell>
          <cell r="BB4">
            <v>0.13583333333333333</v>
          </cell>
          <cell r="BC4">
            <v>0.14749999999999999</v>
          </cell>
          <cell r="BD4">
            <v>0.15</v>
          </cell>
          <cell r="BE4">
            <v>0.15</v>
          </cell>
          <cell r="BF4">
            <v>0.14749999999999999</v>
          </cell>
          <cell r="BG4">
            <v>0.13750000000000001</v>
          </cell>
          <cell r="BH4">
            <v>0.13</v>
          </cell>
          <cell r="BI4">
            <v>0.125</v>
          </cell>
          <cell r="BU4">
            <v>0.13297500000000001</v>
          </cell>
          <cell r="BV4">
            <v>0.109375</v>
          </cell>
          <cell r="BW4">
            <v>0.14583333333333334</v>
          </cell>
          <cell r="BX4">
            <v>0.13500000000000001</v>
          </cell>
          <cell r="BY4">
            <v>0.115</v>
          </cell>
          <cell r="BZ4">
            <v>0.11</v>
          </cell>
          <cell r="CA4">
            <v>0.1</v>
          </cell>
          <cell r="CB4">
            <v>0.09</v>
          </cell>
        </row>
        <row r="5">
          <cell r="AT5">
            <v>3.2732516378310317E-2</v>
          </cell>
          <cell r="AU5">
            <v>3.2732516378310317E-2</v>
          </cell>
          <cell r="AV5">
            <v>3.1846176683566041E-2</v>
          </cell>
          <cell r="AW5">
            <v>2.9494284160460849E-2</v>
          </cell>
          <cell r="AX5">
            <v>2.7241497638393453E-2</v>
          </cell>
          <cell r="AY5">
            <v>2.5507360290891512E-2</v>
          </cell>
          <cell r="AZ5">
            <v>2.5345057941852822E-2</v>
          </cell>
          <cell r="BA5">
            <v>2.70569411275976E-2</v>
          </cell>
          <cell r="BB5">
            <v>3.2354018049627786E-2</v>
          </cell>
          <cell r="BC5">
            <v>3.4994813649531054E-2</v>
          </cell>
          <cell r="BD5">
            <v>3.5558076341622114E-2</v>
          </cell>
          <cell r="BE5">
            <v>3.5558076341622114E-2</v>
          </cell>
          <cell r="BF5">
            <v>3.4994813649531054E-2</v>
          </cell>
          <cell r="BG5">
            <v>3.2732516378310317E-2</v>
          </cell>
          <cell r="BH5">
            <v>3.1025984771220427E-2</v>
          </cell>
          <cell r="BI5">
            <v>2.9883571953558841E-2</v>
          </cell>
        </row>
        <row r="6">
          <cell r="AT6">
            <v>6.5062336999999193E-3</v>
          </cell>
          <cell r="AU6">
            <v>-2.7E-2</v>
          </cell>
          <cell r="AV6">
            <v>-4.8999999999999998E-3</v>
          </cell>
          <cell r="AW6">
            <v>1.83E-2</v>
          </cell>
          <cell r="AX6">
            <v>-9.1999999999999998E-3</v>
          </cell>
          <cell r="AY6">
            <v>2.01E-2</v>
          </cell>
          <cell r="AZ6">
            <v>1.52E-2</v>
          </cell>
          <cell r="BA6">
            <v>3.7599999999999995E-2</v>
          </cell>
          <cell r="BB6">
            <v>9.8999999999999991E-3</v>
          </cell>
          <cell r="BC6">
            <v>-1.9200000000000002E-2</v>
          </cell>
          <cell r="BD6">
            <v>0</v>
          </cell>
          <cell r="BE6">
            <v>6.0105353459998234E-3</v>
          </cell>
          <cell r="BF6">
            <v>1.4E-2</v>
          </cell>
          <cell r="BG6">
            <v>7.4999999999999997E-3</v>
          </cell>
          <cell r="BH6">
            <v>6.0000000000000001E-3</v>
          </cell>
          <cell r="BI6">
            <v>1.15E-2</v>
          </cell>
          <cell r="BU6">
            <v>-7.6342216054713363E-3</v>
          </cell>
          <cell r="BV6">
            <v>6.4658480106521754E-2</v>
          </cell>
          <cell r="BW6">
            <v>-3.5365851152765471E-3</v>
          </cell>
          <cell r="BX6">
            <v>3.9553578245000276E-2</v>
          </cell>
          <cell r="BY6">
            <v>3.9553578245000276E-2</v>
          </cell>
          <cell r="BZ6">
            <v>3.9553578245000276E-2</v>
          </cell>
          <cell r="CA6">
            <v>3.9553578245000276E-2</v>
          </cell>
          <cell r="CB6">
            <v>3.9553578245000276E-2</v>
          </cell>
        </row>
        <row r="7">
          <cell r="AT7">
            <v>2.0799999999999999E-2</v>
          </cell>
          <cell r="AU7">
            <v>7.6E-3</v>
          </cell>
          <cell r="AV7">
            <v>6.0999999999999995E-3</v>
          </cell>
          <cell r="AW7">
            <v>1.2E-2</v>
          </cell>
          <cell r="AX7">
            <v>1.4154915775999921E-2</v>
          </cell>
          <cell r="AY7">
            <v>1.0535156707999871E-2</v>
          </cell>
          <cell r="AZ7">
            <v>6.2002865600001567E-3</v>
          </cell>
          <cell r="BA7">
            <v>1.4771353568000301E-2</v>
          </cell>
          <cell r="BB7">
            <v>2.0403397376000054E-2</v>
          </cell>
          <cell r="BC7">
            <v>9.327766831999762E-3</v>
          </cell>
          <cell r="BD7">
            <v>6.3043262719999493E-3</v>
          </cell>
          <cell r="BE7">
            <v>6.0105353459998234E-3</v>
          </cell>
          <cell r="BF7">
            <v>1.4E-2</v>
          </cell>
          <cell r="BG7">
            <v>7.4999999999999997E-3</v>
          </cell>
          <cell r="BH7">
            <v>6.0000000000000001E-3</v>
          </cell>
          <cell r="BI7">
            <v>1.15E-2</v>
          </cell>
          <cell r="BU7">
            <v>4.7250271699456059E-2</v>
          </cell>
          <cell r="BV7">
            <v>4.6425617126184315E-2</v>
          </cell>
          <cell r="BW7">
            <v>4.2643849045688853E-2</v>
          </cell>
          <cell r="BX7">
            <v>3.9553578245000276E-2</v>
          </cell>
          <cell r="BY7">
            <v>4.2500000000000003E-2</v>
          </cell>
          <cell r="BZ7">
            <v>0.04</v>
          </cell>
          <cell r="CA7">
            <v>0.04</v>
          </cell>
          <cell r="CB7">
            <v>0.04</v>
          </cell>
        </row>
        <row r="8">
          <cell r="AT8">
            <v>1.8425E-2</v>
          </cell>
          <cell r="AU8">
            <v>1.8200000000000001E-2</v>
          </cell>
          <cell r="AV8">
            <v>1.7500000000000002E-2</v>
          </cell>
          <cell r="AW8">
            <v>1.6375000000000001E-2</v>
          </cell>
          <cell r="AX8">
            <v>1.6324999999999999E-2</v>
          </cell>
          <cell r="AY8">
            <v>1.6674999999999999E-2</v>
          </cell>
          <cell r="AZ8">
            <v>1.7274999999999999E-2</v>
          </cell>
          <cell r="BA8">
            <v>1.8574999999999998E-2</v>
          </cell>
          <cell r="BB8">
            <v>1.9924999999999998E-2</v>
          </cell>
          <cell r="BC8">
            <v>2.1625000000000002E-2</v>
          </cell>
          <cell r="BD8">
            <v>2.2400000000000003E-2</v>
          </cell>
          <cell r="BE8">
            <v>2.2400000000000003E-2</v>
          </cell>
          <cell r="BF8">
            <v>1.7999999999999999E-2</v>
          </cell>
          <cell r="BG8">
            <v>1.7999999999999999E-2</v>
          </cell>
          <cell r="BH8">
            <v>1.7999999999999999E-2</v>
          </cell>
          <cell r="BI8">
            <v>1.7999999999999999E-2</v>
          </cell>
          <cell r="BU8">
            <v>7.0500000000000007E-2</v>
          </cell>
          <cell r="BV8">
            <v>6.8849999999999995E-2</v>
          </cell>
          <cell r="BW8">
            <v>8.635000000000001E-2</v>
          </cell>
          <cell r="BX8">
            <v>7.1999999999999995E-2</v>
          </cell>
          <cell r="BY8">
            <v>7.0000000000000007E-2</v>
          </cell>
          <cell r="BZ8">
            <v>7.0000000000000007E-2</v>
          </cell>
          <cell r="CA8">
            <v>7.0000000000000007E-2</v>
          </cell>
          <cell r="CB8">
            <v>7.0000000000000007E-2</v>
          </cell>
        </row>
        <row r="9">
          <cell r="AT9">
            <v>4.9099999999999998E-2</v>
          </cell>
          <cell r="AU9">
            <v>5.3931600000000003E-2</v>
          </cell>
          <cell r="AV9">
            <v>5.6296300000000001E-2</v>
          </cell>
          <cell r="AW9">
            <v>5.6440700000000003E-2</v>
          </cell>
          <cell r="AX9">
            <v>5.5808900000000002E-2</v>
          </cell>
          <cell r="AY9">
            <v>5.5899999999999998E-2</v>
          </cell>
          <cell r="AZ9">
            <v>5.0900000000000001E-2</v>
          </cell>
          <cell r="BA9">
            <v>5.33E-2</v>
          </cell>
          <cell r="BB9">
            <v>4.3299999999999998E-2</v>
          </cell>
          <cell r="BC9">
            <v>4.3200000000000002E-2</v>
          </cell>
          <cell r="BD9">
            <v>4.3200000000000002E-2</v>
          </cell>
          <cell r="BE9">
            <v>4.3200000000000002E-2</v>
          </cell>
          <cell r="BF9">
            <v>4.3200000000000002E-2</v>
          </cell>
          <cell r="BG9">
            <v>4.3200000000000002E-2</v>
          </cell>
          <cell r="BH9">
            <v>4.3200000000000002E-2</v>
          </cell>
          <cell r="BI9">
            <v>4.3200000000000002E-2</v>
          </cell>
          <cell r="BU9">
            <v>5.3942150000000001E-2</v>
          </cell>
          <cell r="BV9">
            <v>5.3977225000000004E-2</v>
          </cell>
          <cell r="BW9">
            <v>4.3225E-2</v>
          </cell>
          <cell r="BX9">
            <v>4.3200000000000002E-2</v>
          </cell>
          <cell r="BY9">
            <v>4.3200000000000002E-2</v>
          </cell>
          <cell r="BZ9">
            <v>4.3200000000000002E-2</v>
          </cell>
          <cell r="CA9">
            <v>4.3200000000000002E-2</v>
          </cell>
          <cell r="CB9">
            <v>4.3200000000000002E-2</v>
          </cell>
        </row>
        <row r="10">
          <cell r="AT10">
            <v>4.4400000000000002E-2</v>
          </cell>
          <cell r="AU10">
            <v>3.85E-2</v>
          </cell>
          <cell r="AV10">
            <v>2.35E-2</v>
          </cell>
          <cell r="AW10">
            <v>2.3800000000000002E-2</v>
          </cell>
          <cell r="AX10">
            <v>2.5600000000000001E-2</v>
          </cell>
          <cell r="AY10">
            <v>3.3399999999999999E-2</v>
          </cell>
          <cell r="AZ10">
            <v>4.0500000000000001E-2</v>
          </cell>
          <cell r="BA10">
            <v>3.61E-2</v>
          </cell>
          <cell r="BB10">
            <v>2.8500000000000001E-2</v>
          </cell>
          <cell r="BC10">
            <v>2.5000000000000001E-2</v>
          </cell>
          <cell r="BD10">
            <v>2.1999999999999999E-2</v>
          </cell>
          <cell r="BE10">
            <v>0.02</v>
          </cell>
          <cell r="BF10">
            <v>1.7999999999999999E-2</v>
          </cell>
          <cell r="BG10">
            <v>1.7999999999999999E-2</v>
          </cell>
          <cell r="BH10">
            <v>1.7999999999999999E-2</v>
          </cell>
          <cell r="BI10">
            <v>1.7999999999999999E-2</v>
          </cell>
          <cell r="BU10">
            <v>3.2549999999999996E-2</v>
          </cell>
          <cell r="BV10">
            <v>3.39E-2</v>
          </cell>
          <cell r="BW10">
            <v>2.3875000000000004E-2</v>
          </cell>
          <cell r="BX10">
            <v>1.7999999999999999E-2</v>
          </cell>
          <cell r="BY10">
            <v>1.7500000000000002E-2</v>
          </cell>
          <cell r="BZ10">
            <v>0.02</v>
          </cell>
          <cell r="CA10">
            <v>2.2499999999999999E-2</v>
          </cell>
          <cell r="CB10">
            <v>2.2499999999999999E-2</v>
          </cell>
        </row>
        <row r="11">
          <cell r="AT11">
            <v>4.9629315732038215E-3</v>
          </cell>
          <cell r="AU11">
            <v>4.9629315732038215E-3</v>
          </cell>
          <cell r="AV11">
            <v>4.9629315732038215E-3</v>
          </cell>
          <cell r="AW11">
            <v>4.9629315732038215E-3</v>
          </cell>
          <cell r="AX11">
            <v>4.9629315732038215E-3</v>
          </cell>
          <cell r="AY11">
            <v>4.9629315732038215E-3</v>
          </cell>
          <cell r="AZ11">
            <v>4.9629315732038215E-3</v>
          </cell>
          <cell r="BA11">
            <v>4.9629315732038215E-3</v>
          </cell>
          <cell r="BB11">
            <v>4.9629315732038215E-3</v>
          </cell>
          <cell r="BC11">
            <v>4.9629315732038215E-3</v>
          </cell>
          <cell r="BD11">
            <v>4.9629315732038215E-3</v>
          </cell>
          <cell r="BE11">
            <v>4.9629315732038215E-3</v>
          </cell>
          <cell r="BF11">
            <v>4.9629315732038215E-3</v>
          </cell>
          <cell r="BG11">
            <v>4.9629315732038215E-3</v>
          </cell>
          <cell r="BH11">
            <v>4.9629315732038215E-3</v>
          </cell>
          <cell r="BI11">
            <v>4.9629315732038215E-3</v>
          </cell>
          <cell r="BU11">
            <v>2.5000000000000001E-2</v>
          </cell>
          <cell r="BV11">
            <v>2.5000000000000001E-2</v>
          </cell>
          <cell r="BW11">
            <v>2.5000000000000001E-2</v>
          </cell>
          <cell r="BX11">
            <v>2.5000000000000001E-2</v>
          </cell>
          <cell r="BY11">
            <v>2.5000000000000001E-2</v>
          </cell>
          <cell r="BZ11">
            <v>2.5000000000000001E-2</v>
          </cell>
          <cell r="CA11">
            <v>2.5000000000000001E-2</v>
          </cell>
          <cell r="CB11">
            <v>2.5000000000000001E-2</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J25Ax3SIZk6Y0HhZ4gwbUfwtyu-W7WVOgIC8rYEdxvP0KBOj3RqpT61xA3yTYYhi" itemId="014KQZNOLVQOWVENULAJBZSKFMV23ED752">
      <xxl21:absoluteUrl r:id="rId2"/>
      <xxl21:relativeUrl r:id="rId3"/>
    </xxl21:alternateUrls>
    <sheetNames>
      <sheetName val="Planilha1"/>
      <sheetName val="MACRO%20-%20Modelos%20Nico"/>
      <sheetName val="MACRO - Modelos Nico"/>
    </sheetNames>
    <sheetDataSet>
      <sheetData sheetId="0">
        <row r="4">
          <cell r="AD4">
            <v>6.5000000000000002E-2</v>
          </cell>
          <cell r="AE4">
            <v>6.5000000000000002E-2</v>
          </cell>
          <cell r="AF4">
            <v>6.0999999999999999E-2</v>
          </cell>
          <cell r="AG4">
            <v>5.0500000000000003E-2</v>
          </cell>
          <cell r="AH4">
            <v>4.2700000000000002E-2</v>
          </cell>
          <cell r="AI4">
            <v>3.1699999999999999E-2</v>
          </cell>
          <cell r="AJ4">
            <v>2.0899999999999998E-2</v>
          </cell>
          <cell r="AK4">
            <v>0.02</v>
          </cell>
          <cell r="AL4">
            <v>2.1299999999999999E-2</v>
          </cell>
          <cell r="AM4">
            <v>3.3500000000000002E-2</v>
          </cell>
          <cell r="AN4">
            <v>4.99E-2</v>
          </cell>
          <cell r="AO4">
            <v>7.6799999999999993E-2</v>
          </cell>
          <cell r="AP4">
            <v>0.1042</v>
          </cell>
          <cell r="AQ4">
            <v>0.1249</v>
          </cell>
          <cell r="AR4">
            <v>0.13600000000000001</v>
          </cell>
          <cell r="AS4">
            <v>0.13750000000000001</v>
          </cell>
        </row>
        <row r="15">
          <cell r="N15">
            <v>8.6872000000000007</v>
          </cell>
          <cell r="O15">
            <v>8.9553999999999991</v>
          </cell>
          <cell r="P15">
            <v>9.2493999999999996</v>
          </cell>
          <cell r="Q15">
            <v>10.114599999999999</v>
          </cell>
          <cell r="R15">
            <v>14.475099999999999</v>
          </cell>
          <cell r="S15">
            <v>14.2303</v>
          </cell>
          <cell r="T15">
            <v>14.9537</v>
          </cell>
          <cell r="U15">
            <v>15.448700000000001</v>
          </cell>
          <cell r="V15">
            <v>15.682600000000001</v>
          </cell>
          <cell r="W15">
            <v>15.734</v>
          </cell>
          <cell r="X15">
            <v>17.275099999999998</v>
          </cell>
          <cell r="Y15">
            <v>17.552</v>
          </cell>
          <cell r="Z15">
            <v>19.676400000000001</v>
          </cell>
          <cell r="AA15">
            <v>23.5855</v>
          </cell>
          <cell r="AB15">
            <v>31.951799999999999</v>
          </cell>
          <cell r="AC15">
            <v>37.099600000000002</v>
          </cell>
          <cell r="AD15">
            <v>38.999000000000002</v>
          </cell>
          <cell r="AE15">
            <v>44.010399999999997</v>
          </cell>
          <cell r="AF15">
            <v>50.524999999999999</v>
          </cell>
          <cell r="AG15">
            <v>64.75</v>
          </cell>
          <cell r="AH15">
            <v>61.469499999999996</v>
          </cell>
          <cell r="AI15">
            <v>67.704400000000007</v>
          </cell>
          <cell r="AJ15">
            <v>72.52844868572663</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cro"/>
      <sheetName val="CPI"/>
      <sheetName val="FX"/>
      <sheetName val="Rates"/>
      <sheetName val="Calc2"/>
      <sheetName val="Calc3"/>
      <sheetName val="COREPO"/>
      <sheetName val="ARS"/>
      <sheetName val="value"/>
      <sheetName val="Sheet1"/>
    </sheetNames>
    <sheetDataSet>
      <sheetData sheetId="0"/>
      <sheetData sheetId="1"/>
      <sheetData sheetId="2"/>
      <sheetData sheetId="3"/>
      <sheetData sheetId="4"/>
      <sheetData sheetId="5"/>
      <sheetData sheetId="6"/>
      <sheetData sheetId="7"/>
      <sheetData sheetId="8">
        <row r="3">
          <cell r="BL3">
            <v>930.772258064516</v>
          </cell>
          <cell r="BM3">
            <v>963.48419354838711</v>
          </cell>
          <cell r="BN3">
            <v>963.21730158730213</v>
          </cell>
          <cell r="BO3">
            <v>946.92741935483855</v>
          </cell>
          <cell r="BP3">
            <v>959.88145161290322</v>
          </cell>
          <cell r="BQ3">
            <v>934.34777777777799</v>
          </cell>
          <cell r="BR3">
            <v>892.96</v>
          </cell>
          <cell r="BS3">
            <v>882.19256810062825</v>
          </cell>
          <cell r="BT3">
            <v>881.2377406041436</v>
          </cell>
          <cell r="BU3">
            <v>884.00209157846689</v>
          </cell>
        </row>
        <row r="4">
          <cell r="BL4">
            <v>3.7567983870967741</v>
          </cell>
          <cell r="BM4">
            <v>3.7559290322580638</v>
          </cell>
          <cell r="BN4">
            <v>3.6998190476190467</v>
          </cell>
          <cell r="BO4">
            <v>3.6524661290322582</v>
          </cell>
          <cell r="BP4">
            <v>3.5323920634920638</v>
          </cell>
          <cell r="BQ4">
            <v>3.3853645161290329</v>
          </cell>
          <cell r="BR4">
            <v>3.3611</v>
          </cell>
          <cell r="BS4">
            <v>3.3531107393612052</v>
          </cell>
          <cell r="BT4">
            <v>3.3373606056596605</v>
          </cell>
          <cell r="BU4">
            <v>3.3321132058226843</v>
          </cell>
        </row>
        <row r="5">
          <cell r="BL5">
            <v>4097.1941269841263</v>
          </cell>
          <cell r="BM5">
            <v>4352.0903225806451</v>
          </cell>
          <cell r="BN5">
            <v>4183.6350819672134</v>
          </cell>
          <cell r="BO5">
            <v>4196.3313333333354</v>
          </cell>
          <cell r="BP5">
            <v>4003.5978125000006</v>
          </cell>
          <cell r="BQ5">
            <v>3818.866065573769</v>
          </cell>
          <cell r="BR5">
            <v>3746.5050000000001</v>
          </cell>
          <cell r="BS5">
            <v>3719.0578765935747</v>
          </cell>
          <cell r="BT5">
            <v>3721.1690940506996</v>
          </cell>
          <cell r="BU5">
            <v>3724.1106364322909</v>
          </cell>
        </row>
        <row r="6">
          <cell r="BL6">
            <v>941.2671184615383</v>
          </cell>
          <cell r="BM6">
            <v>999.70919365079408</v>
          </cell>
          <cell r="BN6">
            <v>1055.0397583333333</v>
          </cell>
          <cell r="BO6">
            <v>1150.968575862069</v>
          </cell>
          <cell r="BP6">
            <v>1333.3734749999999</v>
          </cell>
          <cell r="BQ6">
            <v>1437.6269416666667</v>
          </cell>
          <cell r="BR6">
            <v>1458.9375</v>
          </cell>
          <cell r="BS6">
            <v>1564.303294551685</v>
          </cell>
          <cell r="BT6">
            <v>1689.2354537536849</v>
          </cell>
          <cell r="BU6">
            <v>1737.7471477643785</v>
          </cell>
        </row>
        <row r="9">
          <cell r="BL9">
            <v>18.947240909090912</v>
          </cell>
          <cell r="BM9">
            <v>20.084412121212114</v>
          </cell>
          <cell r="BN9">
            <v>20.418701562499997</v>
          </cell>
          <cell r="BO9">
            <v>19.49283384615384</v>
          </cell>
          <cell r="BP9">
            <v>18.628316666666667</v>
          </cell>
          <cell r="BQ9">
            <v>18.301781818181823</v>
          </cell>
          <cell r="BR9">
            <v>17.9651</v>
          </cell>
          <cell r="BS9">
            <v>17.935332365899278</v>
          </cell>
          <cell r="BT9">
            <v>17.935823457453608</v>
          </cell>
          <cell r="BU9">
            <v>18.032351621902681</v>
          </cell>
        </row>
        <row r="36">
          <cell r="BL36">
            <v>898.7</v>
          </cell>
          <cell r="BM36">
            <v>994.92</v>
          </cell>
          <cell r="BN36">
            <v>951.08</v>
          </cell>
          <cell r="BO36">
            <v>931.62</v>
          </cell>
          <cell r="BP36">
            <v>962.5</v>
          </cell>
          <cell r="BQ36">
            <v>900.58</v>
          </cell>
          <cell r="BR36">
            <v>885.34</v>
          </cell>
          <cell r="BS36">
            <v>879.04513620125658</v>
          </cell>
          <cell r="BT36">
            <v>883.43034500703061</v>
          </cell>
          <cell r="BU36">
            <v>884.57383814990305</v>
          </cell>
        </row>
        <row r="37">
          <cell r="BL37">
            <v>3.7040000000000002</v>
          </cell>
          <cell r="BM37">
            <v>3.7403</v>
          </cell>
          <cell r="BN37">
            <v>3.677</v>
          </cell>
          <cell r="BO37">
            <v>3.5425</v>
          </cell>
          <cell r="BP37">
            <v>3.4719000000000002</v>
          </cell>
          <cell r="BQ37">
            <v>3.3624999999999998</v>
          </cell>
          <cell r="BR37">
            <v>3.3597000000000001</v>
          </cell>
          <cell r="BS37">
            <v>3.3465214787224102</v>
          </cell>
          <cell r="BT37">
            <v>3.3281997325969108</v>
          </cell>
          <cell r="BU37">
            <v>3.3360266790484578</v>
          </cell>
        </row>
        <row r="38">
          <cell r="BL38">
            <v>4206.8999999999996</v>
          </cell>
          <cell r="BM38">
            <v>4405.7700000000004</v>
          </cell>
          <cell r="BN38">
            <v>4182.91</v>
          </cell>
          <cell r="BO38">
            <v>4099.51</v>
          </cell>
          <cell r="BP38">
            <v>3920.46</v>
          </cell>
          <cell r="BQ38">
            <v>3777.62</v>
          </cell>
          <cell r="BR38">
            <v>3715.39</v>
          </cell>
          <cell r="BS38">
            <v>3722.7257531871496</v>
          </cell>
          <cell r="BT38">
            <v>3719.6124349142501</v>
          </cell>
          <cell r="BU38">
            <v>3728.6088379503317</v>
          </cell>
        </row>
        <row r="39">
          <cell r="BL39">
            <v>968.71939999999995</v>
          </cell>
          <cell r="BM39">
            <v>1030.9849999999999</v>
          </cell>
          <cell r="BN39">
            <v>1073.1025</v>
          </cell>
          <cell r="BO39">
            <v>1203.6274000000001</v>
          </cell>
          <cell r="BP39">
            <v>1379.6954000000001</v>
          </cell>
          <cell r="BQ39">
            <v>1451.6225999999999</v>
          </cell>
          <cell r="BR39">
            <v>1466.2524000000001</v>
          </cell>
          <cell r="BS39">
            <v>1662.3541891033699</v>
          </cell>
          <cell r="BT39">
            <v>1716.1167184039998</v>
          </cell>
          <cell r="BU39">
            <v>1759.3775771247574</v>
          </cell>
        </row>
        <row r="42">
          <cell r="BL42">
            <v>19.691500000000001</v>
          </cell>
          <cell r="BM42">
            <v>20.827200000000001</v>
          </cell>
          <cell r="BN42">
            <v>20.4711</v>
          </cell>
          <cell r="BO42">
            <v>18.747499999999999</v>
          </cell>
          <cell r="BP42">
            <v>18.3123</v>
          </cell>
          <cell r="BQ42">
            <v>18.007999999999999</v>
          </cell>
          <cell r="BR42">
            <v>17.9222</v>
          </cell>
          <cell r="BS42">
            <v>17.948464731798552</v>
          </cell>
          <cell r="BT42">
            <v>17.923182183108665</v>
          </cell>
          <cell r="BU42">
            <v>18.141521060696697</v>
          </cell>
        </row>
      </sheetData>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orksheet"/>
    </sheetNames>
    <sheetDataSet>
      <sheetData sheetId="0">
        <row r="9">
          <cell r="O9">
            <v>88.711147540983603</v>
          </cell>
        </row>
        <row r="14">
          <cell r="O14">
            <v>1.2943098360655734</v>
          </cell>
          <cell r="P14">
            <v>1.2988428571428572</v>
          </cell>
          <cell r="Q14">
            <v>1.3620390625000003</v>
          </cell>
          <cell r="R14">
            <v>1.3723625000000004</v>
          </cell>
          <cell r="S14">
            <v>1.3896836734693876</v>
          </cell>
        </row>
        <row r="15">
          <cell r="O15">
            <v>0.72499672131147541</v>
          </cell>
          <cell r="P15">
            <v>0.71533174603174587</v>
          </cell>
          <cell r="Q15">
            <v>0.72588437499999992</v>
          </cell>
          <cell r="R15">
            <v>0.74165312500000002</v>
          </cell>
          <cell r="S15">
            <v>0.74248367346938782</v>
          </cell>
        </row>
        <row r="24">
          <cell r="O24">
            <v>1.3158000000000001</v>
          </cell>
          <cell r="P24">
            <v>1.3339000000000001</v>
          </cell>
          <cell r="Q24">
            <v>1.3829</v>
          </cell>
          <cell r="R24">
            <v>1.3761000000000001</v>
          </cell>
        </row>
        <row r="25">
          <cell r="O25">
            <v>0.72560000000000002</v>
          </cell>
          <cell r="P25">
            <v>0.72289999999999999</v>
          </cell>
          <cell r="Q25">
            <v>0.74229999999999996</v>
          </cell>
          <cell r="R25">
            <v>0.73839999999999995</v>
          </cell>
        </row>
      </sheetData>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https://www.bing.com/financeapi/forcetrigger?t=apn1fr&amp;q=BVMF%3aNTCO3&amp;form=skydnc</v>
    <v>Learn more on Bing</v>
  </rv>
  <rv s="1">
    <v>en-US</v>
    <v>apn1fr</v>
    <v>268435456</v>
    <v>1</v>
    <v>Powered by Refinitiv</v>
    <v>0</v>
    <v>Natura Cosmeticos SA (BVMF:NATU3)</v>
    <v>2</v>
    <v>3</v>
    <v>Finance</v>
    <v>4</v>
    <v>11.3</v>
    <v>7.13</v>
    <v>1.3065</v>
    <v>0.17</v>
    <v>1.6425000000000002E-2</v>
    <v>BRL</v>
    <v>Natura Cosmeticos SA is a Brazil-based company engaged in the personal products manufacture. The Company focuses on the development, production and distribution of cosmetics, fragrances and personal hygiene products through direct sale by Natura Beauty Consultants. The Company's product lines include deodorants, makeup accessories, sunscreens, shaving creams, shampoos, soaps, lotions, creams, lipsticks and perfumes, among others. Its portfolio comprises various brand names, such as Ekos, Tododia, Chronos, Erva Doce, Homem, Seve and Luna. In addition, the Company operates the Aesop brand name, through which it retails cosmetics. It is present in the Americas, Europe, Southeast Asia and Australia.</v>
    <v>1709</v>
    <v>B3 - Brazil Stock Exchange</v>
    <v>BVMF</v>
    <v>BVMF</v>
    <v>Av Alexandre Colares 1188 N/A, Vila Jaguara, SAO PAULO, SAO PAULO, 05.106-000 BR</v>
    <v>10.55</v>
    <v>Personal &amp; Household Products &amp; Services</v>
    <v>Stock</v>
    <v>46118.685740740744</v>
    <v>0</v>
    <v>10.36</v>
    <v>14460350160</v>
    <v>Natura Cosmeticos SA</v>
    <v>Natura Cosmeticos SA</v>
    <v>10.45</v>
    <v>10.35</v>
    <v>10.52</v>
    <v>1374558000</v>
    <v>NATU3</v>
    <v>Natura Cosmeticos SA (BVMF:NATU3)</v>
    <v>2391000</v>
    <v>11461910</v>
    <v>1969</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1</v>
      <v>3</v>
      <v>1</v>
      <v>1</v>
      <v>1</v>
      <v>4</v>
      <v>4</v>
      <v>5</v>
      <v>6</v>
      <v>1</v>
      <v>1</v>
      <v>1</v>
      <v>4</v>
      <v>7</v>
      <v>8</v>
      <v>9</v>
      <v>4</v>
    </spb>
    <spb s="4">
      <v>Delayed 30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_-[$R$-pt-BR] * #,##0.00_-;-[$R$-pt-BR] * #,##0.00_-;_-[$R$-pt-BR] * "-"??_-;_-@_-</rpv>
    </rSty>
    <rSty dxfid="5">
      <rpv i="0">#,##0.00</rpv>
    </rSty>
    <rSty>
      <rpv i="1">1</rpv>
    </rSty>
    <rSty dxfid="4">
      <rpv i="0">#,##0</rpv>
    </rSty>
    <rSty dxfid="3"/>
    <rSty dxfid="1">
      <rpv i="0">_-[$R$-pt-BR] * #,##0_-;-[$R$-pt-BR] * #,##0_-;_-[$R$-pt-BR] * "-"_-;_-@_-</rpv>
    </rSty>
    <rSty dxfid="2"/>
    <rSty dxfid="6">
      <rpv i="0">0</rpv>
    </rSty>
    <rSty dxfid="0">
      <rpv i="0">0.00</rpv>
    </rSty>
  </richStyles>
</richStyleSheet>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ft.com/content/12dc9e7c-400a-3b68-9de0-96f91b11edaa" TargetMode="Externa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hyperlink" Target="http://materiality.sasb.org/"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Z32"/>
  <sheetViews>
    <sheetView workbookViewId="0"/>
  </sheetViews>
  <sheetFormatPr defaultColWidth="9.140625" defaultRowHeight="12.75"/>
  <cols>
    <col min="1" max="1" width="4.5703125" style="1" customWidth="1"/>
    <col min="2" max="2" width="44.28515625" style="1" customWidth="1"/>
    <col min="3" max="22" width="8.5703125" style="1" customWidth="1"/>
    <col min="23" max="16384" width="9.140625" style="1"/>
  </cols>
  <sheetData>
    <row r="2" spans="2:26" ht="20.25">
      <c r="B2" s="2">
        <v>2011</v>
      </c>
      <c r="C2" s="47"/>
      <c r="D2" s="47"/>
      <c r="E2" s="3"/>
      <c r="F2" s="46"/>
      <c r="G2" s="3"/>
      <c r="H2" s="4" t="s">
        <v>0</v>
      </c>
      <c r="I2" s="4"/>
      <c r="J2" s="4"/>
      <c r="K2" s="4"/>
      <c r="L2" s="4"/>
      <c r="M2" s="4"/>
      <c r="N2" s="4"/>
      <c r="O2" s="4"/>
      <c r="P2" s="4"/>
      <c r="Q2" s="4"/>
      <c r="R2" s="4"/>
      <c r="S2" s="4"/>
      <c r="T2" s="4"/>
      <c r="U2" s="4"/>
      <c r="V2" s="4"/>
    </row>
    <row r="3" spans="2:26">
      <c r="B3" s="5" t="s">
        <v>1</v>
      </c>
      <c r="C3" s="6" t="s">
        <v>2</v>
      </c>
      <c r="D3" s="6"/>
      <c r="E3" s="6"/>
      <c r="F3" s="6"/>
      <c r="G3" s="6"/>
      <c r="H3" s="6" t="s">
        <v>3</v>
      </c>
      <c r="I3" s="6"/>
      <c r="J3" s="6"/>
      <c r="K3" s="6"/>
      <c r="L3" s="6"/>
      <c r="M3" s="6" t="s">
        <v>4</v>
      </c>
      <c r="N3" s="6"/>
      <c r="O3" s="6"/>
      <c r="P3" s="6"/>
      <c r="Q3" s="6"/>
      <c r="R3" s="6" t="s">
        <v>5</v>
      </c>
      <c r="S3" s="6"/>
      <c r="T3" s="6"/>
      <c r="U3" s="6"/>
      <c r="V3" s="6"/>
    </row>
    <row r="4" spans="2:26">
      <c r="B4" s="8"/>
      <c r="C4" s="9" t="s">
        <v>6</v>
      </c>
      <c r="D4" s="10" t="s">
        <v>7</v>
      </c>
      <c r="E4" s="10" t="s">
        <v>8</v>
      </c>
      <c r="F4" s="10" t="s">
        <v>9</v>
      </c>
      <c r="G4" s="8">
        <v>2016</v>
      </c>
      <c r="H4" s="9" t="s">
        <v>6</v>
      </c>
      <c r="I4" s="10" t="s">
        <v>7</v>
      </c>
      <c r="J4" s="10" t="s">
        <v>8</v>
      </c>
      <c r="K4" s="10" t="s">
        <v>9</v>
      </c>
      <c r="L4" s="8">
        <v>2016</v>
      </c>
      <c r="M4" s="9" t="s">
        <v>6</v>
      </c>
      <c r="N4" s="10" t="s">
        <v>7</v>
      </c>
      <c r="O4" s="10" t="s">
        <v>8</v>
      </c>
      <c r="P4" s="10" t="s">
        <v>9</v>
      </c>
      <c r="Q4" s="8">
        <v>2016</v>
      </c>
      <c r="R4" s="9" t="s">
        <v>6</v>
      </c>
      <c r="S4" s="10" t="s">
        <v>7</v>
      </c>
      <c r="T4" s="10" t="s">
        <v>8</v>
      </c>
      <c r="U4" s="10" t="s">
        <v>9</v>
      </c>
      <c r="V4" s="8">
        <v>2016</v>
      </c>
    </row>
    <row r="5" spans="2:26">
      <c r="B5" s="11" t="s">
        <v>10</v>
      </c>
      <c r="C5" s="12">
        <v>1230.203</v>
      </c>
      <c r="D5" s="12">
        <v>1296.0679999999998</v>
      </c>
      <c r="E5" s="12">
        <v>1361.6220000000001</v>
      </c>
      <c r="F5" s="12">
        <v>1421.1369999999999</v>
      </c>
      <c r="G5" s="49">
        <v>1421.1369999999999</v>
      </c>
      <c r="H5" s="50">
        <v>1032.703</v>
      </c>
      <c r="I5" s="50">
        <v>1079.0899999999999</v>
      </c>
      <c r="J5" s="50">
        <v>1131.3810000000001</v>
      </c>
      <c r="K5" s="50">
        <v>1175.471</v>
      </c>
      <c r="L5" s="49">
        <v>1175.471</v>
      </c>
      <c r="M5" s="12">
        <v>200.73000000000002</v>
      </c>
      <c r="N5" s="12">
        <v>216.97799999999998</v>
      </c>
      <c r="O5" s="12">
        <v>230.24099999999999</v>
      </c>
      <c r="P5" s="12">
        <v>245.666</v>
      </c>
      <c r="Q5" s="49">
        <v>245.666</v>
      </c>
      <c r="R5" s="12">
        <v>0</v>
      </c>
      <c r="S5" s="12">
        <v>0</v>
      </c>
      <c r="T5" s="12">
        <v>0</v>
      </c>
      <c r="U5" s="12">
        <v>0</v>
      </c>
      <c r="V5" s="49">
        <v>0</v>
      </c>
      <c r="W5" s="14"/>
    </row>
    <row r="6" spans="2:26">
      <c r="B6" s="11" t="s">
        <v>11</v>
      </c>
      <c r="C6" s="12">
        <v>1224.0749999999998</v>
      </c>
      <c r="D6" s="12">
        <v>1278.2551000000001</v>
      </c>
      <c r="E6" s="12">
        <v>1331.7337500000001</v>
      </c>
      <c r="F6" s="12">
        <v>1400.3213999999998</v>
      </c>
      <c r="G6" s="49">
        <v>1313.4066633986929</v>
      </c>
      <c r="H6" s="50">
        <v>1027.1592499999999</v>
      </c>
      <c r="I6" s="50">
        <v>1065.6626000000001</v>
      </c>
      <c r="J6" s="50">
        <v>1106.162</v>
      </c>
      <c r="K6" s="50">
        <v>1160.4163999999998</v>
      </c>
      <c r="L6" s="49">
        <v>1093.1687222222222</v>
      </c>
      <c r="M6" s="12">
        <v>196.91575</v>
      </c>
      <c r="N6" s="12">
        <v>212.5925</v>
      </c>
      <c r="O6" s="12">
        <v>225.57175000000001</v>
      </c>
      <c r="P6" s="12">
        <v>239.90499999999997</v>
      </c>
      <c r="Q6" s="49">
        <v>220.2379411764706</v>
      </c>
      <c r="R6" s="12">
        <v>0</v>
      </c>
      <c r="S6" s="12">
        <v>0</v>
      </c>
      <c r="T6" s="12">
        <v>0</v>
      </c>
      <c r="U6" s="12">
        <v>0</v>
      </c>
      <c r="V6" s="49">
        <v>2.8117647058823532</v>
      </c>
    </row>
    <row r="7" spans="2:26">
      <c r="B7" s="11" t="s">
        <v>12</v>
      </c>
      <c r="C7" s="12">
        <v>100.04547677419356</v>
      </c>
      <c r="D7" s="12">
        <v>109.05142500000001</v>
      </c>
      <c r="E7" s="12">
        <v>118.33294899999999</v>
      </c>
      <c r="F7" s="12">
        <v>131.1126460000001</v>
      </c>
      <c r="G7" s="49">
        <v>458.64249677419366</v>
      </c>
      <c r="H7" s="50">
        <v>90.138928000000021</v>
      </c>
      <c r="I7" s="50">
        <v>97.589054000000004</v>
      </c>
      <c r="J7" s="50">
        <v>104.98965599999998</v>
      </c>
      <c r="K7" s="50">
        <v>117.80090400000007</v>
      </c>
      <c r="L7" s="49">
        <v>410.51854200000008</v>
      </c>
      <c r="M7" s="12">
        <v>9.9065487741935474</v>
      </c>
      <c r="N7" s="12">
        <v>11.762370999999998</v>
      </c>
      <c r="O7" s="12">
        <v>13.343293000000001</v>
      </c>
      <c r="P7" s="12">
        <v>14.011742</v>
      </c>
      <c r="Q7" s="49">
        <v>49.023954774193548</v>
      </c>
      <c r="R7" s="12">
        <v>0</v>
      </c>
      <c r="S7" s="12">
        <v>0</v>
      </c>
      <c r="T7" s="12">
        <v>0</v>
      </c>
      <c r="U7" s="12">
        <v>0</v>
      </c>
      <c r="V7" s="49">
        <v>0</v>
      </c>
    </row>
    <row r="8" spans="2:26">
      <c r="B8" s="15" t="s">
        <v>13</v>
      </c>
      <c r="C8" s="16">
        <v>1556.0408398310392</v>
      </c>
      <c r="D8" s="16">
        <v>1885.1399643668249</v>
      </c>
      <c r="E8" s="16">
        <v>1862.0330353057834</v>
      </c>
      <c r="F8" s="16">
        <v>2232.5505451463509</v>
      </c>
      <c r="G8" s="51">
        <v>7535.7643846499977</v>
      </c>
      <c r="H8" s="52">
        <v>1438.6805054019076</v>
      </c>
      <c r="I8" s="52">
        <v>1735.4978414340983</v>
      </c>
      <c r="J8" s="52">
        <v>1693.8738495570844</v>
      </c>
      <c r="K8" s="52">
        <v>2030.83362161728</v>
      </c>
      <c r="L8" s="51">
        <v>6898.8858180103698</v>
      </c>
      <c r="M8" s="16">
        <v>114.1462057531343</v>
      </c>
      <c r="N8" s="16">
        <v>145.12920381439787</v>
      </c>
      <c r="O8" s="16">
        <v>164.65121280290572</v>
      </c>
      <c r="P8" s="16">
        <v>195.21774862322829</v>
      </c>
      <c r="Q8" s="51">
        <v>619.14437099366614</v>
      </c>
      <c r="R8" s="16">
        <v>0</v>
      </c>
      <c r="S8" s="16">
        <v>0</v>
      </c>
      <c r="T8" s="16">
        <v>0</v>
      </c>
      <c r="U8" s="16">
        <v>0</v>
      </c>
      <c r="V8" s="51">
        <v>0</v>
      </c>
      <c r="W8" s="18"/>
      <c r="X8" s="18"/>
      <c r="Y8" s="18"/>
      <c r="Z8" s="18"/>
    </row>
    <row r="9" spans="2:26">
      <c r="B9" s="19" t="s">
        <v>14</v>
      </c>
      <c r="C9" s="20">
        <v>1145.8458398748539</v>
      </c>
      <c r="D9" s="20">
        <v>1393.6156682667925</v>
      </c>
      <c r="E9" s="20">
        <v>1381.4341309554472</v>
      </c>
      <c r="F9" s="20">
        <v>1670.4780767160478</v>
      </c>
      <c r="G9" s="54">
        <v>5591.3737158131407</v>
      </c>
      <c r="H9" s="55">
        <v>1052.4712045395845</v>
      </c>
      <c r="I9" s="55">
        <v>1274.8355931396486</v>
      </c>
      <c r="J9" s="55">
        <v>1249.331474797084</v>
      </c>
      <c r="K9" s="55">
        <v>1510.9831051396511</v>
      </c>
      <c r="L9" s="54">
        <v>5087.6213776159675</v>
      </c>
      <c r="M9" s="20">
        <v>90.687387310680037</v>
      </c>
      <c r="N9" s="20">
        <v>115.00673136427662</v>
      </c>
      <c r="O9" s="20">
        <v>129.16956839254641</v>
      </c>
      <c r="P9" s="20">
        <v>154.0608788210767</v>
      </c>
      <c r="Q9" s="54">
        <v>488.92456588857976</v>
      </c>
      <c r="R9" s="20">
        <v>0</v>
      </c>
      <c r="S9" s="20">
        <v>0</v>
      </c>
      <c r="T9" s="20">
        <v>0</v>
      </c>
      <c r="U9" s="20">
        <v>0</v>
      </c>
      <c r="V9" s="54">
        <v>0</v>
      </c>
      <c r="W9" s="18"/>
      <c r="X9" s="18"/>
      <c r="Y9" s="18"/>
      <c r="Z9" s="18"/>
    </row>
    <row r="10" spans="2:26">
      <c r="B10" s="22" t="s">
        <v>15</v>
      </c>
      <c r="C10" s="23">
        <v>802.62419623444862</v>
      </c>
      <c r="D10" s="23">
        <v>980.57120426520385</v>
      </c>
      <c r="E10" s="23">
        <v>967.64740289872907</v>
      </c>
      <c r="F10" s="23">
        <v>1174.2309503592655</v>
      </c>
      <c r="G10" s="56">
        <v>3925.0737537576465</v>
      </c>
      <c r="H10" s="57">
        <v>747.25816126321911</v>
      </c>
      <c r="I10" s="57">
        <v>907.51095968873119</v>
      </c>
      <c r="J10" s="57">
        <v>884.14608603039096</v>
      </c>
      <c r="K10" s="57">
        <v>1072.346534577767</v>
      </c>
      <c r="L10" s="56">
        <v>3611.2617415601076</v>
      </c>
      <c r="M10" s="23">
        <v>53.404121462030723</v>
      </c>
      <c r="N10" s="23">
        <v>70.992004525749536</v>
      </c>
      <c r="O10" s="23">
        <v>82.011998271090647</v>
      </c>
      <c r="P10" s="23">
        <v>99.70219348019009</v>
      </c>
      <c r="Q10" s="56">
        <v>306.11031773906097</v>
      </c>
      <c r="R10" s="23">
        <v>0</v>
      </c>
      <c r="S10" s="23">
        <v>0</v>
      </c>
      <c r="T10" s="23">
        <v>0</v>
      </c>
      <c r="U10" s="23">
        <v>0</v>
      </c>
      <c r="V10" s="56">
        <v>0</v>
      </c>
      <c r="W10" s="18"/>
      <c r="X10" s="18"/>
      <c r="Y10" s="18"/>
      <c r="Z10" s="18"/>
    </row>
    <row r="11" spans="2:26">
      <c r="B11" s="25" t="s">
        <v>16</v>
      </c>
      <c r="C11" s="26">
        <v>-422.91433215729938</v>
      </c>
      <c r="D11" s="26">
        <v>-486.37843320317307</v>
      </c>
      <c r="E11" s="26">
        <v>-500.21520013578925</v>
      </c>
      <c r="F11" s="26">
        <v>-543.23171226069167</v>
      </c>
      <c r="G11" s="58">
        <v>-1952.7396777569534</v>
      </c>
      <c r="H11" s="59">
        <v>-368.89844212999998</v>
      </c>
      <c r="I11" s="59">
        <v>-422.64310451800014</v>
      </c>
      <c r="J11" s="59">
        <v>-426.31033898999999</v>
      </c>
      <c r="K11" s="59">
        <v>-468.67584708000004</v>
      </c>
      <c r="L11" s="58">
        <v>-1686.5277327180002</v>
      </c>
      <c r="M11" s="26">
        <v>-50.283491071590305</v>
      </c>
      <c r="N11" s="26">
        <v>-60.096631570746311</v>
      </c>
      <c r="O11" s="26">
        <v>-69.555041060811533</v>
      </c>
      <c r="P11" s="26">
        <v>-68.726790654552786</v>
      </c>
      <c r="Q11" s="58">
        <v>-248.66195435770092</v>
      </c>
      <c r="R11" s="26">
        <v>0</v>
      </c>
      <c r="S11" s="26">
        <v>0</v>
      </c>
      <c r="T11" s="26">
        <v>0</v>
      </c>
      <c r="U11" s="26">
        <v>0</v>
      </c>
      <c r="V11" s="58">
        <v>0</v>
      </c>
      <c r="W11" s="18"/>
      <c r="X11" s="18"/>
      <c r="Y11" s="18"/>
      <c r="Z11" s="18"/>
    </row>
    <row r="12" spans="2:26">
      <c r="B12" s="11" t="s">
        <v>17</v>
      </c>
      <c r="C12" s="12">
        <v>-133.08487783330293</v>
      </c>
      <c r="D12" s="12">
        <v>-170.97857321625128</v>
      </c>
      <c r="E12" s="12">
        <v>-177.90611363490478</v>
      </c>
      <c r="F12" s="12">
        <v>-198.76388650584306</v>
      </c>
      <c r="G12" s="49">
        <v>-680.73345119030205</v>
      </c>
      <c r="H12" s="50">
        <v>-107.46668700703491</v>
      </c>
      <c r="I12" s="50">
        <v>-147.24085297303174</v>
      </c>
      <c r="J12" s="50">
        <v>-152.52419213143955</v>
      </c>
      <c r="K12" s="50">
        <v>-170.66228927378006</v>
      </c>
      <c r="L12" s="49">
        <v>-577.89402138528624</v>
      </c>
      <c r="M12" s="12">
        <v>-24.005328333413772</v>
      </c>
      <c r="N12" s="12">
        <v>-21.492178998496357</v>
      </c>
      <c r="O12" s="12">
        <v>-24.078740224661168</v>
      </c>
      <c r="P12" s="12">
        <v>-26.553767055315831</v>
      </c>
      <c r="Q12" s="49">
        <v>-96.130014611887134</v>
      </c>
      <c r="R12" s="12">
        <v>0</v>
      </c>
      <c r="S12" s="12">
        <v>0</v>
      </c>
      <c r="T12" s="12">
        <v>0</v>
      </c>
      <c r="U12" s="12">
        <v>0</v>
      </c>
      <c r="V12" s="49">
        <v>0</v>
      </c>
      <c r="W12" s="18"/>
      <c r="X12" s="18"/>
      <c r="Y12" s="18"/>
      <c r="Z12" s="18"/>
    </row>
    <row r="13" spans="2:26">
      <c r="B13" s="11" t="s">
        <v>18</v>
      </c>
      <c r="C13" s="12">
        <v>-17.907669537500002</v>
      </c>
      <c r="D13" s="12">
        <v>-21.329379665000001</v>
      </c>
      <c r="E13" s="12">
        <v>14.198864112500004</v>
      </c>
      <c r="F13" s="12">
        <v>-5.1298082600000043</v>
      </c>
      <c r="G13" s="49">
        <v>-30.167993350000003</v>
      </c>
      <c r="H13" s="50">
        <v>-17.907669537500002</v>
      </c>
      <c r="I13" s="50">
        <v>-21.329379665000001</v>
      </c>
      <c r="J13" s="50">
        <v>14.198864112500004</v>
      </c>
      <c r="K13" s="50">
        <v>-5.1298082600000043</v>
      </c>
      <c r="L13" s="49">
        <v>-30.167993350000003</v>
      </c>
      <c r="M13" s="12">
        <v>0</v>
      </c>
      <c r="N13" s="12">
        <v>0</v>
      </c>
      <c r="O13" s="12">
        <v>0</v>
      </c>
      <c r="P13" s="12">
        <v>0</v>
      </c>
      <c r="Q13" s="49">
        <v>0</v>
      </c>
      <c r="R13" s="12">
        <v>0</v>
      </c>
      <c r="S13" s="12">
        <v>0</v>
      </c>
      <c r="T13" s="12">
        <v>0</v>
      </c>
      <c r="U13" s="12">
        <v>0</v>
      </c>
      <c r="V13" s="49">
        <v>0</v>
      </c>
      <c r="W13" s="18"/>
      <c r="X13" s="18"/>
      <c r="Y13" s="18"/>
      <c r="Z13" s="18"/>
    </row>
    <row r="14" spans="2:26">
      <c r="B14" s="60" t="s">
        <v>19</v>
      </c>
      <c r="C14" s="61">
        <v>-3.2215230200000002</v>
      </c>
      <c r="D14" s="61">
        <v>-3.6696639800000002</v>
      </c>
      <c r="E14" s="61">
        <v>-2.8198157764800005</v>
      </c>
      <c r="F14" s="61">
        <v>0.26755977648000062</v>
      </c>
      <c r="G14" s="62">
        <v>-9.4434430000000003</v>
      </c>
      <c r="H14" s="63">
        <v>-3.2215230200000002</v>
      </c>
      <c r="I14" s="63">
        <v>-3.6696639800000002</v>
      </c>
      <c r="J14" s="63">
        <v>-2.8208157764799999</v>
      </c>
      <c r="K14" s="63">
        <v>0.26755977648000062</v>
      </c>
      <c r="L14" s="62">
        <v>-9.4444429999999997</v>
      </c>
      <c r="M14" s="12">
        <v>0</v>
      </c>
      <c r="N14" s="12">
        <v>0</v>
      </c>
      <c r="O14" s="12">
        <v>0</v>
      </c>
      <c r="P14" s="12">
        <v>0</v>
      </c>
      <c r="Q14" s="62">
        <v>0</v>
      </c>
      <c r="R14" s="12">
        <v>0</v>
      </c>
      <c r="S14" s="12">
        <v>0</v>
      </c>
      <c r="T14" s="12">
        <v>0</v>
      </c>
      <c r="U14" s="12">
        <v>0</v>
      </c>
      <c r="V14" s="62">
        <v>0</v>
      </c>
      <c r="W14" s="18"/>
      <c r="X14" s="18"/>
      <c r="Y14" s="18"/>
      <c r="Z14" s="18"/>
    </row>
    <row r="15" spans="2:26">
      <c r="B15" s="11" t="s">
        <v>20</v>
      </c>
      <c r="C15" s="12">
        <v>13.796681160710802</v>
      </c>
      <c r="D15" s="12">
        <v>2.9949367687550028</v>
      </c>
      <c r="E15" s="12">
        <v>4.2173332397239669</v>
      </c>
      <c r="F15" s="12">
        <v>42.070070045650802</v>
      </c>
      <c r="G15" s="49">
        <v>63.079021214840573</v>
      </c>
      <c r="H15" s="50">
        <v>14.683209259999993</v>
      </c>
      <c r="I15" s="50">
        <v>3.7351698400000028</v>
      </c>
      <c r="J15" s="50">
        <v>5.0128209200000029</v>
      </c>
      <c r="K15" s="50">
        <v>42.225394250000001</v>
      </c>
      <c r="L15" s="49">
        <v>65.656594269999999</v>
      </c>
      <c r="M15" s="12">
        <v>-0.88652809928919063</v>
      </c>
      <c r="N15" s="12">
        <v>-0.74023307124500004</v>
      </c>
      <c r="O15" s="12">
        <v>-0.79587818027603707</v>
      </c>
      <c r="P15" s="12">
        <v>0.17124048115040041</v>
      </c>
      <c r="Q15" s="49">
        <v>-2.2513988696598273</v>
      </c>
      <c r="R15" s="12">
        <v>0</v>
      </c>
      <c r="S15" s="12">
        <v>0</v>
      </c>
      <c r="T15" s="12">
        <v>0</v>
      </c>
      <c r="U15" s="12">
        <v>0</v>
      </c>
      <c r="V15" s="49">
        <v>0</v>
      </c>
      <c r="W15" s="18"/>
      <c r="X15" s="18"/>
      <c r="Y15" s="18"/>
      <c r="Z15" s="18"/>
    </row>
    <row r="16" spans="2:26">
      <c r="B16" s="28" t="s">
        <v>21</v>
      </c>
      <c r="C16" s="29">
        <v>-10.196477988583368</v>
      </c>
      <c r="D16" s="29">
        <v>-21.077064234513895</v>
      </c>
      <c r="E16" s="29">
        <v>-4.4443809992125987</v>
      </c>
      <c r="F16" s="29">
        <v>-41.605238507971414</v>
      </c>
      <c r="G16" s="65">
        <v>-77.323161730281271</v>
      </c>
      <c r="H16" s="66">
        <v>-9.8355021835627028</v>
      </c>
      <c r="I16" s="66">
        <v>-21.909655931734527</v>
      </c>
      <c r="J16" s="66">
        <v>-1.7224323680055988</v>
      </c>
      <c r="K16" s="66">
        <v>-40.001679756618415</v>
      </c>
      <c r="L16" s="65">
        <v>-73.469270239921244</v>
      </c>
      <c r="M16" s="29">
        <v>-0.36097580502066517</v>
      </c>
      <c r="N16" s="29">
        <v>0.83259169722063175</v>
      </c>
      <c r="O16" s="29">
        <v>-2.7219486312069998</v>
      </c>
      <c r="P16" s="29">
        <v>-1.6035587513529999</v>
      </c>
      <c r="Q16" s="65">
        <v>-3.853891490360033</v>
      </c>
      <c r="R16" s="29">
        <v>0</v>
      </c>
      <c r="S16" s="29">
        <v>0</v>
      </c>
      <c r="T16" s="29">
        <v>0</v>
      </c>
      <c r="U16" s="29">
        <v>0</v>
      </c>
      <c r="V16" s="65">
        <v>0</v>
      </c>
      <c r="W16" s="18"/>
      <c r="X16" s="18"/>
      <c r="Y16" s="18"/>
      <c r="Z16" s="18"/>
    </row>
    <row r="17" spans="2:26">
      <c r="B17" s="25" t="s">
        <v>22</v>
      </c>
      <c r="C17" s="26">
        <v>-78.579947879756432</v>
      </c>
      <c r="D17" s="26">
        <v>-91.997804197992011</v>
      </c>
      <c r="E17" s="26">
        <v>-99.114089077933002</v>
      </c>
      <c r="F17" s="26">
        <v>-137.13790100278351</v>
      </c>
      <c r="G17" s="58">
        <v>-406.82974215846497</v>
      </c>
      <c r="H17" s="59">
        <v>-75.782612158326813</v>
      </c>
      <c r="I17" s="59">
        <v>-89.666836442532585</v>
      </c>
      <c r="J17" s="59">
        <v>-95.704792891418379</v>
      </c>
      <c r="K17" s="59">
        <v>-137.17592553730321</v>
      </c>
      <c r="L17" s="58">
        <v>-398.33016702958099</v>
      </c>
      <c r="M17" s="26">
        <v>-2.7668553721311984</v>
      </c>
      <c r="N17" s="26">
        <v>-2.2593150826120239</v>
      </c>
      <c r="O17" s="26">
        <v>-3.3485391578489905</v>
      </c>
      <c r="P17" s="26">
        <v>0.17453742290607543</v>
      </c>
      <c r="Q17" s="58">
        <v>-8.2001721896861373</v>
      </c>
      <c r="R17" s="26">
        <v>0</v>
      </c>
      <c r="S17" s="26">
        <v>0</v>
      </c>
      <c r="T17" s="26">
        <v>0</v>
      </c>
      <c r="U17" s="26">
        <v>0</v>
      </c>
      <c r="V17" s="58">
        <v>0</v>
      </c>
      <c r="W17" s="18"/>
      <c r="X17" s="18"/>
      <c r="Y17" s="18"/>
      <c r="Z17" s="18"/>
    </row>
    <row r="18" spans="2:26">
      <c r="B18" s="11" t="s">
        <v>23</v>
      </c>
      <c r="C18" s="12">
        <v>0</v>
      </c>
      <c r="D18" s="12">
        <v>0</v>
      </c>
      <c r="E18" s="12">
        <v>0</v>
      </c>
      <c r="F18" s="12">
        <v>0</v>
      </c>
      <c r="G18" s="49">
        <v>0</v>
      </c>
      <c r="H18" s="50">
        <v>0</v>
      </c>
      <c r="I18" s="50">
        <v>0</v>
      </c>
      <c r="J18" s="50">
        <v>0</v>
      </c>
      <c r="K18" s="50">
        <v>0</v>
      </c>
      <c r="L18" s="49">
        <v>0</v>
      </c>
      <c r="M18" s="12">
        <v>0</v>
      </c>
      <c r="N18" s="12">
        <v>0</v>
      </c>
      <c r="O18" s="12">
        <v>0</v>
      </c>
      <c r="P18" s="12">
        <v>0</v>
      </c>
      <c r="Q18" s="49">
        <v>0</v>
      </c>
      <c r="R18" s="12">
        <v>0</v>
      </c>
      <c r="S18" s="12">
        <v>0</v>
      </c>
      <c r="T18" s="12">
        <v>0</v>
      </c>
      <c r="U18" s="12">
        <v>0</v>
      </c>
      <c r="V18" s="49">
        <v>0</v>
      </c>
      <c r="W18" s="18"/>
      <c r="X18" s="18"/>
      <c r="Y18" s="18"/>
      <c r="Z18" s="18"/>
    </row>
    <row r="19" spans="2:26">
      <c r="B19" s="22" t="s">
        <v>24</v>
      </c>
      <c r="C19" s="23">
        <v>150.51604897871727</v>
      </c>
      <c r="D19" s="23">
        <v>188.13522253702854</v>
      </c>
      <c r="E19" s="23">
        <v>201.56400062663334</v>
      </c>
      <c r="F19" s="23">
        <v>290.70003364410667</v>
      </c>
      <c r="G19" s="56">
        <v>830.91530578648485</v>
      </c>
      <c r="H19" s="57">
        <v>178.82893448679471</v>
      </c>
      <c r="I19" s="57">
        <v>204.7866360184322</v>
      </c>
      <c r="J19" s="57">
        <v>224.27519890554743</v>
      </c>
      <c r="K19" s="57">
        <v>293.19393869654527</v>
      </c>
      <c r="L19" s="56">
        <v>901.0847081073191</v>
      </c>
      <c r="M19" s="23">
        <v>-24.899057219414409</v>
      </c>
      <c r="N19" s="23">
        <v>-12.763762500129523</v>
      </c>
      <c r="O19" s="23">
        <v>-18.488148983714083</v>
      </c>
      <c r="P19" s="23">
        <v>3.163854923024954</v>
      </c>
      <c r="Q19" s="56">
        <v>-52.98711378023313</v>
      </c>
      <c r="R19" s="23">
        <v>0</v>
      </c>
      <c r="S19" s="23">
        <v>0</v>
      </c>
      <c r="T19" s="23">
        <v>0</v>
      </c>
      <c r="U19" s="23">
        <v>0</v>
      </c>
      <c r="V19" s="56">
        <v>0</v>
      </c>
      <c r="W19" s="18"/>
      <c r="X19" s="18"/>
      <c r="Y19" s="18"/>
      <c r="Z19" s="18"/>
    </row>
    <row r="20" spans="2:26">
      <c r="B20" s="19" t="s">
        <v>25</v>
      </c>
      <c r="C20" s="20">
        <v>264.11605011220877</v>
      </c>
      <c r="D20" s="20">
        <v>327.32531197662365</v>
      </c>
      <c r="E20" s="20">
        <v>333.27756610263486</v>
      </c>
      <c r="F20" s="20">
        <v>500.37071226287492</v>
      </c>
      <c r="G20" s="67">
        <v>1424.9896404543413</v>
      </c>
      <c r="H20" s="55">
        <v>287.59463183018039</v>
      </c>
      <c r="I20" s="55">
        <v>340.97679267588489</v>
      </c>
      <c r="J20" s="55">
        <v>348.06650109860527</v>
      </c>
      <c r="K20" s="55">
        <v>499.41583040053627</v>
      </c>
      <c r="L20" s="67">
        <v>1476.0537560052062</v>
      </c>
      <c r="M20" s="20">
        <v>-20.233139015571236</v>
      </c>
      <c r="N20" s="20">
        <v>-9.9614918630641309</v>
      </c>
      <c r="O20" s="20">
        <v>-10.712977943296092</v>
      </c>
      <c r="P20" s="20">
        <v>6.3836798260258787</v>
      </c>
      <c r="Q20" s="67">
        <v>-34.523928995905649</v>
      </c>
      <c r="R20" s="20">
        <v>0</v>
      </c>
      <c r="S20" s="20">
        <v>0</v>
      </c>
      <c r="T20" s="20">
        <v>0</v>
      </c>
      <c r="U20" s="20">
        <v>0</v>
      </c>
      <c r="V20" s="67">
        <v>0</v>
      </c>
      <c r="W20" s="18"/>
      <c r="X20" s="18"/>
      <c r="Y20" s="18"/>
      <c r="Z20" s="18"/>
    </row>
    <row r="21" spans="2:26">
      <c r="B21" s="32"/>
      <c r="C21" s="33"/>
      <c r="D21" s="34"/>
      <c r="E21" s="34"/>
      <c r="F21" s="7"/>
      <c r="G21" s="6"/>
      <c r="H21" s="33"/>
      <c r="I21" s="34"/>
      <c r="J21" s="34"/>
      <c r="K21" s="7"/>
      <c r="L21" s="6"/>
      <c r="M21" s="33"/>
      <c r="N21" s="34"/>
      <c r="O21" s="34"/>
      <c r="P21" s="7"/>
      <c r="Q21" s="6"/>
      <c r="R21" s="33"/>
      <c r="S21" s="34"/>
      <c r="T21" s="34"/>
      <c r="U21" s="7"/>
      <c r="V21" s="6"/>
    </row>
    <row r="22" spans="2:26">
      <c r="B22" s="8"/>
      <c r="C22" s="9"/>
      <c r="D22" s="10"/>
      <c r="E22" s="10"/>
      <c r="F22" s="35"/>
      <c r="G22" s="8"/>
      <c r="H22" s="9"/>
      <c r="I22" s="10"/>
      <c r="J22" s="10"/>
      <c r="K22" s="35"/>
      <c r="L22" s="8"/>
      <c r="M22" s="9"/>
      <c r="N22" s="10"/>
      <c r="O22" s="10"/>
      <c r="P22" s="35"/>
      <c r="Q22" s="8"/>
      <c r="R22" s="9"/>
      <c r="S22" s="10"/>
      <c r="T22" s="10"/>
      <c r="U22" s="35"/>
      <c r="V22" s="8"/>
    </row>
    <row r="23" spans="2:26">
      <c r="B23" s="1" t="s">
        <v>26</v>
      </c>
      <c r="C23" s="37">
        <v>0.70046438037608005</v>
      </c>
      <c r="D23" s="37">
        <v>0.70361666174772386</v>
      </c>
      <c r="E23" s="37">
        <v>0.70046582838478944</v>
      </c>
      <c r="F23" s="37">
        <v>0.70293107507741592</v>
      </c>
      <c r="G23" s="37">
        <v>0.70198737434720582</v>
      </c>
      <c r="H23" s="37">
        <v>0.71000342626011859</v>
      </c>
      <c r="I23" s="37">
        <v>0.71186509426970501</v>
      </c>
      <c r="J23" s="37">
        <v>0.70769535857086585</v>
      </c>
      <c r="K23" s="37">
        <v>0.70970120773035139</v>
      </c>
      <c r="L23" s="37">
        <v>0.70981338301796459</v>
      </c>
      <c r="M23" s="37">
        <v>0.58888146461951763</v>
      </c>
      <c r="N23" s="37">
        <v>0.61728564653217388</v>
      </c>
      <c r="O23" s="37">
        <v>0.63491733611632217</v>
      </c>
      <c r="P23" s="37">
        <v>0.6471610070197138</v>
      </c>
      <c r="Q23" s="37">
        <v>0.62608905155487726</v>
      </c>
      <c r="R23" s="37">
        <v>0</v>
      </c>
      <c r="S23" s="37">
        <v>0</v>
      </c>
      <c r="T23" s="37">
        <v>0</v>
      </c>
      <c r="U23" s="37">
        <v>0</v>
      </c>
      <c r="V23" s="37">
        <v>0</v>
      </c>
    </row>
    <row r="24" spans="2:26">
      <c r="B24" s="1" t="s">
        <v>27</v>
      </c>
      <c r="C24" s="37">
        <v>0.36908484321371615</v>
      </c>
      <c r="D24" s="37">
        <v>0.34900471075219086</v>
      </c>
      <c r="E24" s="37">
        <v>0.36209848079388574</v>
      </c>
      <c r="F24" s="37">
        <v>0.32519535564849655</v>
      </c>
      <c r="G24" s="37">
        <v>0.34924148822933238</v>
      </c>
      <c r="H24" s="37">
        <v>0.35050692174649928</v>
      </c>
      <c r="I24" s="37">
        <v>0.33152753719177247</v>
      </c>
      <c r="J24" s="37">
        <v>0.34123076828688814</v>
      </c>
      <c r="K24" s="37">
        <v>0.31017940934335142</v>
      </c>
      <c r="L24" s="37">
        <v>0.33149631380554856</v>
      </c>
      <c r="M24" s="37">
        <v>0.55447061121440577</v>
      </c>
      <c r="N24" s="37">
        <v>0.52254881829824373</v>
      </c>
      <c r="O24" s="37">
        <v>0.53847854356402058</v>
      </c>
      <c r="P24" s="37">
        <v>0.44610150987370872</v>
      </c>
      <c r="Q24" s="37">
        <v>0.50858961014932536</v>
      </c>
      <c r="R24" s="37">
        <v>0</v>
      </c>
      <c r="S24" s="37">
        <v>0</v>
      </c>
      <c r="T24" s="37">
        <v>0</v>
      </c>
      <c r="U24" s="37">
        <v>0</v>
      </c>
      <c r="V24" s="37">
        <v>0</v>
      </c>
    </row>
    <row r="25" spans="2:26">
      <c r="B25" s="1" t="s">
        <v>28</v>
      </c>
      <c r="C25" s="37">
        <v>0.11614553476743267</v>
      </c>
      <c r="D25" s="37">
        <v>0.12268703424445089</v>
      </c>
      <c r="E25" s="37">
        <v>0.12878363842933199</v>
      </c>
      <c r="F25" s="37">
        <v>0.11898622871877981</v>
      </c>
      <c r="G25" s="37">
        <v>0.12174708502583154</v>
      </c>
      <c r="H25" s="37">
        <v>0.1021089095297837</v>
      </c>
      <c r="I25" s="37">
        <v>0.11549791499812841</v>
      </c>
      <c r="J25" s="37">
        <v>0.12208464703589772</v>
      </c>
      <c r="K25" s="37">
        <v>0.11294784745988723</v>
      </c>
      <c r="L25" s="37">
        <v>0.11358825244501279</v>
      </c>
      <c r="M25" s="37">
        <v>0.26470415617086279</v>
      </c>
      <c r="N25" s="37">
        <v>0.18687757441276395</v>
      </c>
      <c r="O25" s="37">
        <v>0.18641186561439813</v>
      </c>
      <c r="P25" s="37">
        <v>0.17235892238518813</v>
      </c>
      <c r="Q25" s="37">
        <v>0.19661522721235908</v>
      </c>
      <c r="R25" s="37">
        <v>0</v>
      </c>
      <c r="S25" s="37">
        <v>0</v>
      </c>
      <c r="T25" s="37">
        <v>0</v>
      </c>
      <c r="U25" s="37">
        <v>0</v>
      </c>
      <c r="V25" s="37">
        <v>0</v>
      </c>
    </row>
    <row r="26" spans="2:26">
      <c r="B26" s="1" t="s">
        <v>29</v>
      </c>
      <c r="C26" s="37">
        <v>0.13135802718030221</v>
      </c>
      <c r="D26" s="37">
        <v>0.13499792433519922</v>
      </c>
      <c r="E26" s="37">
        <v>0.14590923744386189</v>
      </c>
      <c r="F26" s="37">
        <v>0.17402205853284036</v>
      </c>
      <c r="G26" s="37">
        <v>0.14860664802936477</v>
      </c>
      <c r="H26" s="37">
        <v>0.16991337503150544</v>
      </c>
      <c r="I26" s="37">
        <v>0.16063768310240406</v>
      </c>
      <c r="J26" s="37">
        <v>0.17951616799054401</v>
      </c>
      <c r="K26" s="37">
        <v>0.19404183785989262</v>
      </c>
      <c r="L26" s="37">
        <v>0.17711316177572212</v>
      </c>
      <c r="M26" s="37">
        <v>-0.27455920782141779</v>
      </c>
      <c r="N26" s="37">
        <v>-0.11098274291181362</v>
      </c>
      <c r="O26" s="37">
        <v>-0.14313084121740335</v>
      </c>
      <c r="P26" s="37">
        <v>2.0536394101057891E-2</v>
      </c>
      <c r="Q26" s="37">
        <v>-0.10837482400568982</v>
      </c>
      <c r="R26" s="37">
        <v>0</v>
      </c>
      <c r="S26" s="37">
        <v>0</v>
      </c>
      <c r="T26" s="37">
        <v>0</v>
      </c>
      <c r="U26" s="37">
        <v>0</v>
      </c>
      <c r="V26" s="37">
        <v>0</v>
      </c>
    </row>
    <row r="27" spans="2:26">
      <c r="B27" s="1" t="s">
        <v>30</v>
      </c>
      <c r="C27" s="37">
        <v>0.23049876425004501</v>
      </c>
      <c r="D27" s="37">
        <v>0.234874879373099</v>
      </c>
      <c r="E27" s="37">
        <v>0.24125476462068349</v>
      </c>
      <c r="F27" s="37">
        <v>0.29953743137206656</v>
      </c>
      <c r="G27" s="37">
        <v>0.25485501647373043</v>
      </c>
      <c r="H27" s="37">
        <v>0.27325653242550413</v>
      </c>
      <c r="I27" s="37">
        <v>0.26746726755261957</v>
      </c>
      <c r="J27" s="37">
        <v>0.2786022029542945</v>
      </c>
      <c r="K27" s="37">
        <v>0.33052376873160222</v>
      </c>
      <c r="L27" s="37">
        <v>0.29012649457355594</v>
      </c>
      <c r="M27" s="37">
        <v>-0.22310863302584558</v>
      </c>
      <c r="N27" s="37">
        <v>-8.6616598392938671E-2</v>
      </c>
      <c r="O27" s="37">
        <v>-8.2937320892327707E-2</v>
      </c>
      <c r="P27" s="37">
        <v>4.1436086012723319E-2</v>
      </c>
      <c r="Q27" s="37">
        <v>-7.0611974534683639E-2</v>
      </c>
      <c r="R27" s="37">
        <v>0</v>
      </c>
      <c r="S27" s="37">
        <v>0</v>
      </c>
      <c r="T27" s="37">
        <v>0</v>
      </c>
      <c r="U27" s="37">
        <v>0</v>
      </c>
      <c r="V27" s="37">
        <v>0</v>
      </c>
    </row>
    <row r="28" spans="2:26">
      <c r="B28" s="32"/>
      <c r="C28" s="33"/>
      <c r="D28" s="34"/>
      <c r="E28" s="34"/>
      <c r="F28" s="7"/>
      <c r="G28" s="6"/>
      <c r="H28" s="33"/>
      <c r="I28" s="34"/>
      <c r="J28" s="34"/>
      <c r="K28" s="7"/>
      <c r="L28" s="6"/>
      <c r="M28" s="33"/>
      <c r="N28" s="34"/>
      <c r="O28" s="34"/>
      <c r="P28" s="7"/>
      <c r="Q28" s="6"/>
      <c r="R28" s="33"/>
      <c r="S28" s="34"/>
      <c r="T28" s="34"/>
      <c r="U28" s="7"/>
      <c r="V28" s="6"/>
    </row>
    <row r="29" spans="2:26">
      <c r="B29" s="1" t="s">
        <v>31</v>
      </c>
      <c r="C29" s="68"/>
    </row>
    <row r="32" spans="2:26">
      <c r="C32" s="18"/>
      <c r="D32" s="18"/>
      <c r="E32" s="18"/>
      <c r="F32" s="18"/>
      <c r="G32" s="18"/>
      <c r="H32" s="18"/>
      <c r="I32" s="18"/>
      <c r="J32" s="18"/>
      <c r="K32" s="18"/>
      <c r="L32" s="18"/>
      <c r="M32" s="18"/>
      <c r="N32" s="18"/>
      <c r="O32" s="18"/>
      <c r="P32" s="18"/>
      <c r="Q32" s="18"/>
      <c r="R32" s="18"/>
      <c r="S32" s="18"/>
      <c r="T32" s="18"/>
      <c r="U32" s="18"/>
      <c r="V32" s="18"/>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Z32"/>
  <sheetViews>
    <sheetView workbookViewId="0"/>
  </sheetViews>
  <sheetFormatPr defaultColWidth="9.140625" defaultRowHeight="12.75"/>
  <cols>
    <col min="1" max="1" width="4.5703125" style="1" customWidth="1"/>
    <col min="2" max="2" width="44.28515625" style="1" customWidth="1"/>
    <col min="3" max="22" width="8.5703125" style="1" customWidth="1"/>
    <col min="23" max="16384" width="9.140625" style="1"/>
  </cols>
  <sheetData>
    <row r="2" spans="2:26" ht="20.25">
      <c r="B2" s="2">
        <v>2012</v>
      </c>
      <c r="C2" s="3"/>
      <c r="D2" s="3"/>
      <c r="E2" s="3"/>
      <c r="F2" s="46"/>
      <c r="G2" s="3"/>
      <c r="H2" s="4" t="s">
        <v>0</v>
      </c>
      <c r="I2" s="4"/>
      <c r="J2" s="4"/>
      <c r="K2" s="4"/>
      <c r="L2" s="4"/>
      <c r="M2" s="4"/>
      <c r="N2" s="4"/>
      <c r="O2" s="4"/>
      <c r="P2" s="4"/>
      <c r="Q2" s="4"/>
      <c r="R2" s="4"/>
      <c r="S2" s="4"/>
      <c r="T2" s="4"/>
      <c r="U2" s="4"/>
      <c r="V2" s="48"/>
    </row>
    <row r="3" spans="2:26">
      <c r="B3" s="5" t="s">
        <v>1</v>
      </c>
      <c r="C3" s="6" t="s">
        <v>2</v>
      </c>
      <c r="D3" s="6"/>
      <c r="E3" s="6"/>
      <c r="F3" s="6"/>
      <c r="G3" s="6"/>
      <c r="H3" s="6" t="s">
        <v>3</v>
      </c>
      <c r="I3" s="6"/>
      <c r="J3" s="6"/>
      <c r="K3" s="6"/>
      <c r="L3" s="6"/>
      <c r="M3" s="6" t="s">
        <v>4</v>
      </c>
      <c r="N3" s="6"/>
      <c r="O3" s="6"/>
      <c r="P3" s="6"/>
      <c r="Q3" s="6"/>
      <c r="R3" s="6" t="s">
        <v>5</v>
      </c>
      <c r="S3" s="6"/>
      <c r="T3" s="6"/>
      <c r="U3" s="6"/>
      <c r="V3" s="33"/>
    </row>
    <row r="4" spans="2:26">
      <c r="B4" s="8"/>
      <c r="C4" s="9" t="s">
        <v>6</v>
      </c>
      <c r="D4" s="10" t="s">
        <v>7</v>
      </c>
      <c r="E4" s="10" t="s">
        <v>8</v>
      </c>
      <c r="F4" s="10" t="s">
        <v>9</v>
      </c>
      <c r="G4" s="8">
        <v>2016</v>
      </c>
      <c r="H4" s="9" t="s">
        <v>6</v>
      </c>
      <c r="I4" s="10" t="s">
        <v>7</v>
      </c>
      <c r="J4" s="10" t="s">
        <v>8</v>
      </c>
      <c r="K4" s="10" t="s">
        <v>9</v>
      </c>
      <c r="L4" s="8">
        <v>2016</v>
      </c>
      <c r="M4" s="9" t="s">
        <v>6</v>
      </c>
      <c r="N4" s="10" t="s">
        <v>7</v>
      </c>
      <c r="O4" s="10" t="s">
        <v>8</v>
      </c>
      <c r="P4" s="10" t="s">
        <v>9</v>
      </c>
      <c r="Q4" s="8">
        <v>2016</v>
      </c>
      <c r="R4" s="9" t="s">
        <v>6</v>
      </c>
      <c r="S4" s="10" t="s">
        <v>7</v>
      </c>
      <c r="T4" s="10" t="s">
        <v>8</v>
      </c>
      <c r="U4" s="10" t="s">
        <v>9</v>
      </c>
      <c r="V4" s="9">
        <v>2016</v>
      </c>
    </row>
    <row r="5" spans="2:26">
      <c r="B5" s="11" t="s">
        <v>10</v>
      </c>
      <c r="C5" s="12">
        <v>1434.8320000000001</v>
      </c>
      <c r="D5" s="12">
        <v>1505.5429999999999</v>
      </c>
      <c r="E5" s="12">
        <v>1518.0320000000002</v>
      </c>
      <c r="F5" s="12">
        <v>1572.8110000000001</v>
      </c>
      <c r="G5" s="49">
        <v>1572.8110000000001</v>
      </c>
      <c r="H5" s="50">
        <v>1178.5999999999999</v>
      </c>
      <c r="I5" s="50">
        <v>1226.01</v>
      </c>
      <c r="J5" s="50">
        <v>1226.6110000000001</v>
      </c>
      <c r="K5" s="50">
        <v>1268.422</v>
      </c>
      <c r="L5" s="49">
        <v>1268.422</v>
      </c>
      <c r="M5" s="12">
        <v>256.23199999999997</v>
      </c>
      <c r="N5" s="12">
        <v>279.53300000000002</v>
      </c>
      <c r="O5" s="12">
        <v>291.42099999999999</v>
      </c>
      <c r="P5" s="12">
        <v>304.38899999999995</v>
      </c>
      <c r="Q5" s="49">
        <v>304.38899999999995</v>
      </c>
      <c r="R5" s="12">
        <v>0</v>
      </c>
      <c r="S5" s="12">
        <v>0</v>
      </c>
      <c r="T5" s="12">
        <v>0</v>
      </c>
      <c r="U5" s="12">
        <v>0</v>
      </c>
      <c r="V5" s="13">
        <v>0</v>
      </c>
    </row>
    <row r="6" spans="2:26">
      <c r="B6" s="11" t="s">
        <v>11</v>
      </c>
      <c r="C6" s="12">
        <v>1418.7710500000001</v>
      </c>
      <c r="D6" s="12">
        <v>1487.7993333333332</v>
      </c>
      <c r="E6" s="12">
        <v>1513.0602500000002</v>
      </c>
      <c r="F6" s="12">
        <v>1555.7808500000001</v>
      </c>
      <c r="G6" s="49">
        <v>1497.7118852124181</v>
      </c>
      <c r="H6" s="50">
        <v>1165.403</v>
      </c>
      <c r="I6" s="50">
        <v>1215.0521999999999</v>
      </c>
      <c r="J6" s="50">
        <v>1226.0178000000001</v>
      </c>
      <c r="K6" s="50">
        <v>1253.7909999999999</v>
      </c>
      <c r="L6" s="49">
        <v>1216.7733888888888</v>
      </c>
      <c r="M6" s="12">
        <v>253.36805000000001</v>
      </c>
      <c r="N6" s="12">
        <v>272.74713333333335</v>
      </c>
      <c r="O6" s="12">
        <v>287.04244999999997</v>
      </c>
      <c r="P6" s="12">
        <v>301.98984999999999</v>
      </c>
      <c r="Q6" s="49">
        <v>280.93849632352936</v>
      </c>
      <c r="R6" s="12">
        <v>0</v>
      </c>
      <c r="S6" s="12">
        <v>0</v>
      </c>
      <c r="T6" s="12">
        <v>0</v>
      </c>
      <c r="U6" s="12">
        <v>0</v>
      </c>
      <c r="V6" s="13">
        <v>2.7427647058823532</v>
      </c>
    </row>
    <row r="7" spans="2:26">
      <c r="B7" s="11" t="s">
        <v>12</v>
      </c>
      <c r="C7" s="12">
        <v>112.480906</v>
      </c>
      <c r="D7" s="12">
        <v>120.87452700000001</v>
      </c>
      <c r="E7" s="12">
        <v>128.92689000000001</v>
      </c>
      <c r="F7" s="12">
        <v>140.175837</v>
      </c>
      <c r="G7" s="49">
        <v>499.45816000000002</v>
      </c>
      <c r="H7" s="50">
        <v>100.644707</v>
      </c>
      <c r="I7" s="50">
        <v>108.22248100000002</v>
      </c>
      <c r="J7" s="50">
        <v>111.78118200000002</v>
      </c>
      <c r="K7" s="50">
        <v>125.150901</v>
      </c>
      <c r="L7" s="49">
        <v>445.79927099999998</v>
      </c>
      <c r="M7" s="12">
        <v>11.836198999999999</v>
      </c>
      <c r="N7" s="12">
        <v>12.652046</v>
      </c>
      <c r="O7" s="12">
        <v>14.145707999999999</v>
      </c>
      <c r="P7" s="12">
        <v>15.024936</v>
      </c>
      <c r="Q7" s="49">
        <v>53.658889000000002</v>
      </c>
      <c r="R7" s="12">
        <v>0</v>
      </c>
      <c r="S7" s="12">
        <v>0</v>
      </c>
      <c r="T7" s="12">
        <v>0</v>
      </c>
      <c r="U7" s="12">
        <v>0</v>
      </c>
      <c r="V7" s="13">
        <v>0</v>
      </c>
    </row>
    <row r="8" spans="2:26">
      <c r="B8" s="15" t="s">
        <v>13</v>
      </c>
      <c r="C8" s="16">
        <v>1712.0707564470906</v>
      </c>
      <c r="D8" s="16">
        <v>2148.6893584874956</v>
      </c>
      <c r="E8" s="16">
        <v>2154.1686186486113</v>
      </c>
      <c r="F8" s="16">
        <v>2551.165231744943</v>
      </c>
      <c r="G8" s="51">
        <v>8566.0939653281403</v>
      </c>
      <c r="H8" s="52">
        <v>1540.06062638</v>
      </c>
      <c r="I8" s="52">
        <v>1928.0386562399999</v>
      </c>
      <c r="J8" s="52">
        <v>1903.5775996700004</v>
      </c>
      <c r="K8" s="52">
        <v>2257.7688331100007</v>
      </c>
      <c r="L8" s="51">
        <v>7629.4457154000011</v>
      </c>
      <c r="M8" s="16">
        <v>167.9055664489216</v>
      </c>
      <c r="N8" s="16">
        <v>216.18090952975831</v>
      </c>
      <c r="O8" s="16">
        <v>247.48390699194795</v>
      </c>
      <c r="P8" s="16">
        <v>287.52178096692541</v>
      </c>
      <c r="Q8" s="51">
        <v>919.09216393755332</v>
      </c>
      <c r="R8" s="16">
        <v>0</v>
      </c>
      <c r="S8" s="16">
        <v>0</v>
      </c>
      <c r="T8" s="16">
        <v>0</v>
      </c>
      <c r="U8" s="16">
        <v>0</v>
      </c>
      <c r="V8" s="17">
        <v>0</v>
      </c>
      <c r="W8" s="53"/>
      <c r="X8" s="53"/>
      <c r="Y8" s="53"/>
      <c r="Z8" s="18"/>
    </row>
    <row r="9" spans="2:26">
      <c r="B9" s="19" t="s">
        <v>14</v>
      </c>
      <c r="C9" s="20">
        <v>1275.8349478319724</v>
      </c>
      <c r="D9" s="20">
        <v>1608.2831056255172</v>
      </c>
      <c r="E9" s="20">
        <v>1586.5325357674883</v>
      </c>
      <c r="F9" s="20">
        <v>1875.0190407924483</v>
      </c>
      <c r="G9" s="54">
        <v>6345.6696300174262</v>
      </c>
      <c r="H9" s="55">
        <v>1140.21176311</v>
      </c>
      <c r="I9" s="55">
        <v>1434.2918172599998</v>
      </c>
      <c r="J9" s="55">
        <v>1391.7752075300004</v>
      </c>
      <c r="K9" s="55">
        <v>1644.9524097614001</v>
      </c>
      <c r="L9" s="54">
        <v>5611.2311976614001</v>
      </c>
      <c r="M9" s="20">
        <v>132.1912753255483</v>
      </c>
      <c r="N9" s="20">
        <v>170.25400345965383</v>
      </c>
      <c r="O9" s="20">
        <v>192.15941002155949</v>
      </c>
      <c r="P9" s="20">
        <v>225.15474332816538</v>
      </c>
      <c r="Q9" s="54">
        <v>719.75943213492712</v>
      </c>
      <c r="R9" s="20">
        <v>0</v>
      </c>
      <c r="S9" s="20">
        <v>0</v>
      </c>
      <c r="T9" s="20">
        <v>0</v>
      </c>
      <c r="U9" s="20">
        <v>0</v>
      </c>
      <c r="V9" s="21">
        <v>0</v>
      </c>
      <c r="W9" s="53"/>
      <c r="X9" s="53"/>
      <c r="Y9" s="53"/>
      <c r="Z9" s="18"/>
    </row>
    <row r="10" spans="2:26">
      <c r="B10" s="22" t="s">
        <v>15</v>
      </c>
      <c r="C10" s="23">
        <v>910.50349330276947</v>
      </c>
      <c r="D10" s="23">
        <v>1136.9716236654358</v>
      </c>
      <c r="E10" s="23">
        <v>1131.5234626240328</v>
      </c>
      <c r="F10" s="23">
        <v>1298.6257644256198</v>
      </c>
      <c r="G10" s="56">
        <v>4477.6243440178587</v>
      </c>
      <c r="H10" s="57">
        <v>820.10541652944289</v>
      </c>
      <c r="I10" s="57">
        <v>1016.8144331792389</v>
      </c>
      <c r="J10" s="57">
        <v>994.93043818831688</v>
      </c>
      <c r="K10" s="57">
        <v>1139.8719192816623</v>
      </c>
      <c r="L10" s="56">
        <v>3971.7222071786609</v>
      </c>
      <c r="M10" s="23">
        <v>87.856217721243624</v>
      </c>
      <c r="N10" s="23">
        <v>117.74090352081797</v>
      </c>
      <c r="O10" s="23">
        <v>134.74556726933554</v>
      </c>
      <c r="P10" s="23">
        <v>155.27133589075427</v>
      </c>
      <c r="Q10" s="56">
        <v>495.61402440215153</v>
      </c>
      <c r="R10" s="23">
        <v>0</v>
      </c>
      <c r="S10" s="23">
        <v>0</v>
      </c>
      <c r="T10" s="23">
        <v>0</v>
      </c>
      <c r="U10" s="23">
        <v>0</v>
      </c>
      <c r="V10" s="24">
        <v>0</v>
      </c>
      <c r="W10" s="53"/>
      <c r="X10" s="53"/>
      <c r="Y10" s="53"/>
      <c r="Z10" s="18"/>
    </row>
    <row r="11" spans="2:26">
      <c r="B11" s="25" t="s">
        <v>16</v>
      </c>
      <c r="C11" s="26">
        <v>-488.27039777053403</v>
      </c>
      <c r="D11" s="26">
        <v>-550.58603338021032</v>
      </c>
      <c r="E11" s="26">
        <v>-535.25730338739504</v>
      </c>
      <c r="F11" s="26">
        <v>-638.09129105835621</v>
      </c>
      <c r="G11" s="58">
        <v>-2212.2050255964955</v>
      </c>
      <c r="H11" s="59">
        <v>-412.95986612000002</v>
      </c>
      <c r="I11" s="59">
        <v>-453.07170738999991</v>
      </c>
      <c r="J11" s="59">
        <v>-435.55655261549998</v>
      </c>
      <c r="K11" s="59">
        <v>-533.69934812850011</v>
      </c>
      <c r="L11" s="58">
        <v>-1835.287474254</v>
      </c>
      <c r="M11" s="26">
        <v>-71.836018961515137</v>
      </c>
      <c r="N11" s="26">
        <v>-93.752907549645499</v>
      </c>
      <c r="O11" s="26">
        <v>-96.33814627861527</v>
      </c>
      <c r="P11" s="26">
        <v>-99.726015839972391</v>
      </c>
      <c r="Q11" s="58">
        <v>-361.65308862974831</v>
      </c>
      <c r="R11" s="26">
        <v>0</v>
      </c>
      <c r="S11" s="26">
        <v>0</v>
      </c>
      <c r="T11" s="26">
        <v>0</v>
      </c>
      <c r="U11" s="26">
        <v>0</v>
      </c>
      <c r="V11" s="27">
        <v>0</v>
      </c>
      <c r="W11" s="53"/>
      <c r="X11" s="53"/>
      <c r="Y11" s="53"/>
      <c r="Z11" s="18"/>
    </row>
    <row r="12" spans="2:26">
      <c r="B12" s="11" t="s">
        <v>17</v>
      </c>
      <c r="C12" s="12">
        <v>-164.975958753399</v>
      </c>
      <c r="D12" s="12">
        <v>-194.40926495567055</v>
      </c>
      <c r="E12" s="12">
        <v>-203.84505533313254</v>
      </c>
      <c r="F12" s="12">
        <v>-208.30804935440565</v>
      </c>
      <c r="G12" s="49">
        <v>-771.53832839660777</v>
      </c>
      <c r="H12" s="50">
        <v>-140.11270024258883</v>
      </c>
      <c r="I12" s="50">
        <v>-164.42146568902257</v>
      </c>
      <c r="J12" s="50">
        <v>-170.94035618147518</v>
      </c>
      <c r="K12" s="50">
        <v>-168.99044540219882</v>
      </c>
      <c r="L12" s="49">
        <v>-644.46496751528537</v>
      </c>
      <c r="M12" s="12">
        <v>-24.77725191303734</v>
      </c>
      <c r="N12" s="12">
        <v>-29.832986300793372</v>
      </c>
      <c r="O12" s="12">
        <v>-32.634344464345787</v>
      </c>
      <c r="P12" s="12">
        <v>-36.320645428228971</v>
      </c>
      <c r="Q12" s="49">
        <v>-123.56522810640547</v>
      </c>
      <c r="R12" s="12">
        <v>0</v>
      </c>
      <c r="S12" s="12">
        <v>0</v>
      </c>
      <c r="T12" s="12">
        <v>0</v>
      </c>
      <c r="U12" s="12">
        <v>0</v>
      </c>
      <c r="V12" s="13">
        <v>0</v>
      </c>
      <c r="W12" s="53"/>
      <c r="X12" s="53"/>
      <c r="Y12" s="53"/>
      <c r="Z12" s="18"/>
    </row>
    <row r="13" spans="2:26">
      <c r="B13" s="11" t="s">
        <v>18</v>
      </c>
      <c r="C13" s="12">
        <v>-12.568449711186002</v>
      </c>
      <c r="D13" s="12">
        <v>-29.040665091185993</v>
      </c>
      <c r="E13" s="12">
        <v>-28.106120811186003</v>
      </c>
      <c r="F13" s="12">
        <v>-21.083202321186015</v>
      </c>
      <c r="G13" s="49">
        <v>-90.798437934744015</v>
      </c>
      <c r="H13" s="50">
        <v>-8.4594951600000012</v>
      </c>
      <c r="I13" s="50">
        <v>-24.93171053999999</v>
      </c>
      <c r="J13" s="50">
        <v>-23.99716626</v>
      </c>
      <c r="K13" s="50">
        <v>-16.974247770000012</v>
      </c>
      <c r="L13" s="49">
        <v>-74.362619730000006</v>
      </c>
      <c r="M13" s="12">
        <v>-2.5421651983459999</v>
      </c>
      <c r="N13" s="12">
        <v>-2.5421651983459999</v>
      </c>
      <c r="O13" s="12">
        <v>-2.5421651983459999</v>
      </c>
      <c r="P13" s="12">
        <v>-5.3785326041060006</v>
      </c>
      <c r="Q13" s="49">
        <v>-13.005028199144</v>
      </c>
      <c r="R13" s="12">
        <v>0</v>
      </c>
      <c r="S13" s="12">
        <v>0</v>
      </c>
      <c r="T13" s="12">
        <v>0</v>
      </c>
      <c r="U13" s="12">
        <v>0</v>
      </c>
      <c r="V13" s="13">
        <v>0</v>
      </c>
      <c r="W13" s="53"/>
      <c r="X13" s="53"/>
      <c r="Y13" s="53"/>
      <c r="Z13" s="18"/>
    </row>
    <row r="14" spans="2:26">
      <c r="B14" s="60" t="s">
        <v>19</v>
      </c>
      <c r="C14" s="61">
        <v>-3.9780000000000002</v>
      </c>
      <c r="D14" s="61">
        <v>-6.3500358600000002</v>
      </c>
      <c r="E14" s="61">
        <v>-5.22652714</v>
      </c>
      <c r="F14" s="61">
        <v>-5.1848539999999996</v>
      </c>
      <c r="G14" s="62">
        <v>-20.739417</v>
      </c>
      <c r="H14" s="63">
        <v>-3.9780000000000002</v>
      </c>
      <c r="I14" s="63">
        <v>-6.3500358600000002</v>
      </c>
      <c r="J14" s="63">
        <v>-5.22652714</v>
      </c>
      <c r="K14" s="63">
        <v>-5.1848539999999996</v>
      </c>
      <c r="L14" s="62">
        <v>-20.739417</v>
      </c>
      <c r="M14" s="12">
        <v>0</v>
      </c>
      <c r="N14" s="12">
        <v>0</v>
      </c>
      <c r="O14" s="12">
        <v>0</v>
      </c>
      <c r="P14" s="12">
        <v>0</v>
      </c>
      <c r="Q14" s="62">
        <v>0</v>
      </c>
      <c r="R14" s="12">
        <v>0</v>
      </c>
      <c r="S14" s="12">
        <v>0</v>
      </c>
      <c r="T14" s="12">
        <v>0</v>
      </c>
      <c r="U14" s="12">
        <v>0</v>
      </c>
      <c r="V14" s="64">
        <v>0</v>
      </c>
      <c r="W14" s="53"/>
      <c r="X14" s="53"/>
      <c r="Y14" s="53"/>
      <c r="Z14" s="18"/>
    </row>
    <row r="15" spans="2:26">
      <c r="B15" s="11" t="s">
        <v>20</v>
      </c>
      <c r="C15" s="12">
        <v>-2.0620274285139111</v>
      </c>
      <c r="D15" s="12">
        <v>0.42265731074528368</v>
      </c>
      <c r="E15" s="12">
        <v>-9.4938803661491633</v>
      </c>
      <c r="F15" s="12">
        <v>-0.50348582384113305</v>
      </c>
      <c r="G15" s="49">
        <v>-11.636736307758925</v>
      </c>
      <c r="H15" s="50">
        <v>-1.2861845989206007</v>
      </c>
      <c r="I15" s="50">
        <v>1.1583100168194367</v>
      </c>
      <c r="J15" s="50">
        <v>-8.5175542100000037</v>
      </c>
      <c r="K15" s="50">
        <v>2.7464708094978016</v>
      </c>
      <c r="L15" s="49">
        <v>-5.898957982603366</v>
      </c>
      <c r="M15" s="12">
        <v>-0.77584282959331052</v>
      </c>
      <c r="N15" s="12">
        <v>-0.731652706074153</v>
      </c>
      <c r="O15" s="12">
        <v>-0.77664499811563181</v>
      </c>
      <c r="P15" s="12">
        <v>-2.2626764073564347</v>
      </c>
      <c r="Q15" s="49">
        <v>-4.5468169411395305</v>
      </c>
      <c r="R15" s="12">
        <v>0</v>
      </c>
      <c r="S15" s="12">
        <v>0</v>
      </c>
      <c r="T15" s="12">
        <v>0</v>
      </c>
      <c r="U15" s="12">
        <v>0</v>
      </c>
      <c r="V15" s="13">
        <v>0</v>
      </c>
      <c r="W15" s="53"/>
      <c r="X15" s="53"/>
      <c r="Y15" s="53"/>
      <c r="Z15" s="18"/>
    </row>
    <row r="16" spans="2:26">
      <c r="B16" s="28" t="s">
        <v>21</v>
      </c>
      <c r="C16" s="29">
        <v>-15.21582870534241</v>
      </c>
      <c r="D16" s="29">
        <v>-39.759812669216252</v>
      </c>
      <c r="E16" s="29">
        <v>0.42453376489202399</v>
      </c>
      <c r="F16" s="29">
        <v>-17.797013528051512</v>
      </c>
      <c r="G16" s="65">
        <v>-72.348121137718152</v>
      </c>
      <c r="H16" s="66">
        <v>-16.405592636879998</v>
      </c>
      <c r="I16" s="66">
        <v>-40.824181627393202</v>
      </c>
      <c r="J16" s="66">
        <v>-0.91572748999998055</v>
      </c>
      <c r="K16" s="66">
        <v>-11.672277170000044</v>
      </c>
      <c r="L16" s="65">
        <v>-69.817778924273227</v>
      </c>
      <c r="M16" s="29">
        <v>1.1897639315375863</v>
      </c>
      <c r="N16" s="29">
        <v>1.0643689581769475</v>
      </c>
      <c r="O16" s="29">
        <v>1.3402612548920045</v>
      </c>
      <c r="P16" s="29">
        <v>-6.124736358051468</v>
      </c>
      <c r="Q16" s="65">
        <v>-2.5303422134449294</v>
      </c>
      <c r="R16" s="29">
        <v>0</v>
      </c>
      <c r="S16" s="29">
        <v>0</v>
      </c>
      <c r="T16" s="29">
        <v>0</v>
      </c>
      <c r="U16" s="29">
        <v>0</v>
      </c>
      <c r="V16" s="30">
        <v>0</v>
      </c>
      <c r="W16" s="53"/>
      <c r="X16" s="53"/>
      <c r="Y16" s="53"/>
      <c r="Z16" s="18"/>
    </row>
    <row r="17" spans="2:26">
      <c r="B17" s="25" t="s">
        <v>22</v>
      </c>
      <c r="C17" s="26">
        <v>-71.945371563901759</v>
      </c>
      <c r="D17" s="26">
        <v>-102.15725789567458</v>
      </c>
      <c r="E17" s="26">
        <v>-112.69908425790568</v>
      </c>
      <c r="F17" s="26">
        <v>-137.17350173525296</v>
      </c>
      <c r="G17" s="58">
        <v>-423.97521545273497</v>
      </c>
      <c r="H17" s="59">
        <v>-71.768532009110174</v>
      </c>
      <c r="I17" s="59">
        <v>-101.44609484</v>
      </c>
      <c r="J17" s="59">
        <v>-108.83035002088982</v>
      </c>
      <c r="K17" s="59">
        <v>-129.16975785000002</v>
      </c>
      <c r="L17" s="58">
        <v>-411.21473472000002</v>
      </c>
      <c r="M17" s="26">
        <v>-0.17683955479159125</v>
      </c>
      <c r="N17" s="26">
        <v>-0.71116305567457228</v>
      </c>
      <c r="O17" s="26">
        <v>-3.8687342370158611</v>
      </c>
      <c r="P17" s="26">
        <v>-8.0037438852529519</v>
      </c>
      <c r="Q17" s="58">
        <v>-12.760480732734976</v>
      </c>
      <c r="R17" s="26">
        <v>0</v>
      </c>
      <c r="S17" s="26">
        <v>0</v>
      </c>
      <c r="T17" s="26">
        <v>0</v>
      </c>
      <c r="U17" s="26">
        <v>0</v>
      </c>
      <c r="V17" s="27">
        <v>0</v>
      </c>
      <c r="W17" s="53"/>
      <c r="X17" s="53"/>
      <c r="Y17" s="53"/>
      <c r="Z17" s="18"/>
    </row>
    <row r="18" spans="2:26">
      <c r="B18" s="11" t="s">
        <v>23</v>
      </c>
      <c r="C18" s="12">
        <v>0</v>
      </c>
      <c r="D18" s="12">
        <v>0</v>
      </c>
      <c r="E18" s="12">
        <v>0</v>
      </c>
      <c r="F18" s="12">
        <v>0</v>
      </c>
      <c r="G18" s="49">
        <v>0</v>
      </c>
      <c r="H18" s="50">
        <v>0</v>
      </c>
      <c r="I18" s="50">
        <v>0</v>
      </c>
      <c r="J18" s="50">
        <v>0</v>
      </c>
      <c r="K18" s="50">
        <v>0</v>
      </c>
      <c r="L18" s="49">
        <v>0</v>
      </c>
      <c r="M18" s="12">
        <v>0</v>
      </c>
      <c r="N18" s="12">
        <v>0</v>
      </c>
      <c r="O18" s="12">
        <v>0</v>
      </c>
      <c r="P18" s="12">
        <v>0</v>
      </c>
      <c r="Q18" s="49">
        <v>0</v>
      </c>
      <c r="R18" s="12">
        <v>0</v>
      </c>
      <c r="S18" s="12">
        <v>0</v>
      </c>
      <c r="T18" s="12">
        <v>0</v>
      </c>
      <c r="U18" s="12">
        <v>0</v>
      </c>
      <c r="V18" s="13">
        <v>0</v>
      </c>
      <c r="W18" s="53"/>
      <c r="X18" s="53"/>
      <c r="Y18" s="53"/>
      <c r="Z18" s="18"/>
    </row>
    <row r="19" spans="2:26">
      <c r="B19" s="22" t="s">
        <v>24</v>
      </c>
      <c r="C19" s="23">
        <v>151.48745936989241</v>
      </c>
      <c r="D19" s="23">
        <v>215.09121112422329</v>
      </c>
      <c r="E19" s="23">
        <v>237.32402509315591</v>
      </c>
      <c r="F19" s="23">
        <v>270.48436660452626</v>
      </c>
      <c r="G19" s="56">
        <v>874.3870621917988</v>
      </c>
      <c r="H19" s="57">
        <v>165.13504576194333</v>
      </c>
      <c r="I19" s="57">
        <v>226.9275472496426</v>
      </c>
      <c r="J19" s="57">
        <v>240.94620427045194</v>
      </c>
      <c r="K19" s="57">
        <v>276.92745977046116</v>
      </c>
      <c r="L19" s="56">
        <v>909.93625705249929</v>
      </c>
      <c r="M19" s="23">
        <v>-11.062136804502179</v>
      </c>
      <c r="N19" s="23">
        <v>-8.7656023315386928</v>
      </c>
      <c r="O19" s="23">
        <v>-7.4206652211001867E-2</v>
      </c>
      <c r="P19" s="23">
        <v>-2.5450146322139453</v>
      </c>
      <c r="Q19" s="56">
        <v>-22.446960420465704</v>
      </c>
      <c r="R19" s="23">
        <v>0</v>
      </c>
      <c r="S19" s="23">
        <v>0</v>
      </c>
      <c r="T19" s="23">
        <v>0</v>
      </c>
      <c r="U19" s="23">
        <v>0</v>
      </c>
      <c r="V19" s="24">
        <v>0</v>
      </c>
      <c r="W19" s="53"/>
      <c r="X19" s="53"/>
      <c r="Y19" s="53"/>
      <c r="Z19" s="18"/>
    </row>
    <row r="20" spans="2:26">
      <c r="B20" s="19" t="s">
        <v>25</v>
      </c>
      <c r="C20" s="20">
        <v>272.13898035472204</v>
      </c>
      <c r="D20" s="20">
        <v>391.59582442202304</v>
      </c>
      <c r="E20" s="20">
        <v>385.01156753968644</v>
      </c>
      <c r="F20" s="20">
        <v>463.14165938966443</v>
      </c>
      <c r="G20" s="67">
        <v>1511.8880317060969</v>
      </c>
      <c r="H20" s="55">
        <v>284.84522439584742</v>
      </c>
      <c r="I20" s="55">
        <v>401.91649075358896</v>
      </c>
      <c r="J20" s="55">
        <v>383.82785436006736</v>
      </c>
      <c r="K20" s="55">
        <v>453.13686061336631</v>
      </c>
      <c r="L20" s="67">
        <v>1523.7264301228704</v>
      </c>
      <c r="M20" s="20">
        <v>-10.209808753784902</v>
      </c>
      <c r="N20" s="20">
        <v>-7.3451731958232953</v>
      </c>
      <c r="O20" s="20">
        <v>4.6107451110645989</v>
      </c>
      <c r="P20" s="20">
        <v>13.774669964878164</v>
      </c>
      <c r="Q20" s="67">
        <v>0.83043312633468247</v>
      </c>
      <c r="R20" s="20">
        <v>0</v>
      </c>
      <c r="S20" s="20">
        <v>0</v>
      </c>
      <c r="T20" s="20">
        <v>0</v>
      </c>
      <c r="U20" s="20">
        <v>0</v>
      </c>
      <c r="V20" s="31">
        <v>0</v>
      </c>
      <c r="W20" s="53"/>
      <c r="X20" s="53"/>
      <c r="Y20" s="53"/>
      <c r="Z20" s="18"/>
    </row>
    <row r="21" spans="2:26">
      <c r="B21" s="32"/>
      <c r="C21" s="33"/>
      <c r="D21" s="34"/>
      <c r="E21" s="34"/>
      <c r="F21" s="7"/>
      <c r="G21" s="6"/>
      <c r="H21" s="33"/>
      <c r="I21" s="34"/>
      <c r="J21" s="34"/>
      <c r="K21" s="7"/>
      <c r="L21" s="6"/>
      <c r="M21" s="33"/>
      <c r="N21" s="34"/>
      <c r="O21" s="34"/>
      <c r="P21" s="7"/>
      <c r="Q21" s="6"/>
      <c r="R21" s="33"/>
      <c r="S21" s="34"/>
      <c r="T21" s="34"/>
      <c r="U21" s="7"/>
      <c r="V21" s="33"/>
    </row>
    <row r="22" spans="2:26">
      <c r="B22" s="8"/>
      <c r="C22" s="9"/>
      <c r="D22" s="10"/>
      <c r="E22" s="10"/>
      <c r="F22" s="35"/>
      <c r="G22" s="8"/>
      <c r="H22" s="9"/>
      <c r="I22" s="10"/>
      <c r="J22" s="10"/>
      <c r="K22" s="35"/>
      <c r="L22" s="8"/>
      <c r="M22" s="9"/>
      <c r="N22" s="10"/>
      <c r="O22" s="10"/>
      <c r="P22" s="35"/>
      <c r="Q22" s="8"/>
      <c r="R22" s="9"/>
      <c r="S22" s="10"/>
      <c r="T22" s="10"/>
      <c r="U22" s="35"/>
      <c r="V22" s="9"/>
    </row>
    <row r="23" spans="2:26">
      <c r="B23" s="36" t="s">
        <v>26</v>
      </c>
      <c r="C23" s="37">
        <v>0.71365304332663793</v>
      </c>
      <c r="D23" s="37">
        <v>0.70694743959473971</v>
      </c>
      <c r="E23" s="37">
        <v>0.71320533119521312</v>
      </c>
      <c r="F23" s="37">
        <v>0.6925933743460948</v>
      </c>
      <c r="G23" s="37">
        <v>0.70561888738061551</v>
      </c>
      <c r="H23" s="37">
        <v>0.71925710912905627</v>
      </c>
      <c r="I23" s="37">
        <v>0.70893134921574807</v>
      </c>
      <c r="J23" s="37">
        <v>0.71486432062116656</v>
      </c>
      <c r="K23" s="37">
        <v>0.69295130516693815</v>
      </c>
      <c r="L23" s="37">
        <v>0.707816532106886</v>
      </c>
      <c r="M23" s="37">
        <v>0.66461434391096952</v>
      </c>
      <c r="N23" s="37">
        <v>0.6915602636546504</v>
      </c>
      <c r="O23" s="37">
        <v>0.70121763620224287</v>
      </c>
      <c r="P23" s="37">
        <v>0.68962054094700853</v>
      </c>
      <c r="Q23" s="37">
        <v>0.68858288238346144</v>
      </c>
      <c r="R23" s="37">
        <v>0</v>
      </c>
      <c r="S23" s="37">
        <v>0</v>
      </c>
      <c r="T23" s="37">
        <v>0</v>
      </c>
      <c r="U23" s="37">
        <v>0</v>
      </c>
      <c r="V23" s="37">
        <v>0</v>
      </c>
    </row>
    <row r="24" spans="2:26">
      <c r="B24" s="36" t="s">
        <v>27</v>
      </c>
      <c r="C24" s="37">
        <v>0.38270655510750229</v>
      </c>
      <c r="D24" s="37">
        <v>0.34234397629021185</v>
      </c>
      <c r="E24" s="37">
        <v>0.33737556042521577</v>
      </c>
      <c r="F24" s="37">
        <v>0.34031189933339379</v>
      </c>
      <c r="G24" s="37">
        <v>0.34861648251146354</v>
      </c>
      <c r="H24" s="37">
        <v>0.36217821941568623</v>
      </c>
      <c r="I24" s="37">
        <v>0.31588530446720786</v>
      </c>
      <c r="J24" s="37">
        <v>0.31295036027296913</v>
      </c>
      <c r="K24" s="37">
        <v>0.32444668001423399</v>
      </c>
      <c r="L24" s="37">
        <v>0.32707393611207736</v>
      </c>
      <c r="M24" s="37">
        <v>0.54342481214894178</v>
      </c>
      <c r="N24" s="37">
        <v>0.55066492208427109</v>
      </c>
      <c r="O24" s="37">
        <v>0.5013449316263332</v>
      </c>
      <c r="P24" s="37">
        <v>0.44292211821014443</v>
      </c>
      <c r="Q24" s="37">
        <v>0.50246384067107619</v>
      </c>
      <c r="R24" s="37">
        <v>0</v>
      </c>
      <c r="S24" s="37">
        <v>0</v>
      </c>
      <c r="T24" s="37">
        <v>0</v>
      </c>
      <c r="U24" s="37">
        <v>0</v>
      </c>
      <c r="V24" s="37">
        <v>0</v>
      </c>
    </row>
    <row r="25" spans="2:26">
      <c r="B25" s="36" t="s">
        <v>28</v>
      </c>
      <c r="C25" s="37">
        <v>0.1293082299036743</v>
      </c>
      <c r="D25" s="37">
        <v>0.12088000195715419</v>
      </c>
      <c r="E25" s="37">
        <v>0.12848463598291232</v>
      </c>
      <c r="F25" s="37">
        <v>0.11109649812748965</v>
      </c>
      <c r="G25" s="37">
        <v>0.12158501362045994</v>
      </c>
      <c r="H25" s="37">
        <v>0.12288305100486119</v>
      </c>
      <c r="I25" s="37">
        <v>0.11463599227884129</v>
      </c>
      <c r="J25" s="37">
        <v>0.12282181436817301</v>
      </c>
      <c r="K25" s="37">
        <v>0.10273272612592534</v>
      </c>
      <c r="L25" s="37">
        <v>0.11485268469848112</v>
      </c>
      <c r="M25" s="37">
        <v>0.18743485038644375</v>
      </c>
      <c r="N25" s="37">
        <v>0.17522634237416382</v>
      </c>
      <c r="O25" s="37">
        <v>0.16982954132032538</v>
      </c>
      <c r="P25" s="37">
        <v>0.16131414728976529</v>
      </c>
      <c r="Q25" s="37">
        <v>0.17167573301525246</v>
      </c>
      <c r="R25" s="37">
        <v>0</v>
      </c>
      <c r="S25" s="37">
        <v>0</v>
      </c>
      <c r="T25" s="37">
        <v>0</v>
      </c>
      <c r="U25" s="37">
        <v>0</v>
      </c>
      <c r="V25" s="37">
        <v>0</v>
      </c>
    </row>
    <row r="26" spans="2:26">
      <c r="B26" s="36" t="s">
        <v>29</v>
      </c>
      <c r="C26" s="37">
        <v>0.11873593808299043</v>
      </c>
      <c r="D26" s="37">
        <v>0.13373964470053104</v>
      </c>
      <c r="E26" s="37">
        <v>0.14958661089061748</v>
      </c>
      <c r="F26" s="37">
        <v>0.14425686391441131</v>
      </c>
      <c r="G26" s="37">
        <v>0.13779271742348767</v>
      </c>
      <c r="H26" s="37">
        <v>0.14482840039426273</v>
      </c>
      <c r="I26" s="37">
        <v>0.1582157441873675</v>
      </c>
      <c r="J26" s="37">
        <v>0.17312149474056371</v>
      </c>
      <c r="K26" s="37">
        <v>0.16834983074715784</v>
      </c>
      <c r="L26" s="37">
        <v>0.16216338714251063</v>
      </c>
      <c r="M26" s="37">
        <v>-8.3682805671247085E-2</v>
      </c>
      <c r="N26" s="37">
        <v>-5.1485440303410741E-2</v>
      </c>
      <c r="O26" s="37">
        <v>-3.8617235660057546E-4</v>
      </c>
      <c r="P26" s="37">
        <v>-1.1303402249467869E-2</v>
      </c>
      <c r="Q26" s="37">
        <v>-3.118675409905259E-2</v>
      </c>
      <c r="R26" s="37">
        <v>0</v>
      </c>
      <c r="S26" s="37">
        <v>0</v>
      </c>
      <c r="T26" s="37">
        <v>0</v>
      </c>
      <c r="U26" s="37">
        <v>0</v>
      </c>
      <c r="V26" s="37">
        <v>0</v>
      </c>
    </row>
    <row r="27" spans="2:26">
      <c r="B27" s="36" t="s">
        <v>30</v>
      </c>
      <c r="C27" s="37">
        <v>0.21330265393432599</v>
      </c>
      <c r="D27" s="37">
        <v>0.24348687308365266</v>
      </c>
      <c r="E27" s="37">
        <v>0.24267486412022199</v>
      </c>
      <c r="F27" s="37">
        <v>0.24700637663600719</v>
      </c>
      <c r="G27" s="37">
        <v>0.23825508100111178</v>
      </c>
      <c r="H27" s="37">
        <v>0.24981782648769907</v>
      </c>
      <c r="I27" s="37">
        <v>0.28021946853283342</v>
      </c>
      <c r="J27" s="37">
        <v>0.27578293698825912</v>
      </c>
      <c r="K27" s="37">
        <v>0.27547110659517116</v>
      </c>
      <c r="L27" s="37">
        <v>0.27154939378686016</v>
      </c>
      <c r="M27" s="37">
        <v>-7.7235118041195538E-2</v>
      </c>
      <c r="N27" s="37">
        <v>-4.3142440392386586E-2</v>
      </c>
      <c r="O27" s="37">
        <v>2.399437587025945E-2</v>
      </c>
      <c r="P27" s="37">
        <v>6.1178679877072095E-2</v>
      </c>
      <c r="Q27" s="37">
        <v>1.1537648403876816E-3</v>
      </c>
      <c r="R27" s="37">
        <v>0</v>
      </c>
      <c r="S27" s="37">
        <v>0</v>
      </c>
      <c r="T27" s="37">
        <v>0</v>
      </c>
      <c r="U27" s="37">
        <v>0</v>
      </c>
      <c r="V27" s="37">
        <v>0</v>
      </c>
    </row>
    <row r="28" spans="2:26">
      <c r="B28" s="32"/>
      <c r="C28" s="33"/>
      <c r="D28" s="34"/>
      <c r="E28" s="34"/>
      <c r="F28" s="7"/>
      <c r="G28" s="6"/>
      <c r="H28" s="33"/>
      <c r="I28" s="34"/>
      <c r="J28" s="34"/>
      <c r="K28" s="7"/>
      <c r="L28" s="6"/>
      <c r="M28" s="33"/>
      <c r="N28" s="34"/>
      <c r="O28" s="34"/>
      <c r="P28" s="7"/>
      <c r="Q28" s="6"/>
      <c r="R28" s="33"/>
      <c r="S28" s="34"/>
      <c r="T28" s="34"/>
      <c r="U28" s="7"/>
      <c r="V28" s="33"/>
    </row>
    <row r="29" spans="2:26">
      <c r="B29" s="1" t="s">
        <v>31</v>
      </c>
      <c r="C29" s="38"/>
    </row>
    <row r="32" spans="2:26">
      <c r="C32" s="18"/>
      <c r="D32" s="18"/>
      <c r="E32" s="18"/>
      <c r="F32" s="18"/>
      <c r="G32" s="18"/>
      <c r="H32" s="18"/>
      <c r="I32" s="18"/>
      <c r="J32" s="18"/>
      <c r="K32" s="18"/>
      <c r="L32" s="18"/>
      <c r="M32" s="18"/>
      <c r="N32" s="18"/>
      <c r="O32" s="18"/>
      <c r="P32" s="18"/>
      <c r="Q32" s="18"/>
      <c r="R32" s="18"/>
      <c r="S32" s="18"/>
      <c r="T32" s="18"/>
      <c r="U32" s="18"/>
      <c r="V32" s="18"/>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Z32"/>
  <sheetViews>
    <sheetView workbookViewId="0"/>
  </sheetViews>
  <sheetFormatPr defaultColWidth="9.140625" defaultRowHeight="12.75"/>
  <cols>
    <col min="1" max="1" width="4.5703125" style="1" customWidth="1"/>
    <col min="2" max="2" width="44.28515625" style="1" customWidth="1"/>
    <col min="3" max="22" width="8.5703125" style="1" customWidth="1"/>
    <col min="23" max="16384" width="9.140625" style="1"/>
  </cols>
  <sheetData>
    <row r="2" spans="2:26" ht="20.25">
      <c r="B2" s="2">
        <v>2013</v>
      </c>
      <c r="C2" s="3"/>
      <c r="D2" s="3"/>
      <c r="E2" s="3"/>
      <c r="F2" s="46"/>
      <c r="G2" s="47"/>
      <c r="H2" s="4" t="s">
        <v>0</v>
      </c>
      <c r="I2" s="4"/>
      <c r="J2" s="4"/>
      <c r="K2" s="4"/>
      <c r="L2" s="4"/>
      <c r="M2" s="4"/>
      <c r="N2" s="4"/>
      <c r="O2" s="4"/>
      <c r="P2" s="4"/>
      <c r="Q2" s="4"/>
      <c r="R2" s="4"/>
      <c r="S2" s="4"/>
      <c r="T2" s="4"/>
      <c r="U2" s="4"/>
      <c r="V2" s="48"/>
    </row>
    <row r="3" spans="2:26">
      <c r="B3" s="5" t="s">
        <v>1</v>
      </c>
      <c r="C3" s="6" t="s">
        <v>2</v>
      </c>
      <c r="D3" s="6"/>
      <c r="E3" s="6"/>
      <c r="F3" s="6"/>
      <c r="G3" s="6"/>
      <c r="H3" s="6" t="s">
        <v>3</v>
      </c>
      <c r="I3" s="6"/>
      <c r="J3" s="6"/>
      <c r="K3" s="6"/>
      <c r="L3" s="6"/>
      <c r="M3" s="6" t="s">
        <v>4</v>
      </c>
      <c r="N3" s="6"/>
      <c r="O3" s="6"/>
      <c r="P3" s="6"/>
      <c r="Q3" s="6"/>
      <c r="R3" s="6" t="s">
        <v>5</v>
      </c>
      <c r="S3" s="6"/>
      <c r="T3" s="6"/>
      <c r="U3" s="6"/>
      <c r="V3" s="33"/>
    </row>
    <row r="4" spans="2:26">
      <c r="B4" s="8"/>
      <c r="C4" s="9" t="s">
        <v>6</v>
      </c>
      <c r="D4" s="10" t="s">
        <v>7</v>
      </c>
      <c r="E4" s="10" t="s">
        <v>8</v>
      </c>
      <c r="F4" s="10" t="s">
        <v>9</v>
      </c>
      <c r="G4" s="8">
        <v>2016</v>
      </c>
      <c r="H4" s="9" t="s">
        <v>6</v>
      </c>
      <c r="I4" s="10" t="s">
        <v>7</v>
      </c>
      <c r="J4" s="10" t="s">
        <v>8</v>
      </c>
      <c r="K4" s="10" t="s">
        <v>9</v>
      </c>
      <c r="L4" s="8">
        <v>2016</v>
      </c>
      <c r="M4" s="9" t="s">
        <v>6</v>
      </c>
      <c r="N4" s="10" t="s">
        <v>7</v>
      </c>
      <c r="O4" s="10" t="s">
        <v>8</v>
      </c>
      <c r="P4" s="10" t="s">
        <v>9</v>
      </c>
      <c r="Q4" s="8">
        <v>2016</v>
      </c>
      <c r="R4" s="9" t="s">
        <v>6</v>
      </c>
      <c r="S4" s="10" t="s">
        <v>7</v>
      </c>
      <c r="T4" s="10" t="s">
        <v>8</v>
      </c>
      <c r="U4" s="10" t="s">
        <v>9</v>
      </c>
      <c r="V4" s="9">
        <v>2016</v>
      </c>
    </row>
    <row r="5" spans="2:26">
      <c r="B5" s="11" t="s">
        <v>10</v>
      </c>
      <c r="C5" s="12">
        <v>1556.835</v>
      </c>
      <c r="D5" s="12">
        <v>1574.7909999999999</v>
      </c>
      <c r="E5" s="12">
        <v>1604.078</v>
      </c>
      <c r="F5" s="12">
        <v>1656.4830000000002</v>
      </c>
      <c r="G5" s="49">
        <v>1656.4830000000002</v>
      </c>
      <c r="H5" s="50">
        <v>1257.566</v>
      </c>
      <c r="I5" s="50">
        <v>1248.8869999999999</v>
      </c>
      <c r="J5" s="50">
        <v>1257.722</v>
      </c>
      <c r="K5" s="50">
        <v>1289.93</v>
      </c>
      <c r="L5" s="49">
        <v>1289.93</v>
      </c>
      <c r="M5" s="12">
        <v>299.26900000000001</v>
      </c>
      <c r="N5" s="12">
        <v>325.904</v>
      </c>
      <c r="O5" s="12">
        <v>346.35599999999999</v>
      </c>
      <c r="P5" s="12">
        <v>366.55300000000005</v>
      </c>
      <c r="Q5" s="49">
        <v>366.55300000000005</v>
      </c>
      <c r="R5" s="12">
        <v>0</v>
      </c>
      <c r="S5" s="12">
        <v>0</v>
      </c>
      <c r="T5" s="12">
        <v>0</v>
      </c>
      <c r="U5" s="12">
        <v>0</v>
      </c>
      <c r="V5" s="13">
        <v>0</v>
      </c>
    </row>
    <row r="6" spans="2:26">
      <c r="B6" s="11" t="s">
        <v>11</v>
      </c>
      <c r="C6" s="12">
        <v>1557.1759166666666</v>
      </c>
      <c r="D6" s="12">
        <v>1571.1140499999999</v>
      </c>
      <c r="E6" s="12">
        <v>1596.7398000000003</v>
      </c>
      <c r="F6" s="12">
        <v>1642.8992333333333</v>
      </c>
      <c r="G6" s="49">
        <v>1596.1532144822841</v>
      </c>
      <c r="H6" s="50">
        <v>1256.2262499999999</v>
      </c>
      <c r="I6" s="50">
        <v>1256.337</v>
      </c>
      <c r="J6" s="50">
        <v>1256.3708000000001</v>
      </c>
      <c r="K6" s="50">
        <v>1283.1928333333333</v>
      </c>
      <c r="L6" s="49">
        <v>1264.8023157894736</v>
      </c>
      <c r="M6" s="12">
        <v>300.94966666666664</v>
      </c>
      <c r="N6" s="12">
        <v>314.77705000000003</v>
      </c>
      <c r="O6" s="12">
        <v>340.36899999999997</v>
      </c>
      <c r="P6" s="12">
        <v>359.70640000000003</v>
      </c>
      <c r="Q6" s="49">
        <v>331.35089869281046</v>
      </c>
      <c r="R6" s="12">
        <v>0</v>
      </c>
      <c r="S6" s="12">
        <v>0</v>
      </c>
      <c r="T6" s="12">
        <v>0</v>
      </c>
      <c r="U6" s="12">
        <v>0</v>
      </c>
      <c r="V6" s="13">
        <v>0</v>
      </c>
    </row>
    <row r="7" spans="2:26">
      <c r="B7" s="11" t="s">
        <v>12</v>
      </c>
      <c r="C7" s="12">
        <v>111.59892199999999</v>
      </c>
      <c r="D7" s="12">
        <v>128.312308</v>
      </c>
      <c r="E7" s="12">
        <v>146.38114199999998</v>
      </c>
      <c r="F7" s="12">
        <v>170.03847823069236</v>
      </c>
      <c r="G7" s="49">
        <v>556.33085023069236</v>
      </c>
      <c r="H7" s="50">
        <v>98.207472999999993</v>
      </c>
      <c r="I7" s="50">
        <v>111.382302</v>
      </c>
      <c r="J7" s="50">
        <v>126.24715499999999</v>
      </c>
      <c r="K7" s="50">
        <v>144.05990499999996</v>
      </c>
      <c r="L7" s="49">
        <v>479.8968349999999</v>
      </c>
      <c r="M7" s="12">
        <v>13.391449000000001</v>
      </c>
      <c r="N7" s="12">
        <v>16.930006000000002</v>
      </c>
      <c r="O7" s="12">
        <v>20.133987000000001</v>
      </c>
      <c r="P7" s="12">
        <v>25.97857323069243</v>
      </c>
      <c r="Q7" s="49">
        <v>76.434015230692438</v>
      </c>
      <c r="R7" s="12">
        <v>0</v>
      </c>
      <c r="S7" s="12">
        <v>0</v>
      </c>
      <c r="T7" s="12">
        <v>0</v>
      </c>
      <c r="U7" s="12">
        <v>2.0268502306924279</v>
      </c>
      <c r="V7" s="13">
        <v>2.0268502306924279</v>
      </c>
    </row>
    <row r="8" spans="2:26">
      <c r="B8" s="15" t="s">
        <v>13</v>
      </c>
      <c r="C8" s="16">
        <v>1832.3544614249524</v>
      </c>
      <c r="D8" s="16">
        <v>2313.3311801311356</v>
      </c>
      <c r="E8" s="16">
        <v>2396.4113296803603</v>
      </c>
      <c r="F8" s="16">
        <v>2909.6027269190599</v>
      </c>
      <c r="G8" s="51">
        <v>9451.6996981555076</v>
      </c>
      <c r="H8" s="52">
        <v>1596.6526345099994</v>
      </c>
      <c r="I8" s="52">
        <v>1981.9081834780166</v>
      </c>
      <c r="J8" s="52">
        <v>2007.5359684819844</v>
      </c>
      <c r="K8" s="52">
        <v>2454.1797170571463</v>
      </c>
      <c r="L8" s="51">
        <v>8040.2765035271468</v>
      </c>
      <c r="M8" s="16">
        <v>222.10012325196257</v>
      </c>
      <c r="N8" s="16">
        <v>298.85379000643684</v>
      </c>
      <c r="O8" s="16">
        <v>347.20753298335921</v>
      </c>
      <c r="P8" s="16">
        <v>389.53320790556648</v>
      </c>
      <c r="Q8" s="51">
        <v>1257.6946541473251</v>
      </c>
      <c r="R8" s="16">
        <v>10.51351709489999</v>
      </c>
      <c r="S8" s="16">
        <v>28.550823545540297</v>
      </c>
      <c r="T8" s="16">
        <v>38.62322745927608</v>
      </c>
      <c r="U8" s="16">
        <v>60.219509886161561</v>
      </c>
      <c r="V8" s="17">
        <v>137.90707798587795</v>
      </c>
      <c r="W8" s="53"/>
      <c r="X8" s="53"/>
      <c r="Y8" s="18"/>
      <c r="Z8" s="18"/>
    </row>
    <row r="9" spans="2:26">
      <c r="B9" s="19" t="s">
        <v>14</v>
      </c>
      <c r="C9" s="20">
        <v>1351.2634035165199</v>
      </c>
      <c r="D9" s="20">
        <v>1715.8384991712981</v>
      </c>
      <c r="E9" s="20">
        <v>1777.7223362571567</v>
      </c>
      <c r="F9" s="20">
        <v>2165.5837458860997</v>
      </c>
      <c r="G9" s="54">
        <v>7010.3079848310736</v>
      </c>
      <c r="H9" s="55">
        <v>1164.517305039356</v>
      </c>
      <c r="I9" s="55">
        <v>1450.6912821744429</v>
      </c>
      <c r="J9" s="55">
        <v>1467.3405072820215</v>
      </c>
      <c r="K9" s="55">
        <v>1797.6753771909864</v>
      </c>
      <c r="L9" s="54">
        <v>5880.2244716868072</v>
      </c>
      <c r="M9" s="20">
        <v>173.64954239720549</v>
      </c>
      <c r="N9" s="20">
        <v>233.23654134517366</v>
      </c>
      <c r="O9" s="20">
        <v>269.11294869731148</v>
      </c>
      <c r="P9" s="20">
        <v>302.94781191032934</v>
      </c>
      <c r="Q9" s="54">
        <v>978.94684435001989</v>
      </c>
      <c r="R9" s="20">
        <v>10.51351709489999</v>
      </c>
      <c r="S9" s="20">
        <v>28.550823545540297</v>
      </c>
      <c r="T9" s="20">
        <v>38.62322745927608</v>
      </c>
      <c r="U9" s="20">
        <v>60.219509886161561</v>
      </c>
      <c r="V9" s="21">
        <v>137.90707798587795</v>
      </c>
      <c r="W9" s="53"/>
      <c r="X9" s="53"/>
      <c r="Y9" s="18"/>
      <c r="Z9" s="18"/>
    </row>
    <row r="10" spans="2:26">
      <c r="B10" s="22" t="s">
        <v>15</v>
      </c>
      <c r="C10" s="23">
        <v>947.32440619489932</v>
      </c>
      <c r="D10" s="23">
        <v>1212.2224942971823</v>
      </c>
      <c r="E10" s="23">
        <v>1257.52222840442</v>
      </c>
      <c r="F10" s="23">
        <v>1482.2188622824447</v>
      </c>
      <c r="G10" s="56">
        <v>4899.1879911789456</v>
      </c>
      <c r="H10" s="57">
        <v>816.47573578661286</v>
      </c>
      <c r="I10" s="57">
        <v>1019.1693980199718</v>
      </c>
      <c r="J10" s="57">
        <v>1033.0735247038087</v>
      </c>
      <c r="K10" s="57">
        <v>1213.212167504342</v>
      </c>
      <c r="L10" s="56">
        <v>4081.9308260147359</v>
      </c>
      <c r="M10" s="23">
        <v>120.17965313834907</v>
      </c>
      <c r="N10" s="23">
        <v>165.84472292381463</v>
      </c>
      <c r="O10" s="23">
        <v>189.11370908200757</v>
      </c>
      <c r="P10" s="23">
        <v>214.25958772098403</v>
      </c>
      <c r="Q10" s="56">
        <v>689.3976728651553</v>
      </c>
      <c r="R10" s="23">
        <v>8.8554993349434952</v>
      </c>
      <c r="S10" s="23">
        <v>24.842629138321307</v>
      </c>
      <c r="T10" s="23">
        <v>33.300236698063195</v>
      </c>
      <c r="U10" s="23">
        <v>51.156043889838642</v>
      </c>
      <c r="V10" s="24">
        <v>118.15440906116666</v>
      </c>
      <c r="W10" s="53"/>
      <c r="X10" s="53"/>
      <c r="Y10" s="18"/>
      <c r="Z10" s="18"/>
    </row>
    <row r="11" spans="2:26">
      <c r="B11" s="25" t="s">
        <v>16</v>
      </c>
      <c r="C11" s="26">
        <v>-503.45676803114685</v>
      </c>
      <c r="D11" s="26">
        <v>-616.99933941907568</v>
      </c>
      <c r="E11" s="26">
        <v>-619.97795958973768</v>
      </c>
      <c r="F11" s="26">
        <v>-710.42831419548304</v>
      </c>
      <c r="G11" s="58">
        <v>-2434.2023812354432</v>
      </c>
      <c r="H11" s="59">
        <v>-414.59096723663663</v>
      </c>
      <c r="I11" s="59">
        <v>-500.14297631072895</v>
      </c>
      <c r="J11" s="59">
        <v>-484.13011283998026</v>
      </c>
      <c r="K11" s="59">
        <v>-548.52583910776184</v>
      </c>
      <c r="L11" s="58">
        <v>-1934.3550761636845</v>
      </c>
      <c r="M11" s="26">
        <v>-84.531346657088719</v>
      </c>
      <c r="N11" s="26">
        <v>-109.56808882776102</v>
      </c>
      <c r="O11" s="26">
        <v>-127.57068598858521</v>
      </c>
      <c r="P11" s="26">
        <v>-149.32082070018325</v>
      </c>
      <c r="Q11" s="58">
        <v>-470.99094217361824</v>
      </c>
      <c r="R11" s="26">
        <v>-1.2090001525624257</v>
      </c>
      <c r="S11" s="26">
        <v>-3.7453251100480665</v>
      </c>
      <c r="T11" s="26">
        <v>-4.9810944589182595</v>
      </c>
      <c r="U11" s="26">
        <v>-6.9178933137453882</v>
      </c>
      <c r="V11" s="27">
        <v>-16.853313035274141</v>
      </c>
      <c r="W11" s="53"/>
      <c r="X11" s="53"/>
      <c r="Y11" s="18"/>
      <c r="Z11" s="18"/>
    </row>
    <row r="12" spans="2:26">
      <c r="B12" s="11" t="s">
        <v>17</v>
      </c>
      <c r="C12" s="12">
        <v>-223.75708054604678</v>
      </c>
      <c r="D12" s="12">
        <v>-250.04311261999032</v>
      </c>
      <c r="E12" s="12">
        <v>-289.05882313851384</v>
      </c>
      <c r="F12" s="12">
        <v>-284.74426020669961</v>
      </c>
      <c r="G12" s="49">
        <v>-978.30327651125049</v>
      </c>
      <c r="H12" s="50">
        <v>-171.42177759412152</v>
      </c>
      <c r="I12" s="50">
        <v>-185.04051710695254</v>
      </c>
      <c r="J12" s="50">
        <v>-208.67035528898833</v>
      </c>
      <c r="K12" s="50">
        <v>-202.07750935853699</v>
      </c>
      <c r="L12" s="49">
        <v>-702.6635789300226</v>
      </c>
      <c r="M12" s="12">
        <v>-36.669530511142142</v>
      </c>
      <c r="N12" s="12">
        <v>-39.408857293027957</v>
      </c>
      <c r="O12" s="12">
        <v>-46.620373217457427</v>
      </c>
      <c r="P12" s="12">
        <v>-48.573015834529016</v>
      </c>
      <c r="Q12" s="49">
        <v>-171.27177685615652</v>
      </c>
      <c r="R12" s="12">
        <v>-12.174847694872659</v>
      </c>
      <c r="S12" s="12">
        <v>-20.424500506627098</v>
      </c>
      <c r="T12" s="12">
        <v>-30.421113452811966</v>
      </c>
      <c r="U12" s="12">
        <v>-32.189123236394721</v>
      </c>
      <c r="V12" s="13">
        <v>-95.209584890706452</v>
      </c>
      <c r="W12" s="53"/>
      <c r="X12" s="53"/>
      <c r="Y12" s="18"/>
      <c r="Z12" s="18"/>
    </row>
    <row r="13" spans="2:26">
      <c r="B13" s="11" t="s">
        <v>18</v>
      </c>
      <c r="C13" s="12" t="s">
        <v>32</v>
      </c>
      <c r="D13" s="12" t="s">
        <v>32</v>
      </c>
      <c r="E13" s="12" t="s">
        <v>32</v>
      </c>
      <c r="F13" s="12">
        <v>7.7561932807357286</v>
      </c>
      <c r="G13" s="49">
        <v>-61</v>
      </c>
      <c r="H13" s="50" t="s">
        <v>32</v>
      </c>
      <c r="I13" s="12" t="s">
        <v>32</v>
      </c>
      <c r="J13" s="12" t="s">
        <v>32</v>
      </c>
      <c r="K13" s="50">
        <v>6.4222786899999509</v>
      </c>
      <c r="L13" s="49">
        <v>-53.981121060000021</v>
      </c>
      <c r="M13" s="12">
        <v>-1.7849999999999999</v>
      </c>
      <c r="N13" s="12">
        <v>-3.2059812315593712</v>
      </c>
      <c r="O13" s="12">
        <v>-0.97332866216294267</v>
      </c>
      <c r="P13" s="12">
        <v>1.1021720075718284</v>
      </c>
      <c r="Q13" s="49">
        <v>-4.8621378861504851</v>
      </c>
      <c r="R13" s="12">
        <v>0</v>
      </c>
      <c r="S13" s="12">
        <v>0</v>
      </c>
      <c r="T13" s="12">
        <v>0</v>
      </c>
      <c r="U13" s="12">
        <v>0</v>
      </c>
      <c r="V13" s="13">
        <v>0</v>
      </c>
      <c r="W13" s="53"/>
      <c r="X13" s="53"/>
      <c r="Y13" s="18"/>
      <c r="Z13" s="18"/>
    </row>
    <row r="14" spans="2:26">
      <c r="B14" s="60" t="s">
        <v>19</v>
      </c>
      <c r="C14" s="12" t="s">
        <v>32</v>
      </c>
      <c r="D14" s="12" t="s">
        <v>32</v>
      </c>
      <c r="E14" s="12" t="s">
        <v>32</v>
      </c>
      <c r="F14" s="61">
        <v>-1.3759999999999999</v>
      </c>
      <c r="G14" s="62">
        <v>-18.600000000000001</v>
      </c>
      <c r="H14" s="50" t="s">
        <v>32</v>
      </c>
      <c r="I14" s="12" t="s">
        <v>32</v>
      </c>
      <c r="J14" s="12" t="s">
        <v>32</v>
      </c>
      <c r="K14" s="63">
        <v>-1.3759999999999999</v>
      </c>
      <c r="L14" s="62">
        <v>-18.553999999999998</v>
      </c>
      <c r="M14" s="12">
        <v>0</v>
      </c>
      <c r="N14" s="12">
        <v>0</v>
      </c>
      <c r="O14" s="12">
        <v>0</v>
      </c>
      <c r="P14" s="12">
        <v>0</v>
      </c>
      <c r="Q14" s="62">
        <v>0</v>
      </c>
      <c r="R14" s="12">
        <v>0</v>
      </c>
      <c r="S14" s="12">
        <v>0</v>
      </c>
      <c r="T14" s="12">
        <v>0</v>
      </c>
      <c r="U14" s="12">
        <v>0</v>
      </c>
      <c r="V14" s="64">
        <v>0</v>
      </c>
      <c r="W14" s="53"/>
      <c r="X14" s="53"/>
      <c r="Y14" s="18"/>
      <c r="Z14" s="18"/>
    </row>
    <row r="15" spans="2:26">
      <c r="B15" s="11" t="s">
        <v>20</v>
      </c>
      <c r="C15" s="12">
        <v>-0.30969413669600193</v>
      </c>
      <c r="D15" s="12">
        <v>17.600428953824338</v>
      </c>
      <c r="E15" s="12">
        <v>-3.124817496997272</v>
      </c>
      <c r="F15" s="12">
        <v>-5.5050106985514091</v>
      </c>
      <c r="G15" s="49">
        <v>8.8609066215796535</v>
      </c>
      <c r="H15" s="50">
        <v>-0.33128979049999852</v>
      </c>
      <c r="I15" s="50">
        <v>17.76247016583611</v>
      </c>
      <c r="J15" s="50">
        <v>-2.8601475558361207</v>
      </c>
      <c r="K15" s="50">
        <v>-2.9391876900000247</v>
      </c>
      <c r="L15" s="49">
        <v>11.631845129499965</v>
      </c>
      <c r="M15" s="12">
        <v>0.66628165313680054</v>
      </c>
      <c r="N15" s="12">
        <v>-0.40178625246428123</v>
      </c>
      <c r="O15" s="12">
        <v>0.57821055175871106</v>
      </c>
      <c r="P15" s="12">
        <v>-1.7148108487360398</v>
      </c>
      <c r="Q15" s="49">
        <v>-0.87210489630480947</v>
      </c>
      <c r="R15" s="12">
        <v>-0.32634875415620396</v>
      </c>
      <c r="S15" s="12">
        <v>0.68142964045251064</v>
      </c>
      <c r="T15" s="12">
        <v>-0.2891303629198626</v>
      </c>
      <c r="U15" s="12">
        <v>6.0462660184655029E-2</v>
      </c>
      <c r="V15" s="13">
        <v>0.1264131835610991</v>
      </c>
      <c r="W15" s="53"/>
      <c r="X15" s="53"/>
      <c r="Y15" s="18"/>
      <c r="Z15" s="18"/>
    </row>
    <row r="16" spans="2:26">
      <c r="B16" s="28" t="s">
        <v>21</v>
      </c>
      <c r="C16" s="29">
        <v>-37.792542429438484</v>
      </c>
      <c r="D16" s="29">
        <v>-11.410723390620486</v>
      </c>
      <c r="E16" s="29">
        <v>-84.982841609864892</v>
      </c>
      <c r="F16" s="29">
        <v>-24.066618789818286</v>
      </c>
      <c r="G16" s="65">
        <v>-158.25272621974216</v>
      </c>
      <c r="H16" s="66">
        <v>-37.28234273999999</v>
      </c>
      <c r="I16" s="66">
        <v>-8.0486679200000317</v>
      </c>
      <c r="J16" s="66">
        <v>-83.699851913822329</v>
      </c>
      <c r="K16" s="66">
        <v>-19.315626650000016</v>
      </c>
      <c r="L16" s="65">
        <v>-148.34648922382235</v>
      </c>
      <c r="M16" s="29">
        <v>-0.43947604951222002</v>
      </c>
      <c r="N16" s="29">
        <v>-3.665500896968064</v>
      </c>
      <c r="O16" s="29">
        <v>-1.874697446321288</v>
      </c>
      <c r="P16" s="29">
        <v>-6.7992182709610347</v>
      </c>
      <c r="Q16" s="65">
        <v>-12.778892663762607</v>
      </c>
      <c r="R16" s="29">
        <v>-7.0723639926281084E-2</v>
      </c>
      <c r="S16" s="29">
        <v>0.30344542634761029</v>
      </c>
      <c r="T16" s="29">
        <v>0.59170775027872624</v>
      </c>
      <c r="U16" s="29">
        <v>2.0482261311427647</v>
      </c>
      <c r="V16" s="30">
        <v>2.8726556678428201</v>
      </c>
      <c r="W16" s="53"/>
      <c r="X16" s="53"/>
      <c r="Y16" s="18"/>
      <c r="Z16" s="18"/>
    </row>
    <row r="17" spans="2:26">
      <c r="B17" s="25" t="s">
        <v>22</v>
      </c>
      <c r="C17" s="26">
        <v>-57.395621135276322</v>
      </c>
      <c r="D17" s="26">
        <v>-110.66879130688179</v>
      </c>
      <c r="E17" s="26">
        <v>-77.222270320406764</v>
      </c>
      <c r="F17" s="26">
        <v>-164.64174302679538</v>
      </c>
      <c r="G17" s="58">
        <v>-409.92842578936023</v>
      </c>
      <c r="H17" s="59">
        <v>-55.848570206415545</v>
      </c>
      <c r="I17" s="59">
        <v>-102.68201068270535</v>
      </c>
      <c r="J17" s="59">
        <v>-70.356544878971491</v>
      </c>
      <c r="K17" s="59">
        <v>-154.67363993684356</v>
      </c>
      <c r="L17" s="58">
        <v>-383.56076570493599</v>
      </c>
      <c r="M17" s="26">
        <v>-1.4845130752743738</v>
      </c>
      <c r="N17" s="26">
        <v>-7.650724045925716</v>
      </c>
      <c r="O17" s="26">
        <v>-6.5065538836564549</v>
      </c>
      <c r="P17" s="26">
        <v>-9.1455333870588689</v>
      </c>
      <c r="Q17" s="58">
        <v>-24.787324391915412</v>
      </c>
      <c r="R17" s="26">
        <v>-6.2537853586407635E-2</v>
      </c>
      <c r="S17" s="26">
        <v>-0.33605657825072394</v>
      </c>
      <c r="T17" s="26">
        <v>-0.35917155777881854</v>
      </c>
      <c r="U17" s="26">
        <v>-0.8225697028929746</v>
      </c>
      <c r="V17" s="27">
        <v>-1.5803356925089247</v>
      </c>
      <c r="W17" s="53"/>
      <c r="X17" s="53"/>
      <c r="Y17" s="18"/>
      <c r="Z17" s="18"/>
    </row>
    <row r="18" spans="2:26">
      <c r="B18" s="11" t="s">
        <v>23</v>
      </c>
      <c r="C18" s="12">
        <v>-0.17875648694383023</v>
      </c>
      <c r="D18" s="12">
        <v>-0.48652279438063123</v>
      </c>
      <c r="E18" s="12">
        <v>0.63278313990210444</v>
      </c>
      <c r="F18" s="12">
        <v>-5.165675417147261</v>
      </c>
      <c r="G18" s="49">
        <v>-5.1981715585696175</v>
      </c>
      <c r="H18" s="50">
        <v>0</v>
      </c>
      <c r="I18" s="50">
        <v>0</v>
      </c>
      <c r="J18" s="50">
        <v>0</v>
      </c>
      <c r="K18" s="50">
        <v>0</v>
      </c>
      <c r="L18" s="49">
        <v>0</v>
      </c>
      <c r="M18" s="12">
        <v>0</v>
      </c>
      <c r="N18" s="12">
        <v>0</v>
      </c>
      <c r="O18" s="12">
        <v>0</v>
      </c>
      <c r="P18" s="12">
        <v>0</v>
      </c>
      <c r="Q18" s="49">
        <v>0</v>
      </c>
      <c r="R18" s="12">
        <v>-0.17875648694383023</v>
      </c>
      <c r="S18" s="12">
        <v>-0.48652279438063123</v>
      </c>
      <c r="T18" s="12">
        <v>0.63278313990210444</v>
      </c>
      <c r="U18" s="12">
        <v>-5.165675417147261</v>
      </c>
      <c r="V18" s="13">
        <v>-5.1981715585696175</v>
      </c>
      <c r="W18" s="53"/>
      <c r="X18" s="53"/>
      <c r="Y18" s="18"/>
      <c r="Z18" s="18"/>
    </row>
    <row r="19" spans="2:26">
      <c r="B19" s="22" t="s">
        <v>24</v>
      </c>
      <c r="C19" s="23">
        <v>124.63394342935106</v>
      </c>
      <c r="D19" s="23">
        <v>240.21443372005771</v>
      </c>
      <c r="E19" s="23">
        <v>183.66329938880193</v>
      </c>
      <c r="F19" s="23">
        <v>294.04743322868552</v>
      </c>
      <c r="G19" s="56">
        <v>842.58410976689447</v>
      </c>
      <c r="H19" s="57">
        <v>137.00078821893914</v>
      </c>
      <c r="I19" s="57">
        <v>241.01769616542111</v>
      </c>
      <c r="J19" s="57">
        <v>183.35651222621033</v>
      </c>
      <c r="K19" s="57">
        <v>290.72664345119961</v>
      </c>
      <c r="L19" s="56">
        <v>852.10164006177058</v>
      </c>
      <c r="M19" s="23">
        <v>-4.0639315015315773</v>
      </c>
      <c r="N19" s="23">
        <v>1.9437843761082148</v>
      </c>
      <c r="O19" s="23">
        <v>6.1462804355829519</v>
      </c>
      <c r="P19" s="23">
        <v>-0.19163931291235059</v>
      </c>
      <c r="Q19" s="56">
        <v>3.8344939972473</v>
      </c>
      <c r="R19" s="23">
        <v>-5.1667152471043121</v>
      </c>
      <c r="S19" s="23">
        <v>0.83509921581490687</v>
      </c>
      <c r="T19" s="23">
        <v>-1.525782244184879</v>
      </c>
      <c r="U19" s="23">
        <v>8.1694710109857187</v>
      </c>
      <c r="V19" s="24">
        <v>2.3120727355114443</v>
      </c>
      <c r="W19" s="53"/>
      <c r="X19" s="53"/>
      <c r="Y19" s="18"/>
      <c r="Z19" s="18"/>
    </row>
    <row r="20" spans="2:26">
      <c r="B20" s="19" t="s">
        <v>25</v>
      </c>
      <c r="C20" s="20">
        <v>262.06914965905753</v>
      </c>
      <c r="D20" s="20">
        <v>409.88389829135519</v>
      </c>
      <c r="E20" s="20">
        <v>398.31687988091051</v>
      </c>
      <c r="F20" s="20">
        <v>538.66684751254411</v>
      </c>
      <c r="G20" s="67">
        <v>1608.9617753438656</v>
      </c>
      <c r="H20" s="55">
        <v>269.54050040722819</v>
      </c>
      <c r="I20" s="55">
        <v>395.60354689812652</v>
      </c>
      <c r="J20" s="55">
        <v>385.90650232900413</v>
      </c>
      <c r="K20" s="55">
        <v>506.03283390804319</v>
      </c>
      <c r="L20" s="67">
        <v>1557.0833835424023</v>
      </c>
      <c r="M20" s="20">
        <v>-5.9402654677889188E-2</v>
      </c>
      <c r="N20" s="20">
        <v>15.533352851979664</v>
      </c>
      <c r="O20" s="20">
        <v>17.202900240760492</v>
      </c>
      <c r="P20" s="20">
        <v>20.388062199793566</v>
      </c>
      <c r="Q20" s="67">
        <v>53.06491263785589</v>
      </c>
      <c r="R20" s="20">
        <v>-4.4033438818248696</v>
      </c>
      <c r="S20" s="20">
        <v>2.1893323779135603</v>
      </c>
      <c r="T20" s="20">
        <v>-0.65219016434557386</v>
      </c>
      <c r="U20" s="20">
        <v>16.617836682546546</v>
      </c>
      <c r="V20" s="31">
        <v>13.751635014289672</v>
      </c>
      <c r="W20" s="53"/>
      <c r="X20" s="53"/>
      <c r="Y20" s="18"/>
      <c r="Z20" s="18"/>
    </row>
    <row r="21" spans="2:26">
      <c r="B21" s="32"/>
      <c r="C21" s="33"/>
      <c r="D21" s="34"/>
      <c r="E21" s="34"/>
      <c r="F21" s="7"/>
      <c r="G21" s="6"/>
      <c r="H21" s="33"/>
      <c r="I21" s="34"/>
      <c r="J21" s="34"/>
      <c r="K21" s="7"/>
      <c r="L21" s="6"/>
      <c r="M21" s="33"/>
      <c r="N21" s="34"/>
      <c r="O21" s="34"/>
      <c r="P21" s="7"/>
      <c r="Q21" s="6"/>
      <c r="R21" s="33"/>
      <c r="S21" s="34"/>
      <c r="T21" s="34"/>
      <c r="U21" s="7"/>
      <c r="V21" s="33"/>
    </row>
    <row r="22" spans="2:26">
      <c r="B22" s="8"/>
      <c r="C22" s="9"/>
      <c r="D22" s="10"/>
      <c r="E22" s="10"/>
      <c r="F22" s="35"/>
      <c r="G22" s="8"/>
      <c r="H22" s="9"/>
      <c r="I22" s="10"/>
      <c r="J22" s="10"/>
      <c r="K22" s="35"/>
      <c r="L22" s="8"/>
      <c r="M22" s="9"/>
      <c r="N22" s="10"/>
      <c r="O22" s="10"/>
      <c r="P22" s="35"/>
      <c r="Q22" s="8"/>
      <c r="R22" s="9"/>
      <c r="S22" s="10"/>
      <c r="T22" s="10"/>
      <c r="U22" s="35"/>
      <c r="V22" s="9"/>
    </row>
    <row r="23" spans="2:26">
      <c r="B23" s="36" t="s">
        <v>26</v>
      </c>
      <c r="C23" s="37">
        <v>0.70106568691906246</v>
      </c>
      <c r="D23" s="37">
        <v>0.7064898560573456</v>
      </c>
      <c r="E23" s="37">
        <v>0.70737831367525383</v>
      </c>
      <c r="F23" s="37">
        <v>0.68444310458931701</v>
      </c>
      <c r="G23" s="37">
        <v>0.69885488651566008</v>
      </c>
      <c r="H23" s="37">
        <v>0.70112804013592511</v>
      </c>
      <c r="I23" s="37">
        <v>0.70254051330089862</v>
      </c>
      <c r="J23" s="37">
        <v>0.70404484819776936</v>
      </c>
      <c r="K23" s="37">
        <v>0.67487833615437531</v>
      </c>
      <c r="L23" s="37">
        <v>0.69417942217498185</v>
      </c>
      <c r="M23" s="37">
        <v>0.69208159998170604</v>
      </c>
      <c r="N23" s="37">
        <v>0.71105806134543947</v>
      </c>
      <c r="O23" s="37">
        <v>0.70272987605184256</v>
      </c>
      <c r="P23" s="37">
        <v>0.70724916733976451</v>
      </c>
      <c r="Q23" s="37">
        <v>0.70422380627100012</v>
      </c>
      <c r="R23" s="37">
        <v>0.84229656498482475</v>
      </c>
      <c r="S23" s="37">
        <v>0.87011952908103707</v>
      </c>
      <c r="T23" s="37">
        <v>0.86218161683082051</v>
      </c>
      <c r="U23" s="37">
        <v>0.84949286346806185</v>
      </c>
      <c r="V23" s="37">
        <v>0.85676827315031634</v>
      </c>
    </row>
    <row r="24" spans="2:26">
      <c r="B24" s="36" t="s">
        <v>27</v>
      </c>
      <c r="C24" s="37">
        <v>0.37258225651708904</v>
      </c>
      <c r="D24" s="37">
        <v>0.35959056736229494</v>
      </c>
      <c r="E24" s="37">
        <v>0.34874847828882466</v>
      </c>
      <c r="F24" s="37">
        <v>0.32805395568057077</v>
      </c>
      <c r="G24" s="37">
        <v>0.34723187433456248</v>
      </c>
      <c r="H24" s="37">
        <v>0.35601958463178451</v>
      </c>
      <c r="I24" s="37">
        <v>0.34476182662452071</v>
      </c>
      <c r="J24" s="37">
        <v>0.32993712804721947</v>
      </c>
      <c r="K24" s="37">
        <v>0.30513064041900489</v>
      </c>
      <c r="L24" s="37">
        <v>0.32895939355335418</v>
      </c>
      <c r="M24" s="37">
        <v>0.48679279824263483</v>
      </c>
      <c r="N24" s="37">
        <v>0.46977239585116276</v>
      </c>
      <c r="O24" s="37">
        <v>0.47404142612279915</v>
      </c>
      <c r="P24" s="37">
        <v>0.49289288395448549</v>
      </c>
      <c r="Q24" s="37">
        <v>0.48112003720318103</v>
      </c>
      <c r="R24" s="37">
        <v>0.11499483395037237</v>
      </c>
      <c r="S24" s="37">
        <v>0.13118098341625928</v>
      </c>
      <c r="T24" s="37">
        <v>0.12896629273590024</v>
      </c>
      <c r="U24" s="37">
        <v>0.11487794116595956</v>
      </c>
      <c r="V24" s="37">
        <v>0.1222077451093552</v>
      </c>
    </row>
    <row r="25" spans="2:26">
      <c r="B25" s="36" t="s">
        <v>28</v>
      </c>
      <c r="C25" s="37">
        <v>0.16559101649888738</v>
      </c>
      <c r="D25" s="37">
        <v>0.14572648459674623</v>
      </c>
      <c r="E25" s="37">
        <v>0.16260065885604083</v>
      </c>
      <c r="F25" s="37">
        <v>0.13148614582447826</v>
      </c>
      <c r="G25" s="37">
        <v>0.13955211078145299</v>
      </c>
      <c r="H25" s="37">
        <v>0.1472041478922704</v>
      </c>
      <c r="I25" s="37">
        <v>0.12755333914297401</v>
      </c>
      <c r="J25" s="37">
        <v>0.14220990578084142</v>
      </c>
      <c r="K25" s="37">
        <v>0.11241045626062893</v>
      </c>
      <c r="L25" s="37">
        <v>0.11949604684537762</v>
      </c>
      <c r="M25" s="37">
        <v>0.21116975031966601</v>
      </c>
      <c r="N25" s="37">
        <v>0.16896519330007395</v>
      </c>
      <c r="O25" s="37">
        <v>0.17323719814721489</v>
      </c>
      <c r="P25" s="37">
        <v>0.16033459864996921</v>
      </c>
      <c r="Q25" s="37">
        <v>0.17495513453529121</v>
      </c>
      <c r="R25" s="37">
        <v>1.1580185379427941</v>
      </c>
      <c r="S25" s="37">
        <v>0.71537342781194313</v>
      </c>
      <c r="T25" s="37">
        <v>0.78763778829430198</v>
      </c>
      <c r="U25" s="37">
        <v>0.53452981097396446</v>
      </c>
      <c r="V25" s="37">
        <v>0.69038940046613251</v>
      </c>
    </row>
    <row r="26" spans="2:26">
      <c r="B26" s="36" t="s">
        <v>29</v>
      </c>
      <c r="C26" s="37">
        <v>9.2235120928313777E-2</v>
      </c>
      <c r="D26" s="37">
        <v>0.13999827713160332</v>
      </c>
      <c r="E26" s="37">
        <v>0.10331382783629157</v>
      </c>
      <c r="F26" s="37">
        <v>0.13578206513014304</v>
      </c>
      <c r="G26" s="37">
        <v>0.1201921672471567</v>
      </c>
      <c r="H26" s="37">
        <v>0.11764598741991994</v>
      </c>
      <c r="I26" s="37">
        <v>0.1661398942193679</v>
      </c>
      <c r="J26" s="37">
        <v>0.12495839330834296</v>
      </c>
      <c r="K26" s="37">
        <v>0.16172366109029293</v>
      </c>
      <c r="L26" s="37">
        <v>0.14490971291395885</v>
      </c>
      <c r="M26" s="37">
        <v>-2.340306484790931E-2</v>
      </c>
      <c r="N26" s="37">
        <v>8.3339615863688814E-3</v>
      </c>
      <c r="O26" s="37">
        <v>2.2839036416995549E-2</v>
      </c>
      <c r="P26" s="37">
        <v>-6.3258193450519004E-4</v>
      </c>
      <c r="Q26" s="37">
        <v>3.9169583306571101E-3</v>
      </c>
      <c r="R26" s="37">
        <v>-0.49143547306454066</v>
      </c>
      <c r="S26" s="37">
        <v>2.9249566636243361E-2</v>
      </c>
      <c r="T26" s="37">
        <v>-3.9504265815011125E-2</v>
      </c>
      <c r="U26" s="37">
        <v>0.13566153272301976</v>
      </c>
      <c r="V26" s="37">
        <v>1.6765439231104632E-2</v>
      </c>
    </row>
    <row r="27" spans="2:26">
      <c r="B27" s="36" t="s">
        <v>30</v>
      </c>
      <c r="C27" s="37">
        <v>0.19394379288083308</v>
      </c>
      <c r="D27" s="37">
        <v>0.23888256295060264</v>
      </c>
      <c r="E27" s="37">
        <v>0.22406023244301068</v>
      </c>
      <c r="F27" s="37">
        <v>0.24873979061573342</v>
      </c>
      <c r="G27" s="37">
        <v>0.22951370736140869</v>
      </c>
      <c r="H27" s="37">
        <v>0.23146113779573144</v>
      </c>
      <c r="I27" s="37">
        <v>0.27270002360885209</v>
      </c>
      <c r="J27" s="37">
        <v>0.26299723916422441</v>
      </c>
      <c r="K27" s="37">
        <v>0.2814928881646922</v>
      </c>
      <c r="L27" s="37">
        <v>0.26479999038127466</v>
      </c>
      <c r="M27" s="37">
        <v>-3.4208356588704227E-4</v>
      </c>
      <c r="N27" s="37">
        <v>6.6599139064540472E-2</v>
      </c>
      <c r="O27" s="37">
        <v>6.3924461175258018E-2</v>
      </c>
      <c r="P27" s="37">
        <v>6.7298925419630715E-2</v>
      </c>
      <c r="Q27" s="37">
        <v>5.420612257357936E-2</v>
      </c>
      <c r="R27" s="37">
        <v>-0.41882691035532638</v>
      </c>
      <c r="S27" s="37">
        <v>7.668193439048937E-2</v>
      </c>
      <c r="T27" s="37">
        <v>-1.6885957162260358E-2</v>
      </c>
      <c r="U27" s="37">
        <v>0.27595436618399521</v>
      </c>
      <c r="V27" s="37">
        <v>9.9716673104319392E-2</v>
      </c>
    </row>
    <row r="28" spans="2:26">
      <c r="B28" s="32"/>
      <c r="C28" s="33"/>
      <c r="D28" s="34"/>
      <c r="E28" s="34"/>
      <c r="F28" s="7"/>
      <c r="G28" s="6"/>
      <c r="H28" s="33"/>
      <c r="I28" s="34"/>
      <c r="J28" s="34"/>
      <c r="K28" s="7"/>
      <c r="L28" s="6"/>
      <c r="M28" s="33"/>
      <c r="N28" s="34"/>
      <c r="O28" s="34"/>
      <c r="P28" s="7"/>
      <c r="Q28" s="6"/>
      <c r="R28" s="33"/>
      <c r="S28" s="34"/>
      <c r="T28" s="34"/>
      <c r="U28" s="7"/>
      <c r="V28" s="33"/>
    </row>
    <row r="29" spans="2:26">
      <c r="B29" s="1" t="s">
        <v>31</v>
      </c>
      <c r="C29" s="38"/>
    </row>
    <row r="32" spans="2:26">
      <c r="C32" s="18"/>
      <c r="D32" s="18"/>
      <c r="E32" s="18"/>
      <c r="F32" s="18"/>
      <c r="G32" s="18"/>
      <c r="H32" s="18"/>
      <c r="I32" s="18"/>
      <c r="J32" s="18"/>
      <c r="K32" s="18"/>
      <c r="L32" s="18"/>
      <c r="M32" s="18"/>
      <c r="N32" s="18"/>
      <c r="O32" s="18"/>
      <c r="P32" s="18"/>
      <c r="Q32" s="18"/>
      <c r="R32" s="18"/>
      <c r="S32" s="18"/>
      <c r="T32" s="18"/>
      <c r="U32" s="18"/>
      <c r="V32" s="18"/>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Z32"/>
  <sheetViews>
    <sheetView workbookViewId="0"/>
  </sheetViews>
  <sheetFormatPr defaultColWidth="9.140625" defaultRowHeight="12.75"/>
  <cols>
    <col min="1" max="1" width="4.5703125" style="1" customWidth="1"/>
    <col min="2" max="2" width="44.28515625" style="1" customWidth="1"/>
    <col min="3" max="22" width="8.5703125" style="1" customWidth="1"/>
    <col min="23" max="16384" width="9.140625" style="1"/>
  </cols>
  <sheetData>
    <row r="1" spans="2:26">
      <c r="G1" s="39"/>
    </row>
    <row r="2" spans="2:26" ht="20.25">
      <c r="B2" s="2">
        <v>2014</v>
      </c>
      <c r="C2" s="40"/>
      <c r="D2" s="41"/>
      <c r="E2" s="41"/>
      <c r="F2" s="42"/>
      <c r="G2" s="43"/>
      <c r="H2" s="4" t="s">
        <v>0</v>
      </c>
      <c r="I2" s="4"/>
      <c r="J2" s="4"/>
      <c r="K2" s="4"/>
      <c r="L2" s="4"/>
      <c r="M2" s="4"/>
      <c r="N2" s="4"/>
      <c r="O2" s="4"/>
      <c r="P2" s="4"/>
      <c r="Q2" s="4"/>
      <c r="R2" s="4"/>
      <c r="S2" s="4"/>
      <c r="T2" s="4"/>
      <c r="U2" s="4"/>
      <c r="V2" s="4"/>
    </row>
    <row r="3" spans="2:26">
      <c r="B3" s="5" t="s">
        <v>1</v>
      </c>
      <c r="C3" s="6" t="s">
        <v>2</v>
      </c>
      <c r="D3" s="6"/>
      <c r="E3" s="6"/>
      <c r="F3" s="6"/>
      <c r="G3" s="6"/>
      <c r="H3" s="6" t="s">
        <v>3</v>
      </c>
      <c r="I3" s="6"/>
      <c r="J3" s="6"/>
      <c r="K3" s="6"/>
      <c r="L3" s="6"/>
      <c r="M3" s="6" t="s">
        <v>4</v>
      </c>
      <c r="N3" s="6"/>
      <c r="O3" s="6"/>
      <c r="P3" s="6"/>
      <c r="Q3" s="6"/>
      <c r="R3" s="6" t="s">
        <v>5</v>
      </c>
      <c r="S3" s="6"/>
      <c r="T3" s="6"/>
      <c r="U3" s="6"/>
      <c r="V3" s="6"/>
    </row>
    <row r="4" spans="2:26">
      <c r="B4" s="8"/>
      <c r="C4" s="9" t="s">
        <v>6</v>
      </c>
      <c r="D4" s="10" t="s">
        <v>7</v>
      </c>
      <c r="E4" s="10" t="s">
        <v>8</v>
      </c>
      <c r="F4" s="10" t="s">
        <v>9</v>
      </c>
      <c r="G4" s="9">
        <v>2016</v>
      </c>
      <c r="H4" s="9" t="s">
        <v>6</v>
      </c>
      <c r="I4" s="10" t="s">
        <v>7</v>
      </c>
      <c r="J4" s="10" t="s">
        <v>8</v>
      </c>
      <c r="K4" s="10" t="s">
        <v>9</v>
      </c>
      <c r="L4" s="9">
        <v>2016</v>
      </c>
      <c r="M4" s="9" t="s">
        <v>6</v>
      </c>
      <c r="N4" s="10" t="s">
        <v>7</v>
      </c>
      <c r="O4" s="10" t="s">
        <v>8</v>
      </c>
      <c r="P4" s="10" t="s">
        <v>9</v>
      </c>
      <c r="Q4" s="9">
        <v>2016</v>
      </c>
      <c r="R4" s="9" t="s">
        <v>6</v>
      </c>
      <c r="S4" s="10" t="s">
        <v>7</v>
      </c>
      <c r="T4" s="10" t="s">
        <v>8</v>
      </c>
      <c r="U4" s="10" t="s">
        <v>9</v>
      </c>
      <c r="V4" s="9">
        <v>2016</v>
      </c>
    </row>
    <row r="5" spans="2:26">
      <c r="B5" s="11" t="s">
        <v>10</v>
      </c>
      <c r="C5" s="12">
        <v>1650.5179999999998</v>
      </c>
      <c r="D5" s="12">
        <v>1698.971</v>
      </c>
      <c r="E5" s="12">
        <v>1728.761</v>
      </c>
      <c r="F5" s="12">
        <v>1742.8</v>
      </c>
      <c r="G5" s="13">
        <f>F5</f>
        <v>1742.8</v>
      </c>
      <c r="H5" s="12">
        <v>1276.356</v>
      </c>
      <c r="I5" s="12">
        <v>1300.6849999999999</v>
      </c>
      <c r="J5" s="12">
        <v>1314.2370000000001</v>
      </c>
      <c r="K5" s="12">
        <v>1318.5309999999999</v>
      </c>
      <c r="L5" s="13">
        <f>K5</f>
        <v>1318.5309999999999</v>
      </c>
      <c r="M5" s="12">
        <v>374.16199999999998</v>
      </c>
      <c r="N5" s="12">
        <v>396.7</v>
      </c>
      <c r="O5" s="12">
        <v>413</v>
      </c>
      <c r="P5" s="12">
        <v>422.5</v>
      </c>
      <c r="Q5" s="13">
        <f>P5</f>
        <v>422.5</v>
      </c>
      <c r="R5" s="44">
        <v>0</v>
      </c>
      <c r="S5" s="44">
        <v>0</v>
      </c>
      <c r="T5" s="44">
        <v>0</v>
      </c>
      <c r="U5" s="44">
        <v>0</v>
      </c>
      <c r="V5" s="45">
        <f>U5</f>
        <v>0</v>
      </c>
    </row>
    <row r="6" spans="2:26">
      <c r="B6" s="11" t="s">
        <v>11</v>
      </c>
      <c r="C6" s="12">
        <v>1636.64175</v>
      </c>
      <c r="D6" s="12">
        <v>1691.9815999999998</v>
      </c>
      <c r="E6" s="12">
        <v>1712.2729500000003</v>
      </c>
      <c r="F6" s="12">
        <v>1745.5</v>
      </c>
      <c r="G6" s="13">
        <v>1699.3</v>
      </c>
      <c r="H6" s="12">
        <v>1261.0715</v>
      </c>
      <c r="I6" s="12">
        <v>1303.17625</v>
      </c>
      <c r="J6" s="12">
        <v>1303.3878</v>
      </c>
      <c r="K6" s="12">
        <v>1323.8388</v>
      </c>
      <c r="L6" s="13">
        <v>1299.5999999999999</v>
      </c>
      <c r="M6" s="12">
        <v>375.57025000000004</v>
      </c>
      <c r="N6" s="12">
        <v>387.2</v>
      </c>
      <c r="O6" s="12">
        <v>407.4</v>
      </c>
      <c r="P6" s="12">
        <v>421.6</v>
      </c>
      <c r="Q6" s="13">
        <v>399.7</v>
      </c>
      <c r="R6" s="44">
        <v>0</v>
      </c>
      <c r="S6" s="44">
        <v>0</v>
      </c>
      <c r="T6" s="44">
        <v>0</v>
      </c>
      <c r="U6" s="44">
        <v>0</v>
      </c>
      <c r="V6" s="45">
        <f>AVERAGE(R6:U6)</f>
        <v>0</v>
      </c>
    </row>
    <row r="7" spans="2:26">
      <c r="B7" s="11" t="s">
        <v>12</v>
      </c>
      <c r="C7" s="12">
        <v>129.12184095434353</v>
      </c>
      <c r="D7" s="12">
        <v>131.5605569639628</v>
      </c>
      <c r="E7" s="12">
        <v>130.64230418314193</v>
      </c>
      <c r="F7" s="12">
        <v>143.4</v>
      </c>
      <c r="G7" s="13">
        <f t="shared" ref="G7:G18" si="0">SUM(C7:F7)</f>
        <v>534.7247021014482</v>
      </c>
      <c r="H7" s="12">
        <v>110.171184</v>
      </c>
      <c r="I7" s="12">
        <v>111.54147399999999</v>
      </c>
      <c r="J7" s="12">
        <v>107.58416500000001</v>
      </c>
      <c r="K7" s="12">
        <v>117.57352599999999</v>
      </c>
      <c r="L7" s="13">
        <f t="shared" ref="L7:L18" si="1">SUM(H7:K7)</f>
        <v>446.87034900000003</v>
      </c>
      <c r="M7" s="12">
        <v>18.170000000000002</v>
      </c>
      <c r="N7" s="12">
        <v>19</v>
      </c>
      <c r="O7" s="12">
        <v>22.06</v>
      </c>
      <c r="P7" s="12">
        <v>24.3</v>
      </c>
      <c r="Q7" s="13">
        <f t="shared" ref="Q7:Q18" si="2">SUM(M7:P7)</f>
        <v>83.53</v>
      </c>
      <c r="R7" s="12">
        <v>0.62674495434355026</v>
      </c>
      <c r="S7" s="12">
        <v>0.80099796396278122</v>
      </c>
      <c r="T7" s="12">
        <v>0.75173918314191424</v>
      </c>
      <c r="U7" s="12">
        <v>1.2</v>
      </c>
      <c r="V7" s="13">
        <f t="shared" ref="V7:V18" si="3">SUM(R7:U7)</f>
        <v>3.3794821014482457</v>
      </c>
    </row>
    <row r="8" spans="2:26">
      <c r="B8" s="15" t="s">
        <v>13</v>
      </c>
      <c r="C8" s="16">
        <v>2085.3000000000002</v>
      </c>
      <c r="D8" s="16">
        <v>2421.5500000000002</v>
      </c>
      <c r="E8" s="16">
        <v>2512.4699999999998</v>
      </c>
      <c r="F8" s="16">
        <v>2931.0015053025518</v>
      </c>
      <c r="G8" s="17">
        <f t="shared" si="0"/>
        <v>9950.3215053025524</v>
      </c>
      <c r="H8" s="16">
        <v>1734.7385122757146</v>
      </c>
      <c r="I8" s="16">
        <v>2017.3875413374667</v>
      </c>
      <c r="J8" s="16">
        <v>2059.6295123168979</v>
      </c>
      <c r="K8" s="16">
        <v>2373.8573636868414</v>
      </c>
      <c r="L8" s="17">
        <f t="shared" si="1"/>
        <v>8185.6129296169211</v>
      </c>
      <c r="M8" s="16">
        <v>296.79435016522569</v>
      </c>
      <c r="N8" s="16">
        <v>343.86011846702144</v>
      </c>
      <c r="O8" s="16">
        <v>387.10748074245544</v>
      </c>
      <c r="P8" s="16">
        <v>456.37058825817365</v>
      </c>
      <c r="Q8" s="17">
        <f t="shared" si="2"/>
        <v>1484.1325376328762</v>
      </c>
      <c r="R8" s="16">
        <v>50.63114012237908</v>
      </c>
      <c r="S8" s="16">
        <v>56.121090435266957</v>
      </c>
      <c r="T8" s="16">
        <v>62.581743657238675</v>
      </c>
      <c r="U8" s="16">
        <v>95.835562299919246</v>
      </c>
      <c r="V8" s="17">
        <f t="shared" si="3"/>
        <v>265.16953651480401</v>
      </c>
      <c r="W8" s="18"/>
      <c r="X8" s="18"/>
      <c r="Y8" s="18"/>
      <c r="Z8" s="18"/>
    </row>
    <row r="9" spans="2:26">
      <c r="B9" s="19" t="s">
        <v>14</v>
      </c>
      <c r="C9" s="20">
        <v>1556.19</v>
      </c>
      <c r="D9" s="20">
        <v>1802.64</v>
      </c>
      <c r="E9" s="20">
        <v>1867.4</v>
      </c>
      <c r="F9" s="20">
        <v>2182.1999999999998</v>
      </c>
      <c r="G9" s="21">
        <f t="shared" si="0"/>
        <v>7408.4299999999994</v>
      </c>
      <c r="H9" s="20">
        <v>1270.4960074275205</v>
      </c>
      <c r="I9" s="20">
        <v>1476.805230945336</v>
      </c>
      <c r="J9" s="20">
        <v>1506.8767916362835</v>
      </c>
      <c r="K9" s="20">
        <v>1735.0196743866904</v>
      </c>
      <c r="L9" s="21">
        <f t="shared" si="1"/>
        <v>5989.1977043958304</v>
      </c>
      <c r="M9" s="20">
        <v>236.86052679580533</v>
      </c>
      <c r="N9" s="20">
        <v>271.0463060841135</v>
      </c>
      <c r="O9" s="20">
        <v>300.59186678035843</v>
      </c>
      <c r="P9" s="20">
        <v>355.5</v>
      </c>
      <c r="Q9" s="21">
        <f t="shared" si="2"/>
        <v>1163.9986996602772</v>
      </c>
      <c r="R9" s="20">
        <v>46.280749654825485</v>
      </c>
      <c r="S9" s="20">
        <v>51.298985772638915</v>
      </c>
      <c r="T9" s="20">
        <v>57.22076574797812</v>
      </c>
      <c r="U9" s="20">
        <v>87.6</v>
      </c>
      <c r="V9" s="21">
        <f t="shared" si="3"/>
        <v>242.40050117544251</v>
      </c>
      <c r="W9" s="18"/>
      <c r="X9" s="18"/>
      <c r="Y9" s="18"/>
      <c r="Z9" s="18"/>
    </row>
    <row r="10" spans="2:26">
      <c r="B10" s="22" t="s">
        <v>15</v>
      </c>
      <c r="C10" s="23">
        <v>1082.4000000000001</v>
      </c>
      <c r="D10" s="23">
        <v>1230.5</v>
      </c>
      <c r="E10" s="23">
        <v>1316.6</v>
      </c>
      <c r="F10" s="23">
        <v>1504.5</v>
      </c>
      <c r="G10" s="24">
        <f t="shared" si="0"/>
        <v>5134</v>
      </c>
      <c r="H10" s="23">
        <v>873.7</v>
      </c>
      <c r="I10" s="23">
        <v>992.1</v>
      </c>
      <c r="J10" s="23">
        <v>1062.4000000000001</v>
      </c>
      <c r="K10" s="23">
        <v>1185.5999999999999</v>
      </c>
      <c r="L10" s="24">
        <f t="shared" si="1"/>
        <v>4113.8</v>
      </c>
      <c r="M10" s="23">
        <v>165.11702869283914</v>
      </c>
      <c r="N10" s="23">
        <v>190.95031085086282</v>
      </c>
      <c r="O10" s="23">
        <v>202.4</v>
      </c>
      <c r="P10" s="23">
        <v>240.9</v>
      </c>
      <c r="Q10" s="24">
        <f t="shared" si="2"/>
        <v>799.36733954370197</v>
      </c>
      <c r="R10" s="23">
        <v>41.766173333689636</v>
      </c>
      <c r="S10" s="23">
        <v>44.760879038043072</v>
      </c>
      <c r="T10" s="23">
        <v>49.858351802222387</v>
      </c>
      <c r="U10" s="23">
        <v>75.05100618782447</v>
      </c>
      <c r="V10" s="24">
        <f t="shared" si="3"/>
        <v>211.43641036177956</v>
      </c>
      <c r="W10" s="18"/>
      <c r="X10" s="18"/>
      <c r="Y10" s="18"/>
      <c r="Z10" s="18"/>
    </row>
    <row r="11" spans="2:26">
      <c r="B11" s="25" t="s">
        <v>16</v>
      </c>
      <c r="C11" s="26">
        <v>-602.7352746361862</v>
      </c>
      <c r="D11" s="26">
        <v>-660.66729365404649</v>
      </c>
      <c r="E11" s="26">
        <v>-664.64799339031492</v>
      </c>
      <c r="F11" s="26">
        <v>-752.4933640083932</v>
      </c>
      <c r="G11" s="27">
        <f t="shared" si="0"/>
        <v>-2680.5439256889408</v>
      </c>
      <c r="H11" s="26">
        <v>-471.20817459802561</v>
      </c>
      <c r="I11" s="26">
        <v>-517.35993851972489</v>
      </c>
      <c r="J11" s="26">
        <v>-508.64119328915615</v>
      </c>
      <c r="K11" s="26">
        <v>-579.75958738546922</v>
      </c>
      <c r="L11" s="27">
        <f t="shared" si="1"/>
        <v>-2076.9688937923761</v>
      </c>
      <c r="M11" s="26">
        <v>-120.71837287100524</v>
      </c>
      <c r="N11" s="26">
        <v>-134.77988900653025</v>
      </c>
      <c r="O11" s="26">
        <v>-145.86780817167022</v>
      </c>
      <c r="P11" s="26">
        <v>-160.69999999999999</v>
      </c>
      <c r="Q11" s="27">
        <f t="shared" si="2"/>
        <v>-562.06607004920579</v>
      </c>
      <c r="R11" s="26">
        <v>-7.2241903654446427</v>
      </c>
      <c r="S11" s="26">
        <v>-4.5633138788534078</v>
      </c>
      <c r="T11" s="26">
        <v>-6.2205076571785414</v>
      </c>
      <c r="U11" s="26">
        <v>-8.4</v>
      </c>
      <c r="V11" s="27">
        <f t="shared" si="3"/>
        <v>-26.408011901476591</v>
      </c>
      <c r="W11" s="18"/>
      <c r="X11" s="18"/>
      <c r="Y11" s="18"/>
      <c r="Z11" s="18"/>
    </row>
    <row r="12" spans="2:26">
      <c r="B12" s="11" t="s">
        <v>17</v>
      </c>
      <c r="C12" s="12">
        <v>-263.77685488040322</v>
      </c>
      <c r="D12" s="12">
        <v>-257.97478159145049</v>
      </c>
      <c r="E12" s="12">
        <v>-278.06645118879919</v>
      </c>
      <c r="F12" s="12">
        <v>-308.78422563136803</v>
      </c>
      <c r="G12" s="13">
        <f t="shared" si="0"/>
        <v>-1108.6023132920209</v>
      </c>
      <c r="H12" s="12">
        <v>-189.1536837867373</v>
      </c>
      <c r="I12" s="12">
        <v>-176.95674578802067</v>
      </c>
      <c r="J12" s="12">
        <v>-190.37872014291338</v>
      </c>
      <c r="K12" s="12">
        <v>-208.21674605265764</v>
      </c>
      <c r="L12" s="13">
        <f t="shared" si="1"/>
        <v>-764.70589577032899</v>
      </c>
      <c r="M12" s="12">
        <v>-40.434627768257258</v>
      </c>
      <c r="N12" s="12">
        <v>-42.338498279363563</v>
      </c>
      <c r="O12" s="12">
        <v>-43.656053398209409</v>
      </c>
      <c r="P12" s="12">
        <v>-55.8</v>
      </c>
      <c r="Q12" s="13">
        <f t="shared" si="2"/>
        <v>-182.22917944583023</v>
      </c>
      <c r="R12" s="12">
        <v>-31.745608723418385</v>
      </c>
      <c r="S12" s="12">
        <v>-35.991579457417856</v>
      </c>
      <c r="T12" s="12">
        <v>-41.505643704177217</v>
      </c>
      <c r="U12" s="12">
        <v>-41.8</v>
      </c>
      <c r="V12" s="13">
        <f t="shared" si="3"/>
        <v>-151.04283188501347</v>
      </c>
      <c r="W12" s="18"/>
      <c r="X12" s="18"/>
      <c r="Y12" s="18"/>
      <c r="Z12" s="18"/>
    </row>
    <row r="13" spans="2:26">
      <c r="B13" s="11" t="s">
        <v>20</v>
      </c>
      <c r="C13" s="12">
        <v>11.258361831562448</v>
      </c>
      <c r="D13" s="12">
        <v>4.1977651844441706</v>
      </c>
      <c r="E13" s="12">
        <v>1.5092709668031541</v>
      </c>
      <c r="F13" s="12">
        <v>2.8206388439950825</v>
      </c>
      <c r="G13" s="13">
        <f t="shared" si="0"/>
        <v>19.786036826804853</v>
      </c>
      <c r="H13" s="12">
        <v>5.5853200999999988</v>
      </c>
      <c r="I13" s="12">
        <v>4.3584762799999952</v>
      </c>
      <c r="J13" s="12">
        <v>1.356518800000015</v>
      </c>
      <c r="K13" s="12">
        <v>3.105772949999964</v>
      </c>
      <c r="L13" s="13">
        <f t="shared" si="1"/>
        <v>14.406088129999972</v>
      </c>
      <c r="M13" s="12">
        <v>-0.55882832313126318</v>
      </c>
      <c r="N13" s="12">
        <v>-0.21365088138317451</v>
      </c>
      <c r="O13" s="12">
        <v>0.33860042722982531</v>
      </c>
      <c r="P13" s="12">
        <v>-0.33815706873035034</v>
      </c>
      <c r="Q13" s="13">
        <f t="shared" si="2"/>
        <v>-0.77203584601496278</v>
      </c>
      <c r="R13" s="12">
        <v>6.2318700546937116</v>
      </c>
      <c r="S13" s="12">
        <v>5.2939785827349858E-2</v>
      </c>
      <c r="T13" s="12">
        <v>-0.18584826042668617</v>
      </c>
      <c r="U13" s="12">
        <v>0.1</v>
      </c>
      <c r="V13" s="13">
        <f t="shared" si="3"/>
        <v>6.1989615800943749</v>
      </c>
      <c r="W13" s="18"/>
      <c r="X13" s="18"/>
      <c r="Y13" s="18"/>
      <c r="Z13" s="18"/>
    </row>
    <row r="14" spans="2:26">
      <c r="B14" s="28" t="s">
        <v>21</v>
      </c>
      <c r="C14" s="29">
        <v>-51.892255767260124</v>
      </c>
      <c r="D14" s="29">
        <v>-61.170012759829042</v>
      </c>
      <c r="E14" s="29">
        <v>-63.657057511390825</v>
      </c>
      <c r="F14" s="29">
        <v>-91.559809081128151</v>
      </c>
      <c r="G14" s="30">
        <f t="shared" si="0"/>
        <v>-268.27913511960816</v>
      </c>
      <c r="H14" s="29">
        <v>-51.914331249999982</v>
      </c>
      <c r="I14" s="29">
        <v>-58.973704100000035</v>
      </c>
      <c r="J14" s="29">
        <v>-61.947635879999979</v>
      </c>
      <c r="K14" s="29">
        <v>-94.221377550000042</v>
      </c>
      <c r="L14" s="30">
        <f t="shared" si="1"/>
        <v>-267.05704878000006</v>
      </c>
      <c r="M14" s="29">
        <v>0.11957005582622116</v>
      </c>
      <c r="N14" s="29">
        <v>-0.39196333764782088</v>
      </c>
      <c r="O14" s="29">
        <v>-0.21102198792272819</v>
      </c>
      <c r="P14" s="29">
        <v>-0.8</v>
      </c>
      <c r="Q14" s="30">
        <f t="shared" si="2"/>
        <v>-1.283415269744328</v>
      </c>
      <c r="R14" s="29">
        <v>-9.7494573086367553E-2</v>
      </c>
      <c r="S14" s="29">
        <v>-1.8043453221811834</v>
      </c>
      <c r="T14" s="29">
        <v>-1.4983996434681215</v>
      </c>
      <c r="U14" s="29">
        <v>3.5</v>
      </c>
      <c r="V14" s="30">
        <f t="shared" si="3"/>
        <v>9.9760461264327471E-2</v>
      </c>
      <c r="W14" s="18"/>
      <c r="X14" s="18"/>
      <c r="Y14" s="18"/>
      <c r="Z14" s="18"/>
    </row>
    <row r="15" spans="2:26">
      <c r="B15" s="25" t="s">
        <v>22</v>
      </c>
      <c r="C15" s="26">
        <v>-57.125354369947019</v>
      </c>
      <c r="D15" s="26">
        <v>-78.369559192422884</v>
      </c>
      <c r="E15" s="26">
        <v>-98.210925584345333</v>
      </c>
      <c r="F15" s="26">
        <v>-121.46628001706985</v>
      </c>
      <c r="G15" s="27">
        <f t="shared" si="0"/>
        <v>-355.17211916378506</v>
      </c>
      <c r="H15" s="26">
        <v>-52.2058165517373</v>
      </c>
      <c r="I15" s="26">
        <v>-70.717838719167929</v>
      </c>
      <c r="J15" s="26">
        <v>-81.525933265670986</v>
      </c>
      <c r="K15" s="26">
        <v>-101.79072950238243</v>
      </c>
      <c r="L15" s="27">
        <f t="shared" si="1"/>
        <v>-306.24031803895866</v>
      </c>
      <c r="M15" s="26">
        <v>-4.6579893096418106</v>
      </c>
      <c r="N15" s="26">
        <v>-5.0994366243929266</v>
      </c>
      <c r="O15" s="26">
        <v>-12.971036775357261</v>
      </c>
      <c r="P15" s="26">
        <v>-13.4</v>
      </c>
      <c r="Q15" s="27">
        <f t="shared" si="2"/>
        <v>-36.128462709391997</v>
      </c>
      <c r="R15" s="26">
        <v>-0.26154850856791079</v>
      </c>
      <c r="S15" s="26">
        <v>-2.5522838488620336</v>
      </c>
      <c r="T15" s="26">
        <v>-3.7139555433170877</v>
      </c>
      <c r="U15" s="26">
        <v>-6.3</v>
      </c>
      <c r="V15" s="27">
        <f t="shared" si="3"/>
        <v>-12.827787900747033</v>
      </c>
      <c r="W15" s="18"/>
      <c r="X15" s="18"/>
      <c r="Y15" s="18"/>
      <c r="Z15" s="18"/>
    </row>
    <row r="16" spans="2:26">
      <c r="B16" s="11" t="s">
        <v>23</v>
      </c>
      <c r="C16" s="12">
        <v>-0.94616339046833842</v>
      </c>
      <c r="D16" s="12">
        <v>-0.6944552273840483</v>
      </c>
      <c r="E16" s="12">
        <v>1.059615401263033</v>
      </c>
      <c r="F16" s="12">
        <v>-7.8212298719222604</v>
      </c>
      <c r="G16" s="13">
        <f t="shared" si="0"/>
        <v>-8.4022330885116148</v>
      </c>
      <c r="H16" s="12">
        <v>0</v>
      </c>
      <c r="I16" s="12">
        <v>0</v>
      </c>
      <c r="J16" s="12">
        <v>0</v>
      </c>
      <c r="K16" s="12">
        <v>0</v>
      </c>
      <c r="L16" s="13">
        <f t="shared" si="1"/>
        <v>0</v>
      </c>
      <c r="M16" s="12">
        <v>0</v>
      </c>
      <c r="N16" s="12">
        <v>0</v>
      </c>
      <c r="O16" s="12">
        <v>0</v>
      </c>
      <c r="P16" s="12">
        <v>0</v>
      </c>
      <c r="Q16" s="13">
        <f t="shared" si="2"/>
        <v>0</v>
      </c>
      <c r="R16" s="12">
        <v>-0.94616339046833842</v>
      </c>
      <c r="S16" s="12">
        <v>-0.6944552273840483</v>
      </c>
      <c r="T16" s="12">
        <v>1.059615401263033</v>
      </c>
      <c r="U16" s="12">
        <v>-7.8</v>
      </c>
      <c r="V16" s="13">
        <f t="shared" si="3"/>
        <v>-8.3810032165893542</v>
      </c>
      <c r="W16" s="18"/>
      <c r="X16" s="18"/>
      <c r="Y16" s="18"/>
      <c r="Z16" s="18"/>
    </row>
    <row r="17" spans="2:26">
      <c r="B17" s="22" t="s">
        <v>24</v>
      </c>
      <c r="C17" s="23">
        <v>117.2</v>
      </c>
      <c r="D17" s="23">
        <v>175.84876181670245</v>
      </c>
      <c r="E17" s="23">
        <v>214.63334847779095</v>
      </c>
      <c r="F17" s="23">
        <v>225.18015065608776</v>
      </c>
      <c r="G17" s="24">
        <f t="shared" si="0"/>
        <v>732.86226095058112</v>
      </c>
      <c r="H17" s="23">
        <v>114.8</v>
      </c>
      <c r="I17" s="23">
        <v>172.5</v>
      </c>
      <c r="J17" s="23">
        <v>221.2</v>
      </c>
      <c r="K17" s="23">
        <v>204.8</v>
      </c>
      <c r="L17" s="24">
        <f t="shared" si="1"/>
        <v>713.3</v>
      </c>
      <c r="M17" s="23">
        <v>-1.1332195233702818</v>
      </c>
      <c r="N17" s="23">
        <v>8.12687272154505</v>
      </c>
      <c r="O17" s="23">
        <v>5.9586018628132287E-2</v>
      </c>
      <c r="P17" s="23">
        <v>9.7960988471944042</v>
      </c>
      <c r="Q17" s="24">
        <f t="shared" si="2"/>
        <v>16.849338063997305</v>
      </c>
      <c r="R17" s="23">
        <v>7.7230378273977074</v>
      </c>
      <c r="S17" s="23">
        <v>-0.7921589108281013</v>
      </c>
      <c r="T17" s="23">
        <v>-2.2063876050822384</v>
      </c>
      <c r="U17" s="23">
        <v>14.4</v>
      </c>
      <c r="V17" s="24">
        <f t="shared" si="3"/>
        <v>19.124491311487368</v>
      </c>
      <c r="W17" s="18"/>
      <c r="X17" s="18"/>
      <c r="Y17" s="18"/>
      <c r="Z17" s="18"/>
    </row>
    <row r="18" spans="2:26">
      <c r="B18" s="19" t="s">
        <v>25</v>
      </c>
      <c r="C18" s="20">
        <v>283.61592528870142</v>
      </c>
      <c r="D18" s="20">
        <v>352.33376829000736</v>
      </c>
      <c r="E18" s="20">
        <v>427.0904753427842</v>
      </c>
      <c r="F18" s="20">
        <v>491.42662916844108</v>
      </c>
      <c r="G18" s="31">
        <f t="shared" si="0"/>
        <v>1554.4667980899339</v>
      </c>
      <c r="H18" s="20">
        <v>269.89999999999998</v>
      </c>
      <c r="I18" s="20">
        <v>331.94</v>
      </c>
      <c r="J18" s="20">
        <v>409.14</v>
      </c>
      <c r="K18" s="20">
        <v>440.74</v>
      </c>
      <c r="L18" s="31">
        <f t="shared" si="1"/>
        <v>1451.7199999999998</v>
      </c>
      <c r="M18" s="20">
        <v>5.8439602063747831</v>
      </c>
      <c r="N18" s="20">
        <v>16.388381119087278</v>
      </c>
      <c r="O18" s="20">
        <v>15.814938520595557</v>
      </c>
      <c r="P18" s="20">
        <v>26.631276686561939</v>
      </c>
      <c r="Q18" s="31">
        <f t="shared" si="2"/>
        <v>64.678556532619552</v>
      </c>
      <c r="R18" s="20">
        <v>11.766064656231251</v>
      </c>
      <c r="S18" s="20">
        <v>7.6566219488615737</v>
      </c>
      <c r="T18" s="20">
        <v>6.2309025501279418</v>
      </c>
      <c r="U18" s="20">
        <v>27.4</v>
      </c>
      <c r="V18" s="31">
        <f t="shared" si="3"/>
        <v>53.053589155220763</v>
      </c>
      <c r="W18" s="18"/>
      <c r="X18" s="18"/>
      <c r="Y18" s="18"/>
      <c r="Z18" s="18"/>
    </row>
    <row r="19" spans="2:26">
      <c r="B19" s="32"/>
      <c r="C19" s="33"/>
      <c r="D19" s="34"/>
      <c r="E19" s="34"/>
      <c r="F19" s="7"/>
      <c r="G19" s="33"/>
      <c r="H19" s="33"/>
      <c r="I19" s="34"/>
      <c r="J19" s="34"/>
      <c r="K19" s="7"/>
      <c r="L19" s="33"/>
      <c r="M19" s="33"/>
      <c r="N19" s="34"/>
      <c r="O19" s="34"/>
      <c r="P19" s="7"/>
      <c r="Q19" s="33"/>
      <c r="R19" s="33"/>
      <c r="S19" s="34"/>
      <c r="T19" s="34"/>
      <c r="U19" s="7"/>
      <c r="V19" s="33"/>
      <c r="W19" s="18"/>
      <c r="X19" s="18"/>
      <c r="Y19" s="18"/>
      <c r="Z19" s="18"/>
    </row>
    <row r="20" spans="2:26">
      <c r="B20" s="8"/>
      <c r="C20" s="9"/>
      <c r="D20" s="10"/>
      <c r="E20" s="10"/>
      <c r="F20" s="35"/>
      <c r="G20" s="9"/>
      <c r="H20" s="9"/>
      <c r="I20" s="10"/>
      <c r="J20" s="10"/>
      <c r="K20" s="35"/>
      <c r="L20" s="9"/>
      <c r="M20" s="9"/>
      <c r="N20" s="10"/>
      <c r="O20" s="10"/>
      <c r="P20" s="35"/>
      <c r="Q20" s="9"/>
      <c r="R20" s="9"/>
      <c r="S20" s="10"/>
      <c r="T20" s="10"/>
      <c r="U20" s="35"/>
      <c r="V20" s="9"/>
      <c r="W20" s="18"/>
      <c r="X20" s="18"/>
      <c r="Y20" s="18"/>
      <c r="Z20" s="18"/>
    </row>
    <row r="21" spans="2:26">
      <c r="B21" s="36" t="s">
        <v>26</v>
      </c>
      <c r="C21" s="37">
        <v>0.69599999999999995</v>
      </c>
      <c r="D21" s="37">
        <v>0.68300000000000005</v>
      </c>
      <c r="E21" s="37">
        <v>0.70850731223137886</v>
      </c>
      <c r="F21" s="37">
        <v>0.68899999999999995</v>
      </c>
      <c r="G21" s="37">
        <v>0.69299999999999995</v>
      </c>
      <c r="H21" s="37">
        <v>0.68799999999999994</v>
      </c>
      <c r="I21" s="37">
        <v>0.67200000000000004</v>
      </c>
      <c r="J21" s="37">
        <v>0.70499999999999996</v>
      </c>
      <c r="K21" s="37">
        <v>0.68300000000000005</v>
      </c>
      <c r="L21" s="37">
        <v>0.68700000000000006</v>
      </c>
      <c r="M21" s="37">
        <v>0.6971065670017047</v>
      </c>
      <c r="N21" s="37">
        <v>0.70449331558720973</v>
      </c>
      <c r="O21" s="37">
        <v>0.67300000000000004</v>
      </c>
      <c r="P21" s="37">
        <v>0.67800000000000005</v>
      </c>
      <c r="Q21" s="37">
        <v>0.68700000000000006</v>
      </c>
      <c r="R21" s="37">
        <v>0.90245239425016244</v>
      </c>
      <c r="S21" s="37">
        <v>0.87254900586976059</v>
      </c>
      <c r="T21" s="37">
        <v>0.87133318036702645</v>
      </c>
      <c r="U21" s="37">
        <v>0.85699999999999998</v>
      </c>
      <c r="V21" s="37">
        <v>0.872</v>
      </c>
    </row>
    <row r="22" spans="2:26">
      <c r="B22" s="36" t="s">
        <v>27</v>
      </c>
      <c r="C22" s="37">
        <v>0.38725624573976608</v>
      </c>
      <c r="D22" s="37">
        <v>0.36699999999999999</v>
      </c>
      <c r="E22" s="37">
        <v>0.35601578911597676</v>
      </c>
      <c r="F22" s="37">
        <v>0.34499999999999997</v>
      </c>
      <c r="G22" s="37">
        <v>0.36199999999999999</v>
      </c>
      <c r="H22" s="37">
        <v>0.370813110237107</v>
      </c>
      <c r="I22" s="37">
        <v>0.35</v>
      </c>
      <c r="J22" s="37">
        <v>0.3376992673014656</v>
      </c>
      <c r="K22" s="37">
        <v>0.33400000000000002</v>
      </c>
      <c r="L22" s="37">
        <v>0.34699999999999998</v>
      </c>
      <c r="M22" s="37">
        <v>0.50966015529922015</v>
      </c>
      <c r="N22" s="37">
        <v>0.49725779684562149</v>
      </c>
      <c r="O22" s="37">
        <v>0.48499999999999999</v>
      </c>
      <c r="P22" s="37">
        <v>0.45200000000000001</v>
      </c>
      <c r="Q22" s="37">
        <v>0.48299999999999998</v>
      </c>
      <c r="R22" s="37">
        <v>0.15609492973481706</v>
      </c>
      <c r="S22" s="37">
        <v>8.8955245608136752E-2</v>
      </c>
      <c r="T22" s="37">
        <v>0.10871066781203188</v>
      </c>
      <c r="U22" s="37">
        <v>9.5000000000000001E-2</v>
      </c>
      <c r="V22" s="37">
        <v>0.109</v>
      </c>
    </row>
    <row r="23" spans="2:26">
      <c r="B23" s="36" t="s">
        <v>28</v>
      </c>
      <c r="C23" s="37">
        <v>0.17</v>
      </c>
      <c r="D23" s="37">
        <v>0.14299999999999999</v>
      </c>
      <c r="E23" s="37">
        <v>0.14899999999999999</v>
      </c>
      <c r="F23" s="37">
        <v>0.14099999999999999</v>
      </c>
      <c r="G23" s="37">
        <v>0.15</v>
      </c>
      <c r="H23" s="37">
        <v>0.14899999999999999</v>
      </c>
      <c r="I23" s="37">
        <v>0.12</v>
      </c>
      <c r="J23" s="37">
        <v>0.126</v>
      </c>
      <c r="K23" s="37">
        <v>0.12</v>
      </c>
      <c r="L23" s="37">
        <v>0.128</v>
      </c>
      <c r="M23" s="37">
        <v>0.1707107060650738</v>
      </c>
      <c r="N23" s="37">
        <v>0.15620393021045159</v>
      </c>
      <c r="O23" s="37">
        <v>0.14499999999999999</v>
      </c>
      <c r="P23" s="37">
        <v>0.157</v>
      </c>
      <c r="Q23" s="37">
        <v>0.15722865906888137</v>
      </c>
      <c r="R23" s="37">
        <v>0.6859354906777837</v>
      </c>
      <c r="S23" s="37">
        <v>0.70160411390851529</v>
      </c>
      <c r="T23" s="37">
        <v>0.72535980883205509</v>
      </c>
      <c r="U23" s="37">
        <v>0.47699999999999998</v>
      </c>
      <c r="V23" s="37">
        <v>0.623</v>
      </c>
    </row>
    <row r="24" spans="2:26">
      <c r="B24" s="36" t="s">
        <v>29</v>
      </c>
      <c r="C24" s="37">
        <v>7.5274046073852158E-2</v>
      </c>
      <c r="D24" s="37">
        <v>9.755072478973667E-2</v>
      </c>
      <c r="E24" s="37">
        <v>0.11494493236089107</v>
      </c>
      <c r="F24" s="37">
        <v>0.10318774737493681</v>
      </c>
      <c r="G24" s="37">
        <v>9.9000000000000005E-2</v>
      </c>
      <c r="H24" s="37">
        <v>0.09</v>
      </c>
      <c r="I24" s="37">
        <v>0.11700000000000001</v>
      </c>
      <c r="J24" s="37">
        <v>0.14699999999999999</v>
      </c>
      <c r="K24" s="37">
        <v>0.11799999999999999</v>
      </c>
      <c r="L24" s="37">
        <v>0.11899999999999999</v>
      </c>
      <c r="M24" s="37">
        <v>-4.7843325297808499E-3</v>
      </c>
      <c r="N24" s="37">
        <v>2.9983336939567302E-2</v>
      </c>
      <c r="O24" s="37">
        <v>0</v>
      </c>
      <c r="P24" s="37">
        <v>2.8000000000000001E-2</v>
      </c>
      <c r="Q24" s="37">
        <v>1.4E-2</v>
      </c>
      <c r="R24" s="37">
        <v>0.16687365448913943</v>
      </c>
      <c r="S24" s="37">
        <v>-1.5441999464453567E-2</v>
      </c>
      <c r="T24" s="37">
        <v>-3.8559211437330349E-2</v>
      </c>
      <c r="U24" s="37">
        <v>0.16400000000000001</v>
      </c>
      <c r="V24" s="37">
        <v>7.9000000000000001E-2</v>
      </c>
    </row>
    <row r="25" spans="2:26">
      <c r="B25" s="36" t="s">
        <v>30</v>
      </c>
      <c r="C25" s="37">
        <v>0.18225037914739947</v>
      </c>
      <c r="D25" s="37">
        <v>0.19545440132479108</v>
      </c>
      <c r="E25" s="37">
        <v>0.22872440908378641</v>
      </c>
      <c r="F25" s="37">
        <v>0.22519394678528662</v>
      </c>
      <c r="G25" s="37">
        <v>0.21</v>
      </c>
      <c r="H25" s="37">
        <v>0.21199999999999999</v>
      </c>
      <c r="I25" s="37">
        <v>0.22500000000000001</v>
      </c>
      <c r="J25" s="37">
        <v>0.27200000000000002</v>
      </c>
      <c r="K25" s="37">
        <v>0.254</v>
      </c>
      <c r="L25" s="37">
        <v>0.24199999999999999</v>
      </c>
      <c r="M25" s="37">
        <v>2.4672579620718643E-2</v>
      </c>
      <c r="N25" s="37">
        <v>6.0463399615567945E-2</v>
      </c>
      <c r="O25" s="37">
        <v>5.2999999999999999E-2</v>
      </c>
      <c r="P25" s="37">
        <v>7.4999999999999997E-2</v>
      </c>
      <c r="Q25" s="37">
        <v>5.6000000000000001E-2</v>
      </c>
      <c r="R25" s="37">
        <v>0.2542323696998382</v>
      </c>
      <c r="S25" s="37">
        <v>0.14925484068625286</v>
      </c>
      <c r="T25" s="37">
        <v>0.108892330759277</v>
      </c>
      <c r="U25" s="37">
        <v>0.313</v>
      </c>
      <c r="V25" s="37">
        <v>0.219</v>
      </c>
    </row>
    <row r="26" spans="2:26">
      <c r="B26" s="32"/>
      <c r="C26" s="33"/>
      <c r="D26" s="34"/>
      <c r="E26" s="34"/>
      <c r="F26" s="7"/>
      <c r="G26" s="33"/>
      <c r="H26" s="33"/>
      <c r="I26" s="34"/>
      <c r="J26" s="34"/>
      <c r="K26" s="7"/>
      <c r="L26" s="33"/>
      <c r="M26" s="33"/>
      <c r="N26" s="34"/>
      <c r="O26" s="34"/>
      <c r="P26" s="7"/>
      <c r="Q26" s="33"/>
      <c r="R26" s="33"/>
      <c r="S26" s="34"/>
      <c r="T26" s="34"/>
      <c r="U26" s="7"/>
      <c r="V26" s="33"/>
    </row>
    <row r="27" spans="2:26">
      <c r="B27" s="1" t="s">
        <v>31</v>
      </c>
      <c r="C27" s="38"/>
    </row>
    <row r="32" spans="2:26">
      <c r="C32" s="18"/>
      <c r="D32" s="18"/>
      <c r="E32" s="18"/>
      <c r="F32" s="18"/>
      <c r="G32" s="18"/>
      <c r="H32" s="18"/>
      <c r="I32" s="18"/>
      <c r="J32" s="18"/>
      <c r="K32" s="18"/>
      <c r="L32" s="18"/>
      <c r="M32" s="18"/>
      <c r="N32" s="18"/>
      <c r="O32" s="18"/>
      <c r="P32" s="18"/>
      <c r="Q32" s="18"/>
      <c r="R32" s="18"/>
      <c r="S32" s="18"/>
      <c r="T32" s="18"/>
      <c r="U32" s="18"/>
      <c r="V32" s="18"/>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91"/>
  <sheetViews>
    <sheetView showGridLines="0" workbookViewId="0">
      <selection activeCell="I22" sqref="I22"/>
    </sheetView>
  </sheetViews>
  <sheetFormatPr defaultColWidth="9.140625" defaultRowHeight="15"/>
  <cols>
    <col min="1" max="1" width="2.7109375" customWidth="1"/>
    <col min="2" max="2" width="28.7109375" bestFit="1" customWidth="1"/>
    <col min="3" max="3" width="16.85546875" bestFit="1" customWidth="1"/>
    <col min="4" max="4" width="12.85546875" bestFit="1" customWidth="1"/>
    <col min="5" max="5" width="13.85546875" bestFit="1" customWidth="1"/>
    <col min="6" max="6" width="11.5703125" bestFit="1" customWidth="1"/>
    <col min="8" max="8" width="14" customWidth="1"/>
    <col min="9" max="9" width="12.85546875" bestFit="1" customWidth="1"/>
    <col min="10" max="10" width="11.7109375" customWidth="1"/>
    <col min="11" max="11" width="14.85546875" bestFit="1" customWidth="1"/>
    <col min="13" max="13" width="11.5703125" bestFit="1" customWidth="1"/>
  </cols>
  <sheetData>
    <row r="1" spans="2:16">
      <c r="B1" s="177" t="s">
        <v>33</v>
      </c>
      <c r="C1" s="177" t="s">
        <v>34</v>
      </c>
      <c r="D1" s="177" t="s">
        <v>35</v>
      </c>
      <c r="E1" s="177" t="s">
        <v>36</v>
      </c>
      <c r="L1" s="2338" t="s">
        <v>37</v>
      </c>
      <c r="M1" s="2339" cm="1">
        <f t="array" aca="1" ref="M1" ca="1">+_FV(H11,"Price")</f>
        <v>10.52</v>
      </c>
      <c r="O1" t="s">
        <v>38</v>
      </c>
    </row>
    <row r="2" spans="2:16">
      <c r="B2" s="921">
        <f ca="1">(1+WACC!E8)^(E2/360)</f>
        <v>1.1115876328514269</v>
      </c>
      <c r="C2" s="179">
        <f ca="1">+TODAY()</f>
        <v>46118</v>
      </c>
      <c r="D2" s="179">
        <v>46387</v>
      </c>
      <c r="E2" s="180">
        <f ca="1">+DAYS360(C2,D2)</f>
        <v>265</v>
      </c>
      <c r="L2" s="202" t="s">
        <v>39</v>
      </c>
      <c r="M2" s="2340" cm="1">
        <f t="array" aca="1" ref="M2" ca="1">+_FV(H11,"Market cap",TRUE)/1000000</f>
        <v>14460.35016</v>
      </c>
      <c r="O2" s="202"/>
    </row>
    <row r="3" spans="2:16" ht="15.75" thickBot="1">
      <c r="B3" s="181"/>
      <c r="C3" s="182" t="s">
        <v>40</v>
      </c>
      <c r="D3" s="181"/>
      <c r="E3" s="182"/>
      <c r="L3" s="202" t="s">
        <v>41</v>
      </c>
      <c r="M3" s="2341">
        <f>+Resumo!Q38</f>
        <v>1022.7265975424066</v>
      </c>
      <c r="O3" s="105"/>
      <c r="P3" s="2342"/>
    </row>
    <row r="4" spans="2:16">
      <c r="B4" s="183" t="s">
        <v>42</v>
      </c>
      <c r="C4" s="183">
        <f ca="1">+SUM(WACC!F16:I16)</f>
        <v>3455.7631606947762</v>
      </c>
      <c r="D4" s="184" t="s">
        <v>43</v>
      </c>
      <c r="E4" s="183"/>
      <c r="L4" s="2343" t="s">
        <v>44</v>
      </c>
      <c r="M4" s="2344">
        <f ca="1">+M2/M3</f>
        <v>14.139018379641204</v>
      </c>
      <c r="P4" s="154"/>
    </row>
    <row r="5" spans="2:16" ht="15.75" thickBot="1">
      <c r="B5" s="183" t="s">
        <v>45</v>
      </c>
      <c r="C5" s="183">
        <f ca="1">+C31</f>
        <v>3039.7350213239115</v>
      </c>
      <c r="D5" s="185">
        <f>+I15</f>
        <v>6.7500000000000004E-2</v>
      </c>
      <c r="E5" s="183"/>
      <c r="K5" s="105"/>
      <c r="L5" s="2345" t="s">
        <v>46</v>
      </c>
      <c r="M5" s="2346">
        <f ca="1">+M7/M4-1</f>
        <v>-0.47938661372142988</v>
      </c>
      <c r="P5" s="1582"/>
    </row>
    <row r="6" spans="2:16" ht="15.75" thickBot="1">
      <c r="B6" s="183" t="s">
        <v>47</v>
      </c>
      <c r="C6" s="183">
        <f ca="1">+C4+C5</f>
        <v>6495.4981820186877</v>
      </c>
      <c r="D6" s="184"/>
      <c r="E6" s="183"/>
      <c r="J6" s="186"/>
      <c r="L6" s="202"/>
      <c r="P6" s="154"/>
    </row>
    <row r="7" spans="2:16" ht="15.75" thickBot="1">
      <c r="B7" s="183" t="s">
        <v>48</v>
      </c>
      <c r="C7" s="187">
        <f>+PROJ!BO157</f>
        <v>6357.2209754719606</v>
      </c>
      <c r="D7" s="188"/>
      <c r="E7" s="189"/>
      <c r="K7" s="105"/>
      <c r="L7" s="2347" t="s">
        <v>49</v>
      </c>
      <c r="M7" s="2348">
        <f>+M9*M27+P9*P27</f>
        <v>7.3609622372799492</v>
      </c>
      <c r="P7" s="2349"/>
    </row>
    <row r="8" spans="2:16">
      <c r="B8" s="183" t="s">
        <v>50</v>
      </c>
      <c r="C8" s="187">
        <f>+PROJ!BO155</f>
        <v>2654.1154966839144</v>
      </c>
      <c r="D8" s="177"/>
      <c r="E8" s="189"/>
      <c r="L8" s="202"/>
    </row>
    <row r="9" spans="2:16">
      <c r="B9" s="183" t="s">
        <v>51</v>
      </c>
      <c r="C9" s="189">
        <f>+PROJ!BO156</f>
        <v>1180.547</v>
      </c>
      <c r="E9" s="189"/>
      <c r="K9" s="105"/>
      <c r="L9" s="2350" t="s">
        <v>52</v>
      </c>
      <c r="M9" s="2351">
        <v>0.5</v>
      </c>
      <c r="O9" s="2350" t="s">
        <v>985</v>
      </c>
      <c r="P9" s="2351">
        <f>1-M9</f>
        <v>0.5</v>
      </c>
    </row>
    <row r="10" spans="2:16">
      <c r="B10" s="183" t="s">
        <v>53</v>
      </c>
      <c r="C10" s="189">
        <v>0</v>
      </c>
      <c r="D10" s="183"/>
      <c r="E10" s="189"/>
      <c r="L10" s="2352"/>
      <c r="M10" s="2353"/>
      <c r="O10" s="105"/>
      <c r="P10" s="2353"/>
    </row>
    <row r="11" spans="2:16">
      <c r="B11" s="183" t="s">
        <v>54</v>
      </c>
      <c r="C11" s="189">
        <v>0</v>
      </c>
      <c r="D11" s="183"/>
      <c r="E11" s="189"/>
      <c r="H11" t="e" vm="1">
        <v>#VALUE!</v>
      </c>
      <c r="I11" s="770">
        <v>2025</v>
      </c>
      <c r="K11" s="105"/>
      <c r="L11" s="2354"/>
      <c r="M11" s="2355"/>
      <c r="N11" s="2356"/>
      <c r="O11" s="2354"/>
      <c r="P11" s="2355"/>
    </row>
    <row r="12" spans="2:16">
      <c r="B12" s="183" t="s">
        <v>55</v>
      </c>
      <c r="C12" s="189">
        <v>0</v>
      </c>
      <c r="D12" s="183"/>
      <c r="E12" s="189"/>
      <c r="H12" t="s">
        <v>56</v>
      </c>
      <c r="I12" s="1240">
        <v>0.12</v>
      </c>
      <c r="L12" s="2357" t="s">
        <v>56</v>
      </c>
      <c r="M12" s="2358">
        <f>+I12</f>
        <v>0.12</v>
      </c>
      <c r="N12" s="2359"/>
      <c r="O12" s="218" t="s">
        <v>56</v>
      </c>
      <c r="P12" s="2358">
        <f>+M12</f>
        <v>0.12</v>
      </c>
    </row>
    <row r="13" spans="2:16">
      <c r="B13" s="183" t="s">
        <v>57</v>
      </c>
      <c r="C13" s="187">
        <f>+PROJ!BO233</f>
        <v>0</v>
      </c>
      <c r="D13" s="183"/>
      <c r="E13" s="189"/>
      <c r="H13" t="s">
        <v>58</v>
      </c>
      <c r="I13" s="191">
        <v>0.15</v>
      </c>
      <c r="K13" s="105"/>
      <c r="L13" s="2357" t="s">
        <v>58</v>
      </c>
      <c r="M13" s="2358">
        <f>+I13</f>
        <v>0.15</v>
      </c>
      <c r="N13" s="2360"/>
      <c r="O13" s="218" t="s">
        <v>58</v>
      </c>
      <c r="P13" s="2361">
        <f>+M13</f>
        <v>0.15</v>
      </c>
    </row>
    <row r="14" spans="2:16">
      <c r="B14" s="183" t="s">
        <v>59</v>
      </c>
      <c r="C14" s="189">
        <v>0</v>
      </c>
      <c r="D14" s="183"/>
      <c r="E14" s="189"/>
      <c r="H14" t="s">
        <v>60</v>
      </c>
      <c r="I14" s="192">
        <f>+Resumo!V38</f>
        <v>0.11561800880534845</v>
      </c>
      <c r="L14" s="2362" t="s">
        <v>60</v>
      </c>
      <c r="M14" s="2358">
        <f>+I14</f>
        <v>0.11561800880534845</v>
      </c>
      <c r="N14" s="2363"/>
      <c r="O14" s="2364" t="s">
        <v>60</v>
      </c>
      <c r="P14" s="2358">
        <f>+M14</f>
        <v>0.11561800880534845</v>
      </c>
    </row>
    <row r="15" spans="2:16">
      <c r="B15" s="183" t="s">
        <v>61</v>
      </c>
      <c r="C15" s="183">
        <f ca="1">+C6-C7+C8+C9+C10+C11-C12+C13-C14</f>
        <v>3972.9397032306415</v>
      </c>
      <c r="D15" s="183"/>
      <c r="E15" s="183"/>
      <c r="H15" t="s">
        <v>62</v>
      </c>
      <c r="I15" s="193">
        <f>+I19+I20+I21</f>
        <v>6.7500000000000004E-2</v>
      </c>
      <c r="K15" s="105"/>
      <c r="L15" s="2357" t="s">
        <v>62</v>
      </c>
      <c r="M15" s="2365">
        <f>+M19+M20+M21</f>
        <v>7.0000000000000007E-2</v>
      </c>
      <c r="N15" s="2366"/>
      <c r="O15" s="218" t="s">
        <v>62</v>
      </c>
      <c r="P15" s="2365">
        <f>+P19+P20+P21</f>
        <v>7.5000000000000011E-2</v>
      </c>
    </row>
    <row r="16" spans="2:16">
      <c r="B16" s="196" t="s">
        <v>63</v>
      </c>
      <c r="C16" s="827" cm="1">
        <f t="array" aca="1" ref="C16" ca="1">+_FV(H11,"Shares outstanding",TRUE)/1000000</f>
        <v>1374.558</v>
      </c>
      <c r="D16" s="197"/>
      <c r="E16" s="920"/>
      <c r="H16" t="s">
        <v>64</v>
      </c>
      <c r="I16" s="190">
        <f>+(I22+I19)+(I24*I23)</f>
        <v>0.15250000000000002</v>
      </c>
      <c r="L16" s="2357" t="s">
        <v>64</v>
      </c>
      <c r="M16" s="2367">
        <f>+(M22+M19)+(M24*M23)</f>
        <v>0.16</v>
      </c>
      <c r="N16" s="2356"/>
      <c r="O16" s="218" t="s">
        <v>64</v>
      </c>
      <c r="P16" s="2367">
        <f>+(P22+P19)+(P24*P23)</f>
        <v>0.13</v>
      </c>
    </row>
    <row r="17" spans="2:16">
      <c r="B17" s="183" t="s">
        <v>975</v>
      </c>
      <c r="C17" s="199">
        <f ca="1">+C15/C16</f>
        <v>2.8903398061272361</v>
      </c>
      <c r="D17" s="200"/>
      <c r="E17" s="199"/>
      <c r="H17" t="s">
        <v>65</v>
      </c>
      <c r="I17" s="194">
        <v>5</v>
      </c>
      <c r="K17" s="105"/>
      <c r="L17" s="2357" t="s">
        <v>65</v>
      </c>
      <c r="M17" s="2368">
        <f>+I17</f>
        <v>5</v>
      </c>
      <c r="N17" s="2369"/>
      <c r="O17" s="218" t="s">
        <v>65</v>
      </c>
      <c r="P17" s="2368">
        <f>+M17</f>
        <v>5</v>
      </c>
    </row>
    <row r="18" spans="2:16">
      <c r="B18" s="183" t="s">
        <v>66</v>
      </c>
      <c r="C18" s="199">
        <f ca="1">+C17/B2</f>
        <v>2.6001906828640964</v>
      </c>
      <c r="D18" s="199"/>
      <c r="E18" s="201"/>
      <c r="L18" s="2357"/>
      <c r="M18" s="2370"/>
      <c r="N18" s="2356"/>
      <c r="O18" s="218"/>
      <c r="P18" s="2370"/>
    </row>
    <row r="19" spans="2:16">
      <c r="B19" s="183" t="s">
        <v>67</v>
      </c>
      <c r="C19" s="202">
        <f ca="1">+C18*(1+WACC!F8)</f>
        <v>3.0097207154151917</v>
      </c>
      <c r="D19" s="199"/>
      <c r="E19" s="199"/>
      <c r="H19" t="s">
        <v>68</v>
      </c>
      <c r="I19" s="195">
        <f>+MACRO!$BP$8</f>
        <v>4.2500000000000003E-2</v>
      </c>
      <c r="K19" s="105"/>
      <c r="L19" s="2357" t="s">
        <v>68</v>
      </c>
      <c r="M19" s="2361">
        <v>4.4999999999999998E-2</v>
      </c>
      <c r="N19" s="2360"/>
      <c r="O19" s="218" t="s">
        <v>68</v>
      </c>
      <c r="P19" s="2361">
        <v>0.04</v>
      </c>
    </row>
    <row r="20" spans="2:16">
      <c r="B20" s="183"/>
      <c r="C20" s="202"/>
      <c r="D20" s="199"/>
      <c r="E20" s="199"/>
      <c r="H20" t="s">
        <v>69</v>
      </c>
      <c r="I20" s="195">
        <v>2.5000000000000001E-2</v>
      </c>
      <c r="L20" s="2357" t="s">
        <v>69</v>
      </c>
      <c r="M20" s="2365">
        <v>2.5000000000000001E-2</v>
      </c>
      <c r="N20" s="2366"/>
      <c r="O20" s="218" t="s">
        <v>69</v>
      </c>
      <c r="P20" s="2365">
        <v>3.5000000000000003E-2</v>
      </c>
    </row>
    <row r="21" spans="2:16">
      <c r="B21" s="204" t="s">
        <v>70</v>
      </c>
      <c r="C21" s="205" cm="1">
        <f t="array" aca="1" ref="C21" ca="1">+_FV(H11,"Price")</f>
        <v>10.52</v>
      </c>
      <c r="E21" s="206"/>
      <c r="H21" t="s">
        <v>71</v>
      </c>
      <c r="I21" s="198">
        <v>0</v>
      </c>
      <c r="K21" s="105"/>
      <c r="L21" s="2357" t="s">
        <v>71</v>
      </c>
      <c r="M21" s="2371">
        <v>0</v>
      </c>
      <c r="N21" s="2366"/>
      <c r="O21" s="218" t="s">
        <v>71</v>
      </c>
      <c r="P21" s="2371">
        <f>+M21</f>
        <v>0</v>
      </c>
    </row>
    <row r="22" spans="2:16">
      <c r="B22" s="207" t="s">
        <v>72</v>
      </c>
      <c r="C22" s="208">
        <f ca="1">+C17/C21-1</f>
        <v>-0.72525287013999651</v>
      </c>
      <c r="D22" s="209"/>
      <c r="E22" s="206"/>
      <c r="H22" t="s">
        <v>73</v>
      </c>
      <c r="I22" s="198">
        <v>6.5000000000000002E-2</v>
      </c>
      <c r="L22" s="2372" t="s">
        <v>73</v>
      </c>
      <c r="M22" s="2373">
        <f>+[1]BRASIL!$P$3</f>
        <v>7.0000000000000007E-2</v>
      </c>
      <c r="N22" s="2366"/>
      <c r="O22" s="2374" t="s">
        <v>73</v>
      </c>
      <c r="P22" s="2373">
        <f>+[1]BRASIL!$R$3</f>
        <v>4.4999999999999998E-2</v>
      </c>
    </row>
    <row r="23" spans="2:16">
      <c r="B23" s="207"/>
      <c r="C23" s="208"/>
      <c r="D23" s="209"/>
      <c r="E23" s="206"/>
      <c r="H23" t="s">
        <v>74</v>
      </c>
      <c r="I23" s="195">
        <v>4.4999999999999998E-2</v>
      </c>
      <c r="K23" s="105"/>
      <c r="L23" s="2357" t="s">
        <v>74</v>
      </c>
      <c r="M23" s="2365">
        <v>4.4999999999999998E-2</v>
      </c>
      <c r="N23" s="2366"/>
      <c r="O23" s="218" t="s">
        <v>74</v>
      </c>
      <c r="P23" s="2365">
        <f>+M23</f>
        <v>4.4999999999999998E-2</v>
      </c>
    </row>
    <row r="24" spans="2:16">
      <c r="B24" s="569" t="s">
        <v>75</v>
      </c>
      <c r="C24" s="570">
        <f ca="1">+C21*C16</f>
        <v>14460.35016</v>
      </c>
      <c r="D24" s="69"/>
      <c r="E24" s="2153"/>
      <c r="H24" t="s">
        <v>76</v>
      </c>
      <c r="I24" s="203">
        <v>1</v>
      </c>
      <c r="J24" s="211"/>
      <c r="L24" s="2357" t="s">
        <v>76</v>
      </c>
      <c r="M24" s="2375">
        <f>+I24</f>
        <v>1</v>
      </c>
      <c r="N24" s="2376"/>
      <c r="O24" s="218" t="s">
        <v>76</v>
      </c>
      <c r="P24" s="2375">
        <f>+M24</f>
        <v>1</v>
      </c>
    </row>
    <row r="25" spans="2:16">
      <c r="D25" s="108"/>
      <c r="E25" s="212"/>
      <c r="I25" s="190"/>
      <c r="J25" s="213"/>
      <c r="L25" s="2357"/>
      <c r="M25" s="2370"/>
      <c r="N25" s="2356"/>
      <c r="O25" s="218"/>
      <c r="P25" s="2370"/>
    </row>
    <row r="26" spans="2:16">
      <c r="D26" s="214"/>
      <c r="E26" s="215"/>
      <c r="H26" t="s">
        <v>77</v>
      </c>
      <c r="I26" s="194">
        <f>+(((1-I14/I12)*(1+I14)*(1-(((1+I14)^I17)/((1+I16)^I17))))/(I16-I14))+(((1-I15/I13)*((1+I14)^I17)*(1+I15))/((I16-I15)*((1+I16)^I17)))</f>
        <v>6.0364122281521961</v>
      </c>
      <c r="L26" s="2357"/>
      <c r="M26" s="2370"/>
      <c r="N26" s="2356"/>
      <c r="O26" s="218"/>
      <c r="P26" s="2370"/>
    </row>
    <row r="27" spans="2:16">
      <c r="B27" s="216" t="s">
        <v>78</v>
      </c>
      <c r="C27" s="217">
        <f>+PROJ!BS62</f>
        <v>1355.8744613088065</v>
      </c>
      <c r="E27" s="215"/>
      <c r="H27" s="210" t="s">
        <v>79</v>
      </c>
      <c r="I27" s="245"/>
      <c r="J27" s="261"/>
      <c r="L27" s="2377" t="s">
        <v>80</v>
      </c>
      <c r="M27" s="2378">
        <f>+(((1-M14/M12)*(1+M14)*(1-(((1+M14)^M17)/((1+M16)^M17))))/(M16-M14))+(((1-M15/M13)*((1+M14)^M17)*(1+M15))/((M16-M15)*((1+M16)^M17)))</f>
        <v>5.3797464157220567</v>
      </c>
      <c r="N27" s="2379"/>
      <c r="O27" s="2380" t="s">
        <v>80</v>
      </c>
      <c r="P27" s="2378">
        <f>+(((1-P14/P12)*(1+P14)*(1-(((1+P14)^P17)/((1+P16)^P17))))/(P16-P14))+(((1-P15/P13)*((1+P14)^P17)*(1+P15))/((P16-P15)*((1+P16)^P17)))</f>
        <v>9.3421780588378418</v>
      </c>
    </row>
    <row r="28" spans="2:16">
      <c r="B28" s="218" t="s">
        <v>81</v>
      </c>
      <c r="C28" s="219">
        <v>0.1</v>
      </c>
      <c r="E28" s="215"/>
    </row>
    <row r="29" spans="2:16">
      <c r="B29" s="218" t="s">
        <v>82</v>
      </c>
      <c r="C29" s="220">
        <f>D5</f>
        <v>6.7500000000000004E-2</v>
      </c>
      <c r="D29" s="108"/>
      <c r="E29" s="215"/>
      <c r="H29" s="202"/>
      <c r="I29" s="202"/>
    </row>
    <row r="30" spans="2:16">
      <c r="B30" s="218" t="s">
        <v>83</v>
      </c>
      <c r="C30" s="221">
        <f ca="1">WACC!I3</f>
        <v>0.155</v>
      </c>
      <c r="D30" s="222"/>
      <c r="E30" s="215"/>
      <c r="H30">
        <f>22*8</f>
        <v>176</v>
      </c>
    </row>
    <row r="31" spans="2:16">
      <c r="B31" s="223" t="s">
        <v>84</v>
      </c>
      <c r="C31" s="224">
        <f ca="1">(C27*(1+C29)*(1-C29/C28)/(C30-C29))/WACC!I15</f>
        <v>3039.7350213239115</v>
      </c>
      <c r="D31" s="108"/>
      <c r="E31" s="215"/>
      <c r="H31">
        <f>8/H30</f>
        <v>4.5454545454545456E-2</v>
      </c>
    </row>
    <row r="32" spans="2:16">
      <c r="E32" s="225"/>
    </row>
    <row r="33" spans="2:6">
      <c r="D33" s="178"/>
      <c r="E33" s="226"/>
    </row>
    <row r="34" spans="2:6">
      <c r="E34" s="227"/>
    </row>
    <row r="36" spans="2:6">
      <c r="C36" s="228"/>
    </row>
    <row r="37" spans="2:6">
      <c r="C37" s="222"/>
      <c r="F37" s="229"/>
    </row>
    <row r="38" spans="2:6">
      <c r="B38" s="202"/>
      <c r="C38" s="230"/>
      <c r="F38" s="229"/>
    </row>
    <row r="39" spans="2:6">
      <c r="B39" s="231"/>
      <c r="C39" s="232"/>
      <c r="D39" s="226"/>
      <c r="F39" s="233"/>
    </row>
    <row r="40" spans="2:6">
      <c r="B40" s="233"/>
      <c r="C40" s="234"/>
      <c r="D40" s="234"/>
      <c r="F40" s="233"/>
    </row>
    <row r="41" spans="2:6">
      <c r="B41" s="235"/>
      <c r="C41" s="194"/>
    </row>
    <row r="42" spans="2:6">
      <c r="B42" s="235"/>
      <c r="D42" s="194"/>
    </row>
    <row r="43" spans="2:6">
      <c r="B43" s="235"/>
      <c r="D43" s="194"/>
    </row>
    <row r="44" spans="2:6">
      <c r="B44" s="235"/>
      <c r="D44" s="194"/>
    </row>
    <row r="45" spans="2:6">
      <c r="B45" s="235"/>
      <c r="D45" s="194"/>
    </row>
    <row r="46" spans="2:6">
      <c r="B46" s="236"/>
    </row>
    <row r="81" spans="5:6">
      <c r="E81" s="237"/>
      <c r="F81" s="238"/>
    </row>
    <row r="82" spans="5:6">
      <c r="F82" s="239"/>
    </row>
    <row r="83" spans="5:6">
      <c r="F83" s="233"/>
    </row>
    <row r="84" spans="5:6">
      <c r="E84" s="240"/>
      <c r="F84" s="222"/>
    </row>
    <row r="85" spans="5:6">
      <c r="E85" s="240"/>
      <c r="F85" s="222"/>
    </row>
    <row r="86" spans="5:6">
      <c r="E86" s="241"/>
      <c r="F86" s="242"/>
    </row>
    <row r="87" spans="5:6">
      <c r="E87" s="240"/>
      <c r="F87" s="222"/>
    </row>
    <row r="88" spans="5:6">
      <c r="E88" s="240"/>
      <c r="F88" s="222"/>
    </row>
    <row r="89" spans="5:6">
      <c r="E89" s="241"/>
      <c r="F89" s="242"/>
    </row>
    <row r="90" spans="5:6">
      <c r="E90" s="240"/>
      <c r="F90" s="222"/>
    </row>
    <row r="91" spans="5:6">
      <c r="E91" s="243"/>
      <c r="F91" s="244"/>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83"/>
  <sheetViews>
    <sheetView workbookViewId="0">
      <selection activeCell="J14" sqref="J14"/>
    </sheetView>
  </sheetViews>
  <sheetFormatPr defaultColWidth="9.140625" defaultRowHeight="12.75"/>
  <cols>
    <col min="1" max="1" width="5.140625" style="183" bestFit="1" customWidth="1"/>
    <col min="2" max="2" width="17.42578125" style="183" customWidth="1"/>
    <col min="3" max="12" width="12.7109375" style="183" customWidth="1"/>
    <col min="13" max="18" width="10.7109375" style="183" customWidth="1"/>
    <col min="19" max="16384" width="9.140625" style="183"/>
  </cols>
  <sheetData>
    <row r="1" spans="1:12">
      <c r="B1" s="181" t="s">
        <v>85</v>
      </c>
      <c r="C1" s="1484"/>
      <c r="D1" s="1484">
        <v>2025</v>
      </c>
      <c r="E1" s="1484">
        <f t="shared" ref="E1:I1" si="0">+D1+1</f>
        <v>2026</v>
      </c>
      <c r="F1" s="1484">
        <f t="shared" si="0"/>
        <v>2027</v>
      </c>
      <c r="G1" s="1484">
        <f t="shared" si="0"/>
        <v>2028</v>
      </c>
      <c r="H1" s="1484">
        <f t="shared" si="0"/>
        <v>2029</v>
      </c>
      <c r="I1" s="1484">
        <f t="shared" si="0"/>
        <v>2030</v>
      </c>
      <c r="J1" s="246"/>
      <c r="K1" s="246"/>
      <c r="L1" s="246"/>
    </row>
    <row r="2" spans="1:12">
      <c r="C2" s="199"/>
      <c r="D2" s="199"/>
      <c r="E2" s="199"/>
      <c r="F2" s="199"/>
      <c r="G2" s="199"/>
      <c r="H2" s="199"/>
      <c r="I2" s="199"/>
      <c r="J2" s="199"/>
      <c r="K2" s="199"/>
      <c r="L2" s="199"/>
    </row>
    <row r="3" spans="1:12" s="204" customFormat="1">
      <c r="B3" s="204" t="s">
        <v>86</v>
      </c>
      <c r="C3" s="247"/>
      <c r="D3" s="247"/>
      <c r="E3" s="247">
        <f t="shared" ref="E3:F3" ca="1" si="1">+E4*E5+(1-E4)*(E8)</f>
        <v>0.14615487071164104</v>
      </c>
      <c r="F3" s="247">
        <f t="shared" ca="1" si="1"/>
        <v>0.15040989841567798</v>
      </c>
      <c r="G3" s="247">
        <f t="shared" ref="G3:H3" ca="1" si="2">+G4*G5+(1-G4)*(G8)</f>
        <v>0.15241888584034108</v>
      </c>
      <c r="H3" s="247">
        <f t="shared" ca="1" si="2"/>
        <v>0.155</v>
      </c>
      <c r="I3" s="247">
        <f ca="1">+H3</f>
        <v>0.155</v>
      </c>
      <c r="J3" s="247"/>
      <c r="K3" s="247"/>
      <c r="L3" s="247"/>
    </row>
    <row r="4" spans="1:12">
      <c r="B4" s="183" t="s">
        <v>87</v>
      </c>
      <c r="C4" s="260"/>
      <c r="D4" s="260"/>
      <c r="E4" s="260">
        <f ca="1">+IF(Resumo!Q70/Resumo!Q71&gt;0,Resumo!Q70/Resumo!Q71,0)</f>
        <v>0.14853512625196949</v>
      </c>
      <c r="F4" s="260">
        <f ca="1">+IF(Resumo!R70/Resumo!R71&gt;0,Resumo!R70/Resumo!R71,0)</f>
        <v>9.5799237728983286E-2</v>
      </c>
      <c r="G4" s="260">
        <f ca="1">+IF(Resumo!S70/Resumo!S71&gt;0,Resumo!S70/Resumo!S71,0)</f>
        <v>3.4350734091814238E-2</v>
      </c>
      <c r="H4" s="260">
        <f ca="1">+IF(Resumo!T70/Resumo!T71&gt;0,Resumo!T70/Resumo!T71,0)</f>
        <v>0</v>
      </c>
      <c r="I4" s="260">
        <f ca="1">+IF(Resumo!U70/Resumo!U71&gt;0,Resumo!U70/Resumo!U71,0)</f>
        <v>0</v>
      </c>
      <c r="J4" s="249"/>
      <c r="K4" s="249"/>
      <c r="L4" s="249"/>
    </row>
    <row r="5" spans="1:12" s="204" customFormat="1">
      <c r="B5" s="204" t="s">
        <v>88</v>
      </c>
      <c r="C5" s="247"/>
      <c r="D5" s="247"/>
      <c r="E5" s="247">
        <f t="shared" ref="E5:F5" si="3">+(E6)*(1-E7)</f>
        <v>9.801E-2</v>
      </c>
      <c r="F5" s="247">
        <f t="shared" si="3"/>
        <v>8.3490000000000009E-2</v>
      </c>
      <c r="G5" s="247">
        <f t="shared" ref="G5:I5" si="4">+(G6)*(1-G7)</f>
        <v>7.986E-2</v>
      </c>
      <c r="H5" s="247">
        <f t="shared" si="4"/>
        <v>7.2599999999999998E-2</v>
      </c>
      <c r="I5" s="247">
        <f t="shared" si="4"/>
        <v>6.5339999999999995E-2</v>
      </c>
      <c r="J5" s="247"/>
      <c r="K5" s="247"/>
      <c r="L5" s="247"/>
    </row>
    <row r="6" spans="1:12">
      <c r="B6" s="183" t="s">
        <v>89</v>
      </c>
      <c r="C6" s="250"/>
      <c r="D6" s="250"/>
      <c r="E6" s="250">
        <f>110%*MACRO!BO6</f>
        <v>0.14850000000000002</v>
      </c>
      <c r="F6" s="250">
        <f>110%*MACRO!BP6</f>
        <v>0.12650000000000003</v>
      </c>
      <c r="G6" s="250">
        <f>110%*MACRO!BQ6</f>
        <v>0.12100000000000001</v>
      </c>
      <c r="H6" s="250">
        <f>110%*MACRO!BR6</f>
        <v>0.11000000000000001</v>
      </c>
      <c r="I6" s="250">
        <f>110%*MACRO!BS6</f>
        <v>9.9000000000000005E-2</v>
      </c>
      <c r="J6" s="251"/>
      <c r="K6" s="251"/>
      <c r="L6" s="251"/>
    </row>
    <row r="7" spans="1:12">
      <c r="B7" s="183" t="s">
        <v>90</v>
      </c>
      <c r="C7" s="250"/>
      <c r="D7" s="250"/>
      <c r="E7" s="250">
        <v>0.34</v>
      </c>
      <c r="F7" s="250">
        <v>0.34</v>
      </c>
      <c r="G7" s="250">
        <v>0.34</v>
      </c>
      <c r="H7" s="250">
        <v>0.34</v>
      </c>
      <c r="I7" s="250">
        <v>0.34</v>
      </c>
      <c r="J7" s="206"/>
      <c r="K7" s="206"/>
      <c r="L7" s="206"/>
    </row>
    <row r="8" spans="1:12" s="204" customFormat="1">
      <c r="B8" s="204" t="s">
        <v>91</v>
      </c>
      <c r="C8" s="247"/>
      <c r="D8" s="247"/>
      <c r="E8" s="247">
        <f t="shared" ref="E8:F8" si="5">+E9+E10*E12+E11</f>
        <v>0.15455357824500027</v>
      </c>
      <c r="F8" s="247">
        <f t="shared" si="5"/>
        <v>0.1575</v>
      </c>
      <c r="G8" s="247">
        <f t="shared" ref="G8:I8" si="6">+G9+G10*G12+G11</f>
        <v>0.155</v>
      </c>
      <c r="H8" s="247">
        <f t="shared" si="6"/>
        <v>0.155</v>
      </c>
      <c r="I8" s="247">
        <f t="shared" si="6"/>
        <v>0.155</v>
      </c>
      <c r="J8" s="247"/>
      <c r="K8" s="247"/>
      <c r="L8" s="247"/>
    </row>
    <row r="9" spans="1:12">
      <c r="B9" s="252" t="s">
        <v>92</v>
      </c>
      <c r="C9" s="253"/>
      <c r="D9" s="253"/>
      <c r="E9" s="253">
        <v>7.0000000000000007E-2</v>
      </c>
      <c r="F9" s="253">
        <f t="shared" ref="F9" si="7">+E9</f>
        <v>7.0000000000000007E-2</v>
      </c>
      <c r="G9" s="253">
        <f t="shared" ref="G9" si="8">+F9</f>
        <v>7.0000000000000007E-2</v>
      </c>
      <c r="H9" s="253">
        <f t="shared" ref="H9" si="9">+G9</f>
        <v>7.0000000000000007E-2</v>
      </c>
      <c r="I9" s="253">
        <f t="shared" ref="I9" si="10">+H9</f>
        <v>7.0000000000000007E-2</v>
      </c>
      <c r="J9" s="254"/>
      <c r="K9" s="254"/>
      <c r="L9" s="254"/>
    </row>
    <row r="10" spans="1:12">
      <c r="B10" s="252" t="s">
        <v>93</v>
      </c>
      <c r="C10" s="253"/>
      <c r="D10" s="253"/>
      <c r="E10" s="253">
        <v>4.4999999999999998E-2</v>
      </c>
      <c r="F10" s="253">
        <v>4.4999999999999998E-2</v>
      </c>
      <c r="G10" s="253">
        <v>4.4999999999999998E-2</v>
      </c>
      <c r="H10" s="253">
        <v>4.4999999999999998E-2</v>
      </c>
      <c r="I10" s="253">
        <v>4.4999999999999998E-2</v>
      </c>
      <c r="J10" s="254"/>
      <c r="K10" s="254"/>
      <c r="L10" s="254"/>
    </row>
    <row r="11" spans="1:12">
      <c r="B11" s="252" t="s">
        <v>94</v>
      </c>
      <c r="C11" s="253"/>
      <c r="D11" s="253"/>
      <c r="E11" s="253">
        <f>+MACRO!BO8</f>
        <v>3.9553578245000276E-2</v>
      </c>
      <c r="F11" s="253">
        <f>+MACRO!BP8</f>
        <v>4.2500000000000003E-2</v>
      </c>
      <c r="G11" s="253">
        <f>+MACRO!BQ8</f>
        <v>0.04</v>
      </c>
      <c r="H11" s="253">
        <f>+MACRO!BR8</f>
        <v>0.04</v>
      </c>
      <c r="I11" s="253">
        <f>+MACRO!BS8</f>
        <v>0.04</v>
      </c>
      <c r="J11" s="254"/>
      <c r="K11" s="254"/>
      <c r="L11" s="254"/>
    </row>
    <row r="12" spans="1:12">
      <c r="B12" s="252" t="s">
        <v>76</v>
      </c>
      <c r="C12" s="248"/>
      <c r="D12" s="248"/>
      <c r="E12" s="248">
        <v>1</v>
      </c>
      <c r="F12" s="248">
        <f t="shared" ref="F12" si="11">+E12</f>
        <v>1</v>
      </c>
      <c r="G12" s="248">
        <f t="shared" ref="G12" si="12">+F12</f>
        <v>1</v>
      </c>
      <c r="H12" s="248">
        <f t="shared" ref="H12" si="13">+G12</f>
        <v>1</v>
      </c>
      <c r="I12" s="248">
        <f t="shared" ref="I12" si="14">+H12</f>
        <v>1</v>
      </c>
      <c r="J12" s="249"/>
      <c r="K12" s="249"/>
      <c r="L12" s="249"/>
    </row>
    <row r="14" spans="1:12">
      <c r="A14" s="255"/>
      <c r="B14" s="255" t="s">
        <v>95</v>
      </c>
      <c r="C14" s="255">
        <f ca="1">-VP!C24</f>
        <v>-14460.35016</v>
      </c>
      <c r="D14" s="255"/>
      <c r="E14" s="255">
        <f>+PROJ!BO68</f>
        <v>1106.8178871366033</v>
      </c>
      <c r="F14" s="255">
        <f>+PROJ!BP68</f>
        <v>1263.7786680470881</v>
      </c>
      <c r="G14" s="255">
        <f>+PROJ!BQ68</f>
        <v>1172.0041932157137</v>
      </c>
      <c r="H14" s="255">
        <f>+PROJ!BR68</f>
        <v>1190.0232245080156</v>
      </c>
      <c r="I14" s="255">
        <f>+PROJ!BS68</f>
        <v>1230.988137589306</v>
      </c>
      <c r="J14" s="255">
        <f ca="1">+I14*(1+VP!D5)/(WACC!I3-VP!D5)</f>
        <v>15018.055278589532</v>
      </c>
      <c r="K14" s="255"/>
      <c r="L14" s="255"/>
    </row>
    <row r="15" spans="1:12">
      <c r="B15" s="183" t="s">
        <v>96</v>
      </c>
      <c r="C15" s="199"/>
      <c r="D15" s="199"/>
      <c r="E15" s="199">
        <v>1</v>
      </c>
      <c r="F15" s="199">
        <f t="shared" ref="F15" ca="1" si="15">+E15*(1+F3)</f>
        <v>1.1504098984156781</v>
      </c>
      <c r="G15" s="199">
        <f t="shared" ref="G15" ca="1" si="16">+F15*(1+G3)</f>
        <v>1.3257540933918956</v>
      </c>
      <c r="H15" s="199">
        <f t="shared" ref="H15" ca="1" si="17">+G15*(1+H3)</f>
        <v>1.5312459778676395</v>
      </c>
      <c r="I15" s="199">
        <f t="shared" ref="I15" ca="1" si="18">+H15*(1+I3)</f>
        <v>1.7685891044371236</v>
      </c>
      <c r="J15" s="199"/>
      <c r="K15" s="199"/>
      <c r="L15" s="199"/>
    </row>
    <row r="16" spans="1:12">
      <c r="A16" s="256"/>
      <c r="B16" s="256" t="s">
        <v>97</v>
      </c>
      <c r="C16" s="256"/>
      <c r="D16" s="256"/>
      <c r="E16" s="256">
        <f t="shared" ref="E16" si="19">+E14/E15</f>
        <v>1106.8178871366033</v>
      </c>
      <c r="F16" s="256">
        <f t="shared" ref="F16" ca="1" si="20">+F14/F15</f>
        <v>1098.5464135761865</v>
      </c>
      <c r="G16" s="256">
        <f t="shared" ref="G16:I16" ca="1" si="21">+G14/G15</f>
        <v>884.02834210165008</v>
      </c>
      <c r="H16" s="256">
        <f t="shared" ca="1" si="21"/>
        <v>777.16006553382169</v>
      </c>
      <c r="I16" s="256">
        <f t="shared" ca="1" si="21"/>
        <v>696.02833948311809</v>
      </c>
      <c r="J16" s="256">
        <f ca="1">+I16*(1+VP!D5)/(WACC!I3-VP!D5)</f>
        <v>8491.545741694039</v>
      </c>
      <c r="K16" s="256"/>
      <c r="L16" s="256"/>
    </row>
    <row r="17" spans="2:9">
      <c r="C17" s="1755" t="s">
        <v>98</v>
      </c>
      <c r="D17" s="1580">
        <f ca="1">+IRR(C14:J14,0)</f>
        <v>7.6282771602396604E-2</v>
      </c>
    </row>
    <row r="19" spans="2:9" s="204" customFormat="1">
      <c r="B19" s="204" t="s">
        <v>99</v>
      </c>
      <c r="C19" s="1580"/>
      <c r="D19" s="1580">
        <f ca="1">+D14/VP!$C$24</f>
        <v>0</v>
      </c>
      <c r="E19" s="1580">
        <f ca="1">+E14/VP!$C$24</f>
        <v>7.6541568834084389E-2</v>
      </c>
      <c r="F19" s="1580">
        <f ca="1">+F14/VP!$C$24</f>
        <v>8.7396131771617355E-2</v>
      </c>
      <c r="G19" s="1580">
        <f ca="1">+G14/VP!$C$24</f>
        <v>8.1049502968309428E-2</v>
      </c>
      <c r="H19" s="1580">
        <f ca="1">+H14/VP!$C$24</f>
        <v>8.2295602204699003E-2</v>
      </c>
      <c r="I19" s="1580">
        <f ca="1">+I14/VP!$C$24</f>
        <v>8.5128515144428984E-2</v>
      </c>
    </row>
    <row r="77" spans="4:12">
      <c r="D77" s="257"/>
      <c r="E77" s="257"/>
      <c r="F77" s="257"/>
      <c r="G77" s="257"/>
      <c r="H77" s="257"/>
      <c r="I77" s="257"/>
      <c r="J77" s="257"/>
      <c r="K77" s="257"/>
      <c r="L77" s="257"/>
    </row>
    <row r="103" spans="2:2">
      <c r="B103" s="258"/>
    </row>
    <row r="104" spans="2:2">
      <c r="B104" s="258"/>
    </row>
    <row r="105" spans="2:2">
      <c r="B105" s="258"/>
    </row>
    <row r="106" spans="2:2">
      <c r="B106" s="258"/>
    </row>
    <row r="107" spans="2:2">
      <c r="B107" s="258"/>
    </row>
    <row r="108" spans="2:2">
      <c r="B108" s="258"/>
    </row>
    <row r="109" spans="2:2">
      <c r="B109" s="258"/>
    </row>
    <row r="110" spans="2:2">
      <c r="B110" s="258"/>
    </row>
    <row r="111" spans="2:2">
      <c r="B111" s="258"/>
    </row>
    <row r="112" spans="2:2">
      <c r="B112" s="258"/>
    </row>
    <row r="113" spans="2:2">
      <c r="B113" s="258"/>
    </row>
    <row r="114" spans="2:2">
      <c r="B114" s="258"/>
    </row>
    <row r="115" spans="2:2">
      <c r="B115" s="258"/>
    </row>
    <row r="116" spans="2:2">
      <c r="B116" s="258"/>
    </row>
    <row r="117" spans="2:2">
      <c r="B117" s="258"/>
    </row>
    <row r="118" spans="2:2">
      <c r="B118" s="258"/>
    </row>
    <row r="119" spans="2:2">
      <c r="B119" s="258"/>
    </row>
    <row r="120" spans="2:2">
      <c r="B120" s="258"/>
    </row>
    <row r="122" spans="2:2">
      <c r="B122" s="258"/>
    </row>
    <row r="123" spans="2:2">
      <c r="B123" s="258"/>
    </row>
    <row r="124" spans="2:2">
      <c r="B124" s="258"/>
    </row>
    <row r="125" spans="2:2">
      <c r="B125" s="258"/>
    </row>
    <row r="126" spans="2:2">
      <c r="B126" s="258"/>
    </row>
    <row r="127" spans="2:2">
      <c r="B127" s="258"/>
    </row>
    <row r="128" spans="2:2">
      <c r="B128" s="258"/>
    </row>
    <row r="129" spans="2:12">
      <c r="B129" s="258"/>
    </row>
    <row r="131" spans="2:12">
      <c r="B131" s="258"/>
      <c r="C131" s="259"/>
      <c r="D131" s="259"/>
      <c r="E131" s="259"/>
      <c r="F131" s="259"/>
      <c r="G131" s="259"/>
      <c r="H131" s="259"/>
      <c r="I131" s="259"/>
      <c r="J131" s="259"/>
      <c r="K131" s="259"/>
      <c r="L131" s="259"/>
    </row>
    <row r="132" spans="2:12">
      <c r="B132" s="258"/>
      <c r="C132" s="259"/>
      <c r="D132" s="259"/>
      <c r="E132" s="259"/>
      <c r="F132" s="259"/>
      <c r="G132" s="259"/>
      <c r="H132" s="259"/>
      <c r="I132" s="259"/>
      <c r="J132" s="259"/>
      <c r="K132" s="259"/>
      <c r="L132" s="259"/>
    </row>
    <row r="133" spans="2:12">
      <c r="B133" s="258"/>
      <c r="C133" s="259"/>
      <c r="D133" s="259"/>
      <c r="E133" s="259"/>
      <c r="F133" s="259"/>
      <c r="G133" s="259"/>
      <c r="H133" s="259"/>
      <c r="I133" s="259"/>
      <c r="J133" s="259"/>
      <c r="K133" s="259"/>
      <c r="L133" s="259"/>
    </row>
    <row r="134" spans="2:12">
      <c r="B134" s="258"/>
    </row>
    <row r="135" spans="2:12">
      <c r="B135" s="258"/>
      <c r="C135" s="259"/>
      <c r="D135" s="259"/>
      <c r="E135" s="259"/>
      <c r="F135" s="259"/>
      <c r="G135" s="259"/>
      <c r="H135" s="259"/>
      <c r="I135" s="259"/>
      <c r="J135" s="259"/>
      <c r="K135" s="259"/>
      <c r="L135" s="259"/>
    </row>
    <row r="136" spans="2:12">
      <c r="B136" s="258"/>
    </row>
    <row r="137" spans="2:12">
      <c r="B137" s="258"/>
    </row>
    <row r="138" spans="2:12">
      <c r="B138" s="258"/>
    </row>
    <row r="139" spans="2:12">
      <c r="B139" s="258"/>
    </row>
    <row r="141" spans="2:12">
      <c r="B141" s="258"/>
      <c r="C141" s="259"/>
      <c r="D141" s="259"/>
      <c r="E141" s="259"/>
      <c r="F141" s="259"/>
      <c r="G141" s="259"/>
      <c r="H141" s="259"/>
      <c r="I141" s="259"/>
      <c r="J141" s="259"/>
      <c r="K141" s="259"/>
      <c r="L141" s="259"/>
    </row>
    <row r="142" spans="2:12">
      <c r="B142" s="258"/>
      <c r="C142" s="259"/>
      <c r="D142" s="259"/>
      <c r="E142" s="259"/>
      <c r="F142" s="259"/>
      <c r="G142" s="259"/>
      <c r="H142" s="259"/>
      <c r="I142" s="259"/>
      <c r="J142" s="259"/>
      <c r="K142" s="259"/>
      <c r="L142" s="259"/>
    </row>
    <row r="143" spans="2:12">
      <c r="B143" s="258"/>
      <c r="C143" s="259"/>
      <c r="D143" s="259"/>
      <c r="E143" s="259"/>
      <c r="F143" s="259"/>
      <c r="G143" s="259"/>
      <c r="H143" s="259"/>
      <c r="I143" s="259"/>
      <c r="J143" s="259"/>
      <c r="K143" s="259"/>
      <c r="L143" s="259"/>
    </row>
    <row r="144" spans="2:12">
      <c r="B144" s="258"/>
      <c r="C144" s="259"/>
      <c r="D144" s="259"/>
      <c r="E144" s="259"/>
      <c r="F144" s="259"/>
      <c r="G144" s="259"/>
      <c r="H144" s="259"/>
      <c r="I144" s="259"/>
      <c r="J144" s="259"/>
      <c r="K144" s="259"/>
      <c r="L144" s="259"/>
    </row>
    <row r="145" spans="2:12">
      <c r="B145" s="258"/>
      <c r="C145" s="259"/>
      <c r="D145" s="259"/>
      <c r="E145" s="259"/>
      <c r="F145" s="259"/>
      <c r="G145" s="259"/>
      <c r="H145" s="259"/>
      <c r="I145" s="259"/>
      <c r="J145" s="259"/>
      <c r="K145" s="259"/>
      <c r="L145" s="259"/>
    </row>
    <row r="146" spans="2:12">
      <c r="B146" s="258"/>
      <c r="C146" s="259"/>
      <c r="D146" s="259"/>
      <c r="E146" s="259"/>
      <c r="F146" s="259"/>
      <c r="G146" s="259"/>
      <c r="H146" s="259"/>
      <c r="I146" s="259"/>
      <c r="J146" s="259"/>
      <c r="K146" s="259"/>
      <c r="L146" s="259"/>
    </row>
    <row r="147" spans="2:12">
      <c r="B147" s="258"/>
      <c r="C147" s="259"/>
      <c r="D147" s="259"/>
      <c r="E147" s="259"/>
      <c r="F147" s="259"/>
      <c r="G147" s="259"/>
      <c r="H147" s="259"/>
      <c r="I147" s="259"/>
      <c r="J147" s="259"/>
      <c r="K147" s="259"/>
      <c r="L147" s="259"/>
    </row>
    <row r="148" spans="2:12">
      <c r="B148" s="258"/>
      <c r="C148" s="259"/>
      <c r="D148" s="259"/>
      <c r="E148" s="259"/>
      <c r="F148" s="259"/>
      <c r="G148" s="259"/>
      <c r="H148" s="259"/>
      <c r="I148" s="259"/>
      <c r="J148" s="259"/>
      <c r="K148" s="259"/>
      <c r="L148" s="259"/>
    </row>
    <row r="149" spans="2:12">
      <c r="B149" s="258"/>
      <c r="D149" s="259"/>
      <c r="E149" s="259"/>
      <c r="F149" s="259"/>
      <c r="G149" s="259"/>
      <c r="H149" s="259"/>
      <c r="I149" s="259"/>
      <c r="J149" s="259"/>
      <c r="K149" s="259"/>
      <c r="L149" s="259"/>
    </row>
    <row r="150" spans="2:12">
      <c r="B150" s="258"/>
    </row>
    <row r="151" spans="2:12">
      <c r="B151" s="258"/>
      <c r="C151" s="259"/>
      <c r="D151" s="259"/>
      <c r="E151" s="259"/>
      <c r="F151" s="259"/>
      <c r="G151" s="259"/>
      <c r="H151" s="259"/>
      <c r="I151" s="259"/>
      <c r="J151" s="259"/>
      <c r="K151" s="259"/>
      <c r="L151" s="259"/>
    </row>
    <row r="152" spans="2:12">
      <c r="B152" s="258"/>
    </row>
    <row r="153" spans="2:12">
      <c r="B153" s="258"/>
    </row>
    <row r="154" spans="2:12">
      <c r="B154" s="258"/>
      <c r="C154" s="259"/>
      <c r="D154" s="259"/>
      <c r="E154" s="259"/>
      <c r="F154" s="259"/>
      <c r="G154" s="259"/>
      <c r="H154" s="259"/>
      <c r="I154" s="259"/>
      <c r="J154" s="259"/>
      <c r="K154" s="259"/>
      <c r="L154" s="259"/>
    </row>
    <row r="155" spans="2:12">
      <c r="B155" s="258"/>
      <c r="C155" s="259"/>
      <c r="D155" s="259"/>
      <c r="E155" s="259"/>
      <c r="F155" s="259"/>
      <c r="G155" s="259"/>
      <c r="H155" s="259"/>
      <c r="I155" s="259"/>
      <c r="J155" s="259"/>
      <c r="K155" s="259"/>
      <c r="L155" s="259"/>
    </row>
    <row r="156" spans="2:12">
      <c r="B156" s="258"/>
      <c r="C156" s="259"/>
      <c r="D156" s="259"/>
      <c r="E156" s="259"/>
      <c r="F156" s="259"/>
      <c r="G156" s="259"/>
      <c r="H156" s="259"/>
      <c r="I156" s="259"/>
      <c r="J156" s="259"/>
      <c r="K156" s="259"/>
      <c r="L156" s="259"/>
    </row>
    <row r="157" spans="2:12">
      <c r="B157" s="258"/>
      <c r="C157" s="259"/>
      <c r="D157" s="259"/>
      <c r="E157" s="259"/>
      <c r="F157" s="259"/>
      <c r="G157" s="259"/>
      <c r="H157" s="259"/>
      <c r="I157" s="259"/>
      <c r="J157" s="259"/>
      <c r="K157" s="259"/>
      <c r="L157" s="259"/>
    </row>
    <row r="158" spans="2:12">
      <c r="B158" s="258"/>
      <c r="C158" s="259"/>
      <c r="D158" s="259"/>
      <c r="E158" s="259"/>
      <c r="F158" s="259"/>
      <c r="G158" s="259"/>
      <c r="H158" s="259"/>
      <c r="I158" s="259"/>
      <c r="J158" s="259"/>
      <c r="K158" s="259"/>
      <c r="L158" s="259"/>
    </row>
    <row r="159" spans="2:12">
      <c r="B159" s="258"/>
      <c r="C159" s="259"/>
      <c r="D159" s="259"/>
      <c r="E159" s="259"/>
      <c r="F159" s="259"/>
      <c r="G159" s="259"/>
      <c r="H159" s="259"/>
      <c r="I159" s="259"/>
      <c r="J159" s="259"/>
      <c r="K159" s="259"/>
      <c r="L159" s="259"/>
    </row>
    <row r="170" spans="2:12">
      <c r="B170" s="258"/>
      <c r="C170" s="259"/>
      <c r="D170" s="259"/>
      <c r="E170" s="259"/>
      <c r="F170" s="259"/>
      <c r="G170" s="259"/>
      <c r="H170" s="259"/>
      <c r="I170" s="259"/>
      <c r="J170" s="259"/>
      <c r="K170" s="259"/>
      <c r="L170" s="259"/>
    </row>
    <row r="171" spans="2:12">
      <c r="B171" s="258"/>
      <c r="C171" s="259"/>
      <c r="D171" s="259"/>
      <c r="E171" s="259"/>
      <c r="F171" s="259"/>
      <c r="G171" s="259"/>
      <c r="H171" s="259"/>
      <c r="I171" s="259"/>
      <c r="J171" s="259"/>
      <c r="K171" s="259"/>
      <c r="L171" s="259"/>
    </row>
    <row r="172" spans="2:12">
      <c r="B172" s="258"/>
      <c r="C172" s="259"/>
      <c r="D172" s="259"/>
      <c r="E172" s="259"/>
      <c r="F172" s="259"/>
      <c r="G172" s="259"/>
      <c r="H172" s="259"/>
      <c r="I172" s="259"/>
      <c r="J172" s="259"/>
      <c r="K172" s="259"/>
      <c r="L172" s="259"/>
    </row>
    <row r="173" spans="2:12">
      <c r="B173" s="258"/>
      <c r="C173" s="259"/>
      <c r="D173" s="259"/>
      <c r="E173" s="259"/>
      <c r="F173" s="259"/>
      <c r="G173" s="259"/>
      <c r="H173" s="259"/>
      <c r="I173" s="259"/>
      <c r="J173" s="259"/>
      <c r="K173" s="259"/>
      <c r="L173" s="259"/>
    </row>
    <row r="174" spans="2:12">
      <c r="B174" s="258"/>
      <c r="C174" s="259"/>
      <c r="D174" s="259"/>
      <c r="E174" s="259"/>
      <c r="F174" s="259"/>
      <c r="G174" s="259"/>
      <c r="H174" s="259"/>
      <c r="I174" s="259"/>
      <c r="J174" s="259"/>
      <c r="K174" s="259"/>
      <c r="L174" s="259"/>
    </row>
    <row r="175" spans="2:12">
      <c r="B175" s="258"/>
      <c r="C175" s="259"/>
      <c r="D175" s="259"/>
      <c r="E175" s="259"/>
      <c r="F175" s="259"/>
      <c r="G175" s="259"/>
      <c r="H175" s="259"/>
      <c r="I175" s="259"/>
      <c r="J175" s="259"/>
      <c r="K175" s="259"/>
      <c r="L175" s="259"/>
    </row>
    <row r="177" spans="2:12">
      <c r="B177" s="258"/>
      <c r="C177" s="259"/>
      <c r="D177" s="259"/>
      <c r="E177" s="259"/>
      <c r="F177" s="259"/>
      <c r="G177" s="259"/>
      <c r="H177" s="259"/>
      <c r="I177" s="259"/>
      <c r="J177" s="259"/>
      <c r="K177" s="259"/>
      <c r="L177" s="259"/>
    </row>
    <row r="178" spans="2:12">
      <c r="B178" s="258"/>
      <c r="C178" s="259"/>
      <c r="D178" s="259"/>
      <c r="E178" s="259"/>
      <c r="F178" s="259"/>
      <c r="G178" s="259"/>
      <c r="H178" s="259"/>
      <c r="I178" s="259"/>
      <c r="J178" s="259"/>
      <c r="K178" s="259"/>
      <c r="L178" s="259"/>
    </row>
    <row r="179" spans="2:12">
      <c r="B179" s="258"/>
      <c r="C179" s="259"/>
      <c r="D179" s="259"/>
      <c r="E179" s="259"/>
      <c r="F179" s="259"/>
      <c r="G179" s="259"/>
      <c r="H179" s="259"/>
      <c r="I179" s="259"/>
      <c r="J179" s="259"/>
      <c r="K179" s="259"/>
      <c r="L179" s="259"/>
    </row>
    <row r="180" spans="2:12">
      <c r="B180" s="258"/>
      <c r="C180" s="259"/>
      <c r="D180" s="259"/>
      <c r="E180" s="259"/>
      <c r="F180" s="259"/>
      <c r="G180" s="259"/>
      <c r="H180" s="259"/>
      <c r="I180" s="259"/>
      <c r="J180" s="259"/>
      <c r="K180" s="259"/>
      <c r="L180" s="259"/>
    </row>
    <row r="181" spans="2:12">
      <c r="B181" s="258"/>
      <c r="C181" s="259"/>
      <c r="D181" s="259"/>
      <c r="E181" s="259"/>
      <c r="F181" s="259"/>
      <c r="G181" s="259"/>
      <c r="H181" s="259"/>
      <c r="I181" s="259"/>
      <c r="J181" s="259"/>
      <c r="K181" s="259"/>
      <c r="L181" s="259"/>
    </row>
    <row r="182" spans="2:12">
      <c r="B182" s="258"/>
      <c r="C182" s="259"/>
      <c r="D182" s="259"/>
      <c r="E182" s="259"/>
      <c r="F182" s="259"/>
      <c r="G182" s="259"/>
      <c r="H182" s="259"/>
      <c r="I182" s="259"/>
      <c r="J182" s="259"/>
      <c r="K182" s="259"/>
      <c r="L182" s="259"/>
    </row>
    <row r="183" spans="2:12">
      <c r="B183" s="258"/>
      <c r="C183" s="259"/>
      <c r="D183" s="259"/>
      <c r="E183" s="259"/>
      <c r="F183" s="259"/>
      <c r="G183" s="259"/>
      <c r="H183" s="259"/>
      <c r="I183" s="259"/>
      <c r="J183" s="259"/>
      <c r="K183" s="259"/>
      <c r="L183" s="259"/>
    </row>
    <row r="184" spans="2:12">
      <c r="B184" s="258"/>
      <c r="C184" s="259"/>
      <c r="D184" s="259"/>
      <c r="E184" s="259"/>
      <c r="F184" s="259"/>
      <c r="G184" s="259"/>
      <c r="H184" s="259"/>
      <c r="I184" s="259"/>
      <c r="J184" s="259"/>
      <c r="K184" s="259"/>
      <c r="L184" s="259"/>
    </row>
    <row r="185" spans="2:12">
      <c r="B185" s="258"/>
      <c r="C185" s="259"/>
      <c r="D185" s="259"/>
      <c r="E185" s="259"/>
      <c r="F185" s="259"/>
      <c r="G185" s="259"/>
      <c r="H185" s="259"/>
      <c r="I185" s="259"/>
      <c r="J185" s="259"/>
      <c r="K185" s="259"/>
      <c r="L185" s="259"/>
    </row>
    <row r="186" spans="2:12">
      <c r="B186" s="258"/>
      <c r="C186" s="259"/>
      <c r="D186" s="259"/>
      <c r="E186" s="259"/>
      <c r="F186" s="259"/>
      <c r="G186" s="259"/>
      <c r="H186" s="259"/>
      <c r="I186" s="259"/>
      <c r="J186" s="259"/>
      <c r="K186" s="259"/>
      <c r="L186" s="259"/>
    </row>
    <row r="187" spans="2:12">
      <c r="B187" s="258"/>
      <c r="C187" s="259"/>
      <c r="D187" s="259"/>
      <c r="E187" s="259"/>
      <c r="F187" s="259"/>
      <c r="G187" s="259"/>
      <c r="H187" s="259"/>
      <c r="I187" s="259"/>
      <c r="J187" s="259"/>
      <c r="K187" s="259"/>
      <c r="L187" s="259"/>
    </row>
    <row r="188" spans="2:12">
      <c r="B188" s="258"/>
      <c r="C188" s="259"/>
      <c r="D188" s="259"/>
      <c r="E188" s="259"/>
      <c r="F188" s="259"/>
      <c r="G188" s="259"/>
      <c r="H188" s="259"/>
      <c r="I188" s="259"/>
      <c r="J188" s="259"/>
      <c r="K188" s="259"/>
      <c r="L188" s="259"/>
    </row>
    <row r="190" spans="2:12">
      <c r="B190" s="258"/>
      <c r="C190" s="259"/>
      <c r="D190" s="259"/>
      <c r="E190" s="259"/>
      <c r="F190" s="259"/>
      <c r="G190" s="259"/>
      <c r="H190" s="259"/>
      <c r="I190" s="259"/>
      <c r="J190" s="259"/>
      <c r="K190" s="259"/>
      <c r="L190" s="259"/>
    </row>
    <row r="191" spans="2:12">
      <c r="B191" s="258"/>
      <c r="C191" s="259"/>
      <c r="D191" s="259"/>
      <c r="E191" s="259"/>
      <c r="F191" s="259"/>
      <c r="G191" s="259"/>
      <c r="H191" s="259"/>
      <c r="I191" s="259"/>
      <c r="J191" s="259"/>
      <c r="K191" s="259"/>
      <c r="L191" s="259"/>
    </row>
    <row r="192" spans="2:12">
      <c r="B192" s="258"/>
      <c r="C192" s="259"/>
      <c r="D192" s="259"/>
      <c r="E192" s="259"/>
      <c r="F192" s="259"/>
      <c r="G192" s="259"/>
      <c r="H192" s="259"/>
      <c r="I192" s="259"/>
      <c r="J192" s="259"/>
      <c r="K192" s="259"/>
      <c r="L192" s="259"/>
    </row>
    <row r="194" spans="2:12">
      <c r="B194" s="258"/>
      <c r="C194" s="259"/>
      <c r="D194" s="259"/>
      <c r="E194" s="259"/>
      <c r="F194" s="259"/>
      <c r="G194" s="259"/>
      <c r="H194" s="259"/>
      <c r="I194" s="259"/>
      <c r="J194" s="259"/>
      <c r="K194" s="259"/>
      <c r="L194" s="259"/>
    </row>
    <row r="195" spans="2:12">
      <c r="B195" s="258"/>
      <c r="C195" s="259"/>
      <c r="D195" s="259"/>
      <c r="E195" s="259"/>
      <c r="F195" s="259"/>
      <c r="G195" s="259"/>
      <c r="H195" s="259"/>
      <c r="I195" s="259"/>
      <c r="J195" s="259"/>
      <c r="K195" s="259"/>
      <c r="L195" s="259"/>
    </row>
    <row r="196" spans="2:12">
      <c r="B196" s="258"/>
      <c r="C196" s="259"/>
      <c r="D196" s="259"/>
      <c r="E196" s="259"/>
      <c r="F196" s="259"/>
      <c r="G196" s="259"/>
      <c r="H196" s="259"/>
      <c r="I196" s="259"/>
      <c r="J196" s="259"/>
      <c r="K196" s="259"/>
      <c r="L196" s="259"/>
    </row>
    <row r="198" spans="2:12">
      <c r="B198" s="258"/>
    </row>
    <row r="199" spans="2:12">
      <c r="B199" s="258"/>
    </row>
    <row r="200" spans="2:12">
      <c r="B200" s="258"/>
    </row>
    <row r="206" spans="2:12">
      <c r="C206" s="259"/>
      <c r="D206" s="259"/>
      <c r="E206" s="259"/>
      <c r="F206" s="259"/>
      <c r="G206" s="259"/>
      <c r="H206" s="259"/>
      <c r="I206" s="259"/>
      <c r="J206" s="259"/>
      <c r="K206" s="259"/>
      <c r="L206" s="259"/>
    </row>
    <row r="214" spans="3:12">
      <c r="C214" s="259"/>
      <c r="D214" s="259"/>
      <c r="E214" s="259"/>
      <c r="F214" s="259"/>
      <c r="G214" s="259"/>
      <c r="H214" s="259"/>
      <c r="I214" s="259"/>
      <c r="J214" s="259"/>
      <c r="K214" s="259"/>
      <c r="L214" s="259"/>
    </row>
    <row r="215" spans="3:12">
      <c r="C215" s="259"/>
      <c r="D215" s="259"/>
      <c r="E215" s="259"/>
      <c r="F215" s="259"/>
      <c r="G215" s="259"/>
      <c r="H215" s="259"/>
      <c r="I215" s="259"/>
      <c r="J215" s="259"/>
      <c r="K215" s="259"/>
      <c r="L215" s="259"/>
    </row>
    <row r="216" spans="3:12">
      <c r="C216" s="259"/>
      <c r="D216" s="259"/>
      <c r="E216" s="259"/>
      <c r="F216" s="259"/>
      <c r="G216" s="259"/>
      <c r="H216" s="259"/>
      <c r="I216" s="259"/>
      <c r="J216" s="259"/>
      <c r="K216" s="259"/>
      <c r="L216" s="259"/>
    </row>
    <row r="220" spans="3:12">
      <c r="C220" s="259"/>
      <c r="D220" s="259"/>
      <c r="E220" s="259"/>
      <c r="F220" s="259"/>
      <c r="G220" s="259"/>
      <c r="H220" s="259"/>
      <c r="I220" s="259"/>
      <c r="J220" s="259"/>
      <c r="K220" s="259"/>
      <c r="L220" s="259"/>
    </row>
    <row r="221" spans="3:12">
      <c r="C221" s="259"/>
      <c r="D221" s="259"/>
      <c r="E221" s="259"/>
      <c r="F221" s="259"/>
      <c r="G221" s="259"/>
      <c r="H221" s="259"/>
      <c r="I221" s="259"/>
      <c r="J221" s="259"/>
      <c r="K221" s="259"/>
      <c r="L221" s="259"/>
    </row>
    <row r="224" spans="3:12">
      <c r="C224" s="259"/>
      <c r="D224" s="259"/>
      <c r="E224" s="259"/>
      <c r="F224" s="259"/>
      <c r="G224" s="259"/>
      <c r="H224" s="259"/>
      <c r="I224" s="259"/>
      <c r="J224" s="259"/>
      <c r="K224" s="259"/>
      <c r="L224" s="259"/>
    </row>
    <row r="225" spans="3:12">
      <c r="C225" s="259"/>
      <c r="D225" s="259"/>
      <c r="E225" s="259"/>
      <c r="F225" s="259"/>
      <c r="G225" s="259"/>
      <c r="H225" s="259"/>
      <c r="I225" s="259"/>
      <c r="J225" s="259"/>
      <c r="K225" s="259"/>
      <c r="L225" s="259"/>
    </row>
    <row r="226" spans="3:12">
      <c r="C226" s="259"/>
      <c r="D226" s="259"/>
      <c r="E226" s="259"/>
      <c r="F226" s="259"/>
      <c r="G226" s="259"/>
      <c r="H226" s="259"/>
      <c r="I226" s="259"/>
      <c r="J226" s="259"/>
      <c r="K226" s="259"/>
      <c r="L226" s="259"/>
    </row>
    <row r="230" spans="3:12">
      <c r="C230" s="259"/>
      <c r="D230" s="259"/>
      <c r="E230" s="259"/>
      <c r="F230" s="259"/>
      <c r="G230" s="259"/>
      <c r="H230" s="259"/>
      <c r="I230" s="259"/>
      <c r="J230" s="259"/>
      <c r="K230" s="259"/>
      <c r="L230" s="259"/>
    </row>
    <row r="231" spans="3:12">
      <c r="C231" s="259"/>
      <c r="D231" s="259"/>
      <c r="E231" s="259"/>
      <c r="F231" s="259"/>
      <c r="G231" s="259"/>
      <c r="H231" s="259"/>
      <c r="I231" s="259"/>
      <c r="J231" s="259"/>
      <c r="K231" s="259"/>
      <c r="L231" s="259"/>
    </row>
    <row r="234" spans="3:12">
      <c r="C234" s="259"/>
      <c r="D234" s="259"/>
      <c r="E234" s="259"/>
      <c r="F234" s="259"/>
      <c r="G234" s="259"/>
      <c r="H234" s="259"/>
      <c r="I234" s="259"/>
      <c r="J234" s="259"/>
      <c r="K234" s="259"/>
      <c r="L234" s="259"/>
    </row>
    <row r="235" spans="3:12">
      <c r="C235" s="259"/>
      <c r="D235" s="259"/>
      <c r="E235" s="259"/>
      <c r="F235" s="259"/>
      <c r="G235" s="259"/>
      <c r="H235" s="259"/>
      <c r="I235" s="259"/>
      <c r="J235" s="259"/>
      <c r="K235" s="259"/>
      <c r="L235" s="259"/>
    </row>
    <row r="236" spans="3:12">
      <c r="C236" s="259"/>
      <c r="D236" s="259"/>
      <c r="E236" s="259"/>
      <c r="F236" s="259"/>
      <c r="G236" s="259"/>
      <c r="H236" s="259"/>
      <c r="I236" s="259"/>
      <c r="J236" s="259"/>
      <c r="K236" s="259"/>
      <c r="L236" s="259"/>
    </row>
    <row r="240" spans="3:12">
      <c r="C240" s="259"/>
      <c r="D240" s="259"/>
      <c r="E240" s="259"/>
      <c r="F240" s="259"/>
      <c r="G240" s="259"/>
      <c r="H240" s="259"/>
      <c r="I240" s="259"/>
      <c r="J240" s="259"/>
      <c r="K240" s="259"/>
      <c r="L240" s="259"/>
    </row>
    <row r="245" spans="3:12">
      <c r="C245" s="259"/>
      <c r="D245" s="259"/>
      <c r="E245" s="259"/>
      <c r="F245" s="259"/>
      <c r="G245" s="259"/>
      <c r="H245" s="259"/>
      <c r="I245" s="259"/>
      <c r="J245" s="259"/>
      <c r="K245" s="259"/>
      <c r="L245" s="259"/>
    </row>
    <row r="246" spans="3:12">
      <c r="C246" s="259"/>
      <c r="D246" s="259"/>
      <c r="E246" s="259"/>
      <c r="F246" s="259"/>
      <c r="G246" s="259"/>
      <c r="H246" s="259"/>
      <c r="I246" s="259"/>
      <c r="J246" s="259"/>
      <c r="K246" s="259"/>
      <c r="L246" s="259"/>
    </row>
    <row r="247" spans="3:12">
      <c r="C247" s="259"/>
      <c r="D247" s="259"/>
      <c r="E247" s="259"/>
      <c r="F247" s="259"/>
      <c r="G247" s="259"/>
      <c r="H247" s="259"/>
      <c r="I247" s="259"/>
      <c r="J247" s="259"/>
      <c r="K247" s="259"/>
      <c r="L247" s="259"/>
    </row>
    <row r="248" spans="3:12">
      <c r="C248" s="259"/>
      <c r="D248" s="259"/>
      <c r="E248" s="259"/>
      <c r="F248" s="259"/>
      <c r="G248" s="259"/>
      <c r="H248" s="259"/>
      <c r="I248" s="259"/>
      <c r="J248" s="259"/>
      <c r="K248" s="259"/>
      <c r="L248" s="259"/>
    </row>
    <row r="252" spans="3:12">
      <c r="C252" s="259"/>
      <c r="D252" s="259"/>
      <c r="E252" s="259"/>
      <c r="F252" s="259"/>
      <c r="G252" s="259"/>
      <c r="H252" s="259"/>
      <c r="I252" s="259"/>
      <c r="J252" s="259"/>
      <c r="K252" s="259"/>
      <c r="L252" s="259"/>
    </row>
    <row r="253" spans="3:12">
      <c r="C253" s="259"/>
      <c r="D253" s="259"/>
      <c r="E253" s="259"/>
      <c r="F253" s="259"/>
      <c r="G253" s="259"/>
      <c r="H253" s="259"/>
      <c r="I253" s="259"/>
      <c r="J253" s="259"/>
      <c r="K253" s="259"/>
      <c r="L253" s="259"/>
    </row>
    <row r="254" spans="3:12">
      <c r="C254" s="259"/>
      <c r="D254" s="259"/>
      <c r="E254" s="259"/>
      <c r="F254" s="259"/>
      <c r="G254" s="259"/>
      <c r="H254" s="259"/>
      <c r="I254" s="259"/>
      <c r="J254" s="259"/>
      <c r="K254" s="259"/>
      <c r="L254" s="259"/>
    </row>
    <row r="255" spans="3:12">
      <c r="C255" s="259"/>
      <c r="D255" s="259"/>
      <c r="E255" s="259"/>
      <c r="F255" s="259"/>
      <c r="G255" s="259"/>
      <c r="H255" s="259"/>
      <c r="I255" s="259"/>
      <c r="J255" s="259"/>
      <c r="K255" s="259"/>
      <c r="L255" s="259"/>
    </row>
    <row r="259" spans="3:12">
      <c r="C259" s="259"/>
      <c r="D259" s="259"/>
      <c r="E259" s="259"/>
      <c r="F259" s="259"/>
      <c r="G259" s="259"/>
      <c r="H259" s="259"/>
      <c r="I259" s="259"/>
      <c r="J259" s="259"/>
      <c r="K259" s="259"/>
      <c r="L259" s="259"/>
    </row>
    <row r="260" spans="3:12">
      <c r="C260" s="259"/>
      <c r="D260" s="259"/>
      <c r="E260" s="259"/>
      <c r="F260" s="259"/>
      <c r="G260" s="259"/>
      <c r="H260" s="259"/>
      <c r="I260" s="259"/>
      <c r="J260" s="259"/>
      <c r="K260" s="259"/>
      <c r="L260" s="259"/>
    </row>
    <row r="261" spans="3:12">
      <c r="C261" s="259"/>
      <c r="D261" s="259"/>
      <c r="E261" s="259"/>
      <c r="F261" s="259"/>
      <c r="G261" s="259"/>
      <c r="H261" s="259"/>
      <c r="I261" s="259"/>
      <c r="J261" s="259"/>
      <c r="K261" s="259"/>
      <c r="L261" s="259"/>
    </row>
    <row r="262" spans="3:12">
      <c r="C262" s="259"/>
      <c r="D262" s="259"/>
      <c r="E262" s="259"/>
      <c r="F262" s="259"/>
      <c r="G262" s="259"/>
      <c r="H262" s="259"/>
      <c r="I262" s="259"/>
      <c r="J262" s="259"/>
      <c r="K262" s="259"/>
      <c r="L262" s="259"/>
    </row>
    <row r="264" spans="3:12">
      <c r="D264" s="259"/>
      <c r="E264" s="259"/>
      <c r="F264" s="259"/>
      <c r="G264" s="259"/>
      <c r="H264" s="259"/>
      <c r="I264" s="259"/>
      <c r="J264" s="259"/>
      <c r="K264" s="259"/>
      <c r="L264" s="259"/>
    </row>
    <row r="266" spans="3:12">
      <c r="C266" s="259"/>
      <c r="D266" s="259"/>
      <c r="E266" s="259"/>
      <c r="F266" s="259"/>
      <c r="G266" s="259"/>
      <c r="H266" s="259"/>
      <c r="I266" s="259"/>
      <c r="J266" s="259"/>
      <c r="K266" s="259"/>
      <c r="L266" s="259"/>
    </row>
    <row r="267" spans="3:12">
      <c r="C267" s="259"/>
      <c r="D267" s="259"/>
      <c r="E267" s="259"/>
      <c r="F267" s="259"/>
      <c r="G267" s="259"/>
      <c r="H267" s="259"/>
      <c r="I267" s="259"/>
      <c r="J267" s="259"/>
      <c r="K267" s="259"/>
      <c r="L267" s="259"/>
    </row>
    <row r="268" spans="3:12">
      <c r="C268" s="259"/>
      <c r="D268" s="259"/>
      <c r="E268" s="259"/>
      <c r="F268" s="259"/>
      <c r="G268" s="259"/>
      <c r="H268" s="259"/>
      <c r="I268" s="259"/>
      <c r="J268" s="259"/>
      <c r="K268" s="259"/>
      <c r="L268" s="259"/>
    </row>
    <row r="269" spans="3:12">
      <c r="C269" s="259"/>
      <c r="D269" s="259"/>
      <c r="E269" s="259"/>
      <c r="F269" s="259"/>
      <c r="G269" s="259"/>
      <c r="H269" s="259"/>
      <c r="I269" s="259"/>
      <c r="J269" s="259"/>
      <c r="K269" s="259"/>
      <c r="L269" s="259"/>
    </row>
    <row r="273" spans="3:12">
      <c r="C273" s="259"/>
      <c r="D273" s="259"/>
      <c r="E273" s="259"/>
      <c r="F273" s="259"/>
      <c r="G273" s="259"/>
      <c r="H273" s="259"/>
      <c r="I273" s="259"/>
      <c r="J273" s="259"/>
      <c r="K273" s="259"/>
      <c r="L273" s="259"/>
    </row>
    <row r="274" spans="3:12">
      <c r="C274" s="259"/>
      <c r="D274" s="259"/>
      <c r="E274" s="259"/>
      <c r="F274" s="259"/>
      <c r="G274" s="259"/>
      <c r="H274" s="259"/>
      <c r="I274" s="259"/>
      <c r="J274" s="259"/>
      <c r="K274" s="259"/>
      <c r="L274" s="259"/>
    </row>
    <row r="275" spans="3:12">
      <c r="C275" s="259"/>
      <c r="D275" s="259"/>
      <c r="E275" s="259"/>
      <c r="F275" s="259"/>
      <c r="G275" s="259"/>
      <c r="H275" s="259"/>
      <c r="I275" s="259"/>
      <c r="J275" s="259"/>
      <c r="K275" s="259"/>
      <c r="L275" s="259"/>
    </row>
    <row r="276" spans="3:12">
      <c r="C276" s="259"/>
      <c r="D276" s="259"/>
      <c r="E276" s="259"/>
      <c r="F276" s="259"/>
      <c r="G276" s="259"/>
      <c r="H276" s="259"/>
      <c r="I276" s="259"/>
      <c r="J276" s="259"/>
      <c r="K276" s="259"/>
      <c r="L276" s="259"/>
    </row>
    <row r="280" spans="3:12">
      <c r="C280" s="259"/>
      <c r="D280" s="259"/>
      <c r="E280" s="259"/>
      <c r="F280" s="259"/>
      <c r="G280" s="259"/>
      <c r="H280" s="259"/>
      <c r="I280" s="259"/>
      <c r="J280" s="259"/>
      <c r="K280" s="259"/>
      <c r="L280" s="259"/>
    </row>
    <row r="281" spans="3:12">
      <c r="C281" s="259"/>
      <c r="D281" s="259"/>
      <c r="E281" s="259"/>
      <c r="F281" s="259"/>
      <c r="G281" s="259"/>
      <c r="H281" s="259"/>
      <c r="I281" s="259"/>
      <c r="J281" s="259"/>
      <c r="K281" s="259"/>
      <c r="L281" s="259"/>
    </row>
    <row r="282" spans="3:12">
      <c r="C282" s="259"/>
      <c r="D282" s="259"/>
      <c r="E282" s="259"/>
      <c r="F282" s="259"/>
      <c r="G282" s="259"/>
      <c r="H282" s="259"/>
      <c r="I282" s="259"/>
      <c r="J282" s="259"/>
      <c r="K282" s="259"/>
      <c r="L282" s="259"/>
    </row>
    <row r="283" spans="3:12">
      <c r="C283" s="259"/>
      <c r="D283" s="259"/>
      <c r="E283" s="259"/>
      <c r="F283" s="259"/>
      <c r="G283" s="259"/>
      <c r="H283" s="259"/>
      <c r="I283" s="259"/>
      <c r="J283" s="259"/>
      <c r="K283" s="259"/>
      <c r="L283" s="25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1:AI240"/>
  <sheetViews>
    <sheetView showGridLines="0" topLeftCell="A47" zoomScale="85" zoomScaleNormal="85" workbookViewId="0">
      <selection activeCell="Q84" sqref="Q84"/>
    </sheetView>
  </sheetViews>
  <sheetFormatPr defaultColWidth="9.140625" defaultRowHeight="12.75" outlineLevelRow="1" outlineLevelCol="1"/>
  <cols>
    <col min="1" max="1" width="2.140625" style="1337" customWidth="1"/>
    <col min="2" max="2" width="27.7109375" style="1337" bestFit="1" customWidth="1"/>
    <col min="3" max="3" width="23" style="1337" hidden="1" customWidth="1" outlineLevel="1"/>
    <col min="4" max="4" width="7.5703125" style="1337" hidden="1" customWidth="1" outlineLevel="1"/>
    <col min="5" max="6" width="8" style="1337" hidden="1" customWidth="1" outlineLevel="1"/>
    <col min="7" max="7" width="14" style="1337" hidden="1" customWidth="1" outlineLevel="1"/>
    <col min="8" max="8" width="14.28515625" style="1337" hidden="1" customWidth="1" outlineLevel="1"/>
    <col min="9" max="9" width="10.7109375" style="1337" hidden="1" customWidth="1" outlineLevel="1"/>
    <col min="10" max="10" width="9.5703125" style="1337" hidden="1" customWidth="1" outlineLevel="1"/>
    <col min="11" max="11" width="11.42578125" style="1337" hidden="1" customWidth="1" outlineLevel="1"/>
    <col min="12" max="12" width="12.140625" style="1337" hidden="1" customWidth="1" collapsed="1"/>
    <col min="13" max="14" width="12.140625" style="1337" hidden="1" customWidth="1"/>
    <col min="15" max="21" width="12.140625" style="1337" customWidth="1"/>
    <col min="22" max="27" width="10.28515625" style="1337" customWidth="1"/>
    <col min="28" max="29" width="10.85546875" style="1367" customWidth="1"/>
    <col min="30" max="30" width="14.42578125" style="1367" bestFit="1" customWidth="1"/>
    <col min="31" max="32" width="10.5703125" style="1337" bestFit="1" customWidth="1"/>
    <col min="33" max="33" width="12.140625" style="1337" bestFit="1" customWidth="1"/>
    <col min="34" max="35" width="9.28515625" style="1337" bestFit="1" customWidth="1"/>
    <col min="36" max="16384" width="9.140625" style="1337"/>
  </cols>
  <sheetData>
    <row r="1" spans="2:33" ht="13.5" customHeight="1">
      <c r="B1" s="1328" t="s">
        <v>100</v>
      </c>
      <c r="C1" s="1329"/>
      <c r="D1" s="1329"/>
      <c r="E1" s="1329"/>
      <c r="F1" s="1329"/>
      <c r="G1" s="1330"/>
      <c r="H1" s="1330"/>
      <c r="I1" s="1331"/>
      <c r="J1" s="1329"/>
      <c r="K1" s="1332"/>
      <c r="L1" s="1332"/>
      <c r="M1" s="1332"/>
      <c r="N1" s="1333" t="s">
        <v>101</v>
      </c>
      <c r="O1" s="1334">
        <f ca="1">+VP!C21</f>
        <v>10.52</v>
      </c>
      <c r="P1" s="1332"/>
      <c r="Q1" s="1332"/>
      <c r="R1" s="1332"/>
      <c r="S1" s="1332"/>
      <c r="T1" s="1332"/>
      <c r="U1" s="1710"/>
      <c r="V1" s="1335"/>
      <c r="W1" s="1335"/>
      <c r="X1" s="1335" t="s">
        <v>817</v>
      </c>
      <c r="Y1" s="1335"/>
      <c r="Z1" s="1335"/>
      <c r="AA1" s="1335"/>
      <c r="AB1" s="1336"/>
      <c r="AC1" s="1336"/>
      <c r="AD1" s="1336"/>
    </row>
    <row r="2" spans="2:33" s="1341" customFormat="1" ht="13.5" customHeight="1">
      <c r="B2" s="1338" t="s">
        <v>102</v>
      </c>
      <c r="C2" s="1339">
        <v>2015</v>
      </c>
      <c r="D2" s="1339"/>
      <c r="E2" s="1339"/>
      <c r="F2" s="1339"/>
      <c r="G2" s="1339">
        <f>+C2+1</f>
        <v>2016</v>
      </c>
      <c r="H2" s="1339">
        <f t="shared" ref="H2:Q2" si="0">+G2+1</f>
        <v>2017</v>
      </c>
      <c r="I2" s="1339">
        <f t="shared" si="0"/>
        <v>2018</v>
      </c>
      <c r="J2" s="1339">
        <f t="shared" si="0"/>
        <v>2019</v>
      </c>
      <c r="K2" s="1339">
        <f t="shared" si="0"/>
        <v>2020</v>
      </c>
      <c r="L2" s="1339">
        <f t="shared" si="0"/>
        <v>2021</v>
      </c>
      <c r="M2" s="1339">
        <f t="shared" si="0"/>
        <v>2022</v>
      </c>
      <c r="N2" s="1339">
        <f t="shared" si="0"/>
        <v>2023</v>
      </c>
      <c r="O2" s="1339">
        <f t="shared" si="0"/>
        <v>2024</v>
      </c>
      <c r="P2" s="1339">
        <f t="shared" si="0"/>
        <v>2025</v>
      </c>
      <c r="Q2" s="1339">
        <f t="shared" si="0"/>
        <v>2026</v>
      </c>
      <c r="R2" s="1339">
        <f t="shared" ref="R2" si="1">+Q2+1</f>
        <v>2027</v>
      </c>
      <c r="S2" s="1339">
        <f t="shared" ref="S2" si="2">+R2+1</f>
        <v>2028</v>
      </c>
      <c r="T2" s="1339">
        <f t="shared" ref="T2" si="3">+S2+1</f>
        <v>2029</v>
      </c>
      <c r="U2" s="1711">
        <f t="shared" ref="U2" si="4">+T2+1</f>
        <v>2030</v>
      </c>
      <c r="V2" s="1335"/>
      <c r="W2" s="1335"/>
      <c r="X2" s="1335">
        <v>2026</v>
      </c>
      <c r="Y2" s="1335">
        <v>2027</v>
      </c>
      <c r="Z2" s="1335"/>
      <c r="AA2" s="1335"/>
      <c r="AB2" s="1340"/>
      <c r="AC2" s="1340"/>
      <c r="AD2" s="1340"/>
    </row>
    <row r="3" spans="2:33" s="1345" customFormat="1" ht="13.5" customHeight="1">
      <c r="B3" s="1342" t="s">
        <v>103</v>
      </c>
      <c r="C3" s="1332">
        <f>+PROJ!BD5</f>
        <v>7899</v>
      </c>
      <c r="D3" s="1332"/>
      <c r="E3" s="1332"/>
      <c r="F3" s="1332"/>
      <c r="G3" s="1332">
        <f>+PROJ!BE5</f>
        <v>7912.6711375761906</v>
      </c>
      <c r="H3" s="1332">
        <f>+PROJ!BF5</f>
        <v>9852.7476155324057</v>
      </c>
      <c r="I3" s="1332">
        <f>+FAT!BH8</f>
        <v>18514.468189553576</v>
      </c>
      <c r="J3" s="1332">
        <f>+FAT!BJ8</f>
        <v>19708.099999999999</v>
      </c>
      <c r="K3" s="1332">
        <f>+FAT!BK8</f>
        <v>47697</v>
      </c>
      <c r="L3" s="1332">
        <f>+FAT!BL8</f>
        <v>51644.2</v>
      </c>
      <c r="M3" s="1332">
        <f>+FAT!BM8</f>
        <v>47108.6</v>
      </c>
      <c r="N3" s="1332">
        <f>+FAT!BN8</f>
        <v>38175.46608093354</v>
      </c>
      <c r="O3" s="1332">
        <f>+FAT!BO8</f>
        <v>31586.822893874683</v>
      </c>
      <c r="P3" s="1332">
        <f>+FAT!BP8</f>
        <v>29494.799999999999</v>
      </c>
      <c r="Q3" s="1332">
        <f>+FAT!BQ8</f>
        <v>30341.942743491491</v>
      </c>
      <c r="R3" s="1332">
        <f>+FAT!BR8</f>
        <v>31698.982389548346</v>
      </c>
      <c r="S3" s="1332">
        <f>+FAT!BS8</f>
        <v>32921.72228114141</v>
      </c>
      <c r="T3" s="1332">
        <f>+FAT!BT8</f>
        <v>34175.413649736605</v>
      </c>
      <c r="U3" s="1710">
        <f>+FAT!BU8</f>
        <v>35383.327713027356</v>
      </c>
      <c r="V3" s="1335"/>
      <c r="W3" s="1335"/>
      <c r="X3" s="1335"/>
      <c r="Y3" s="1335"/>
      <c r="Z3" s="1335"/>
      <c r="AA3" s="1335"/>
      <c r="AB3" s="1336"/>
      <c r="AC3" s="1336"/>
      <c r="AD3" s="1343" t="s">
        <v>104</v>
      </c>
      <c r="AE3" s="1344">
        <v>5.5</v>
      </c>
    </row>
    <row r="4" spans="2:33" ht="13.5" customHeight="1">
      <c r="B4" s="1346" t="s">
        <v>105</v>
      </c>
      <c r="C4" s="1347"/>
      <c r="D4" s="1347"/>
      <c r="E4" s="1347"/>
      <c r="F4" s="1347"/>
      <c r="G4" s="1347">
        <f>+G3/C3-1</f>
        <v>1.7307428251918111E-3</v>
      </c>
      <c r="H4" s="1347">
        <f t="shared" ref="H4:J4" si="5">+H3/G3-1</f>
        <v>0.24518603695571994</v>
      </c>
      <c r="I4" s="1347">
        <f t="shared" si="5"/>
        <v>0.87911726880797847</v>
      </c>
      <c r="J4" s="1347">
        <f t="shared" si="5"/>
        <v>6.4470218546158753E-2</v>
      </c>
      <c r="K4" s="1347">
        <f>+K3/J3-1</f>
        <v>1.4201724164176155</v>
      </c>
      <c r="L4" s="1347">
        <f t="shared" ref="L4:Q4" si="6">+L3/K3-1</f>
        <v>8.2755728871836798E-2</v>
      </c>
      <c r="M4" s="1347">
        <f t="shared" si="6"/>
        <v>-8.782399572459243E-2</v>
      </c>
      <c r="N4" s="1347">
        <f t="shared" si="6"/>
        <v>-0.18962851621713361</v>
      </c>
      <c r="O4" s="1347">
        <f t="shared" si="6"/>
        <v>-0.17258841511170198</v>
      </c>
      <c r="P4" s="1347">
        <f t="shared" si="6"/>
        <v>-6.6230874213068391E-2</v>
      </c>
      <c r="Q4" s="1347">
        <f t="shared" si="6"/>
        <v>2.8721765988970693E-2</v>
      </c>
      <c r="R4" s="1347">
        <f t="shared" ref="R4" si="7">+R3/Q3-1</f>
        <v>4.4724876634603339E-2</v>
      </c>
      <c r="S4" s="1347">
        <f t="shared" ref="S4" si="8">+S3/R3-1</f>
        <v>3.8573474585613887E-2</v>
      </c>
      <c r="T4" s="1347">
        <f t="shared" ref="T4" si="9">+T3/S3-1</f>
        <v>3.8080977595553955E-2</v>
      </c>
      <c r="U4" s="1712">
        <f t="shared" ref="U4" si="10">+U3/T3-1</f>
        <v>3.5344533812250223E-2</v>
      </c>
      <c r="V4" s="1347"/>
      <c r="W4" s="1347"/>
      <c r="X4" s="1347"/>
      <c r="Y4" s="1347"/>
      <c r="Z4" s="1347"/>
      <c r="AA4" s="1347"/>
      <c r="AB4" s="1343"/>
      <c r="AC4" s="1348"/>
      <c r="AD4" s="1343" t="s">
        <v>106</v>
      </c>
      <c r="AE4" s="1349">
        <v>0.06</v>
      </c>
    </row>
    <row r="5" spans="2:33" ht="13.5" customHeight="1">
      <c r="B5" s="1346"/>
      <c r="C5" s="1347"/>
      <c r="D5" s="1347"/>
      <c r="E5" s="1347"/>
      <c r="F5" s="1347"/>
      <c r="G5" s="1347"/>
      <c r="H5" s="1347"/>
      <c r="I5" s="1347"/>
      <c r="J5" s="1350"/>
      <c r="K5" s="1351"/>
      <c r="L5" s="1352"/>
      <c r="M5" s="1352"/>
      <c r="N5" s="1352"/>
      <c r="O5" s="1347"/>
      <c r="P5" s="1347"/>
      <c r="Q5" s="1347"/>
      <c r="R5" s="1347"/>
      <c r="S5" s="1347"/>
      <c r="T5" s="1347"/>
      <c r="U5" s="1712"/>
      <c r="V5" s="1347"/>
      <c r="W5" s="1347"/>
      <c r="X5" s="1347"/>
      <c r="Y5" s="1347"/>
      <c r="Z5" s="1347"/>
      <c r="AA5" s="1347"/>
      <c r="AB5" s="1343"/>
      <c r="AC5" s="1348"/>
      <c r="AD5" s="1343"/>
      <c r="AE5" s="1349"/>
    </row>
    <row r="6" spans="2:33" s="1345" customFormat="1" ht="13.5" customHeight="1">
      <c r="B6" s="1593" t="s">
        <v>107</v>
      </c>
      <c r="C6" s="1335"/>
      <c r="D6" s="1335"/>
      <c r="E6" s="1335"/>
      <c r="F6" s="1335"/>
      <c r="G6" s="1335"/>
      <c r="H6" s="1335"/>
      <c r="I6" s="1335"/>
      <c r="J6" s="1335">
        <f>+FAT!BJ36</f>
        <v>25344</v>
      </c>
      <c r="K6" s="1335">
        <f>+FAT!BK36</f>
        <v>27584.5</v>
      </c>
      <c r="L6" s="1335">
        <f>+FAT!BL36</f>
        <v>29693.4</v>
      </c>
      <c r="M6" s="1335">
        <f>+FAT!BM36</f>
        <v>29158</v>
      </c>
      <c r="N6" s="1335">
        <f>+FAT!BN36</f>
        <v>27220.844080933537</v>
      </c>
      <c r="O6" s="1335">
        <f>+FAT!BO36</f>
        <v>31586.822893874683</v>
      </c>
      <c r="P6" s="1335">
        <f>+FAT!BP36</f>
        <v>29494.799999999999</v>
      </c>
      <c r="Q6" s="1335">
        <f>+FAT!BQ36</f>
        <v>30341.942743491491</v>
      </c>
      <c r="R6" s="1335">
        <f>+FAT!BR36</f>
        <v>31698.982389548346</v>
      </c>
      <c r="S6" s="1335">
        <f>+FAT!BS36</f>
        <v>32921.72228114141</v>
      </c>
      <c r="T6" s="1335">
        <f>+FAT!BT36</f>
        <v>34175.413649736605</v>
      </c>
      <c r="U6" s="1713">
        <f>+FAT!BU36</f>
        <v>35383.327713027356</v>
      </c>
      <c r="V6" s="1335">
        <f ca="1">+O69-700</f>
        <v>13760.35016</v>
      </c>
      <c r="W6" s="1335"/>
      <c r="X6" s="1335"/>
      <c r="Y6" s="1335"/>
      <c r="Z6" s="1335"/>
      <c r="AA6" s="1335"/>
      <c r="AB6" s="1336"/>
      <c r="AC6" s="1336"/>
      <c r="AD6" s="1348"/>
      <c r="AE6" s="1354"/>
    </row>
    <row r="7" spans="2:33" ht="13.5" customHeight="1">
      <c r="B7" s="1594" t="s">
        <v>108</v>
      </c>
      <c r="C7" s="1355"/>
      <c r="D7" s="1355"/>
      <c r="E7" s="1355"/>
      <c r="F7" s="1355"/>
      <c r="G7" s="1355"/>
      <c r="H7" s="1355"/>
      <c r="I7" s="1355"/>
      <c r="J7" s="1355"/>
      <c r="K7" s="1347">
        <f t="shared" ref="K7:Q7" si="11">+K6/J6-1</f>
        <v>8.8403566919191823E-2</v>
      </c>
      <c r="L7" s="1347">
        <f t="shared" si="11"/>
        <v>7.6452355489496027E-2</v>
      </c>
      <c r="M7" s="1347">
        <f t="shared" si="11"/>
        <v>-1.8030942903136782E-2</v>
      </c>
      <c r="N7" s="1347">
        <f t="shared" si="11"/>
        <v>-6.6436515504028515E-2</v>
      </c>
      <c r="O7" s="1347">
        <f t="shared" si="11"/>
        <v>0.16039101506037556</v>
      </c>
      <c r="P7" s="1347">
        <f t="shared" si="11"/>
        <v>-6.6230874213068391E-2</v>
      </c>
      <c r="Q7" s="1347">
        <f t="shared" si="11"/>
        <v>2.8721765988970693E-2</v>
      </c>
      <c r="R7" s="1347">
        <f t="shared" ref="R7" si="12">+R6/Q6-1</f>
        <v>4.4724876634603339E-2</v>
      </c>
      <c r="S7" s="1347">
        <f t="shared" ref="S7" si="13">+S6/R6-1</f>
        <v>3.8573474585613887E-2</v>
      </c>
      <c r="T7" s="1347">
        <f t="shared" ref="T7" si="14">+T6/S6-1</f>
        <v>3.8080977595553955E-2</v>
      </c>
      <c r="U7" s="1712">
        <f t="shared" ref="U7" si="15">+U6/T6-1</f>
        <v>3.5344533812250223E-2</v>
      </c>
      <c r="V7" s="1757">
        <f ca="1">+V6/O6</f>
        <v>0.43563577781253865</v>
      </c>
      <c r="W7" s="1757"/>
      <c r="X7" s="1757"/>
      <c r="Y7" s="1757"/>
      <c r="Z7" s="1757"/>
      <c r="AA7" s="1757"/>
      <c r="AB7" s="1356"/>
      <c r="AC7" s="1356"/>
      <c r="AD7" s="1343"/>
      <c r="AE7" s="1344"/>
    </row>
    <row r="8" spans="2:33" ht="13.5" customHeight="1">
      <c r="B8" s="1594" t="s">
        <v>109</v>
      </c>
      <c r="C8" s="1355"/>
      <c r="D8" s="1355"/>
      <c r="E8" s="1355"/>
      <c r="F8" s="1355"/>
      <c r="G8" s="1355"/>
      <c r="H8" s="1355"/>
      <c r="I8" s="1355"/>
      <c r="J8" s="1347">
        <f>+J6/J$3</f>
        <v>1.2859687133716595</v>
      </c>
      <c r="K8" s="1347">
        <f t="shared" ref="K8:Q8" si="16">+K6/K$3</f>
        <v>0.57832777742834984</v>
      </c>
      <c r="L8" s="1347">
        <f t="shared" si="16"/>
        <v>0.57496098303391285</v>
      </c>
      <c r="M8" s="1347">
        <f t="shared" si="16"/>
        <v>0.6189528026729727</v>
      </c>
      <c r="N8" s="1347">
        <f t="shared" si="16"/>
        <v>0.71304549427698516</v>
      </c>
      <c r="O8" s="1347">
        <f t="shared" si="16"/>
        <v>1</v>
      </c>
      <c r="P8" s="1347">
        <f t="shared" si="16"/>
        <v>1</v>
      </c>
      <c r="Q8" s="1347">
        <f t="shared" si="16"/>
        <v>1</v>
      </c>
      <c r="R8" s="1347">
        <f t="shared" ref="R8:U8" si="17">+R6/R$3</f>
        <v>1</v>
      </c>
      <c r="S8" s="1347">
        <f t="shared" si="17"/>
        <v>1</v>
      </c>
      <c r="T8" s="1347">
        <f t="shared" si="17"/>
        <v>1</v>
      </c>
      <c r="U8" s="1712">
        <f t="shared" si="17"/>
        <v>1</v>
      </c>
      <c r="V8" s="1355"/>
      <c r="W8" s="1355"/>
      <c r="X8" s="1355"/>
      <c r="Y8" s="1355"/>
      <c r="Z8" s="1355"/>
      <c r="AA8" s="1355"/>
      <c r="AB8" s="1356"/>
      <c r="AC8" s="1356"/>
      <c r="AD8" s="1343"/>
      <c r="AE8" s="1344"/>
    </row>
    <row r="9" spans="2:33" s="1345" customFormat="1" ht="13.5" customHeight="1">
      <c r="B9" s="1593" t="s">
        <v>110</v>
      </c>
      <c r="C9" s="1335"/>
      <c r="D9" s="1335"/>
      <c r="E9" s="1335"/>
      <c r="F9" s="1335"/>
      <c r="G9" s="1335"/>
      <c r="H9" s="1335"/>
      <c r="I9" s="1335"/>
      <c r="J9" s="1335">
        <f>+FAT!BJ40</f>
        <v>10926.2</v>
      </c>
      <c r="K9" s="1335">
        <f>+FAT!BK40</f>
        <v>10891.5</v>
      </c>
      <c r="L9" s="1335">
        <f>+FAT!BL40</f>
        <v>11189</v>
      </c>
      <c r="M9" s="1335">
        <f>+FAT!BM40</f>
        <v>8728.6</v>
      </c>
      <c r="N9" s="1335">
        <f>+FAT!BN40</f>
        <v>7488.0079999999998</v>
      </c>
      <c r="O9" s="1335">
        <f>+FAT!BO40</f>
        <v>0</v>
      </c>
      <c r="P9" s="1335"/>
      <c r="Q9" s="1335"/>
      <c r="R9" s="1335"/>
      <c r="S9" s="1335"/>
      <c r="T9" s="1335"/>
      <c r="U9" s="1713"/>
      <c r="V9" s="1335">
        <f>(300*20*5.5)/2</f>
        <v>16500</v>
      </c>
      <c r="W9" s="1335"/>
      <c r="X9" s="1335"/>
      <c r="Y9" s="1335"/>
      <c r="Z9" s="1335"/>
      <c r="AA9" s="1335"/>
      <c r="AB9" s="1336"/>
      <c r="AC9" s="1336"/>
      <c r="AD9" s="1348"/>
      <c r="AE9" s="1357">
        <v>2024</v>
      </c>
    </row>
    <row r="10" spans="2:33" ht="13.5" customHeight="1">
      <c r="B10" s="1594" t="s">
        <v>108</v>
      </c>
      <c r="C10" s="1355"/>
      <c r="D10" s="1355"/>
      <c r="E10" s="1355"/>
      <c r="F10" s="1355"/>
      <c r="G10" s="1355"/>
      <c r="H10" s="1355"/>
      <c r="I10" s="1355"/>
      <c r="J10" s="1355"/>
      <c r="K10" s="1347">
        <f t="shared" ref="K10:O10" si="18">+K9/J9-1</f>
        <v>-3.1758525379363967E-3</v>
      </c>
      <c r="L10" s="1347">
        <f t="shared" si="18"/>
        <v>2.7314878575035673E-2</v>
      </c>
      <c r="M10" s="1347">
        <f t="shared" si="18"/>
        <v>-0.21989453927964964</v>
      </c>
      <c r="N10" s="1347">
        <f t="shared" si="18"/>
        <v>-0.14212955113076564</v>
      </c>
      <c r="O10" s="1347">
        <f t="shared" si="18"/>
        <v>-1</v>
      </c>
      <c r="P10" s="1347"/>
      <c r="Q10" s="1347"/>
      <c r="R10" s="1347"/>
      <c r="S10" s="1347"/>
      <c r="T10" s="1347"/>
      <c r="U10" s="1712"/>
      <c r="V10" s="1355"/>
      <c r="W10" s="1355"/>
      <c r="X10" s="1355"/>
      <c r="Y10" s="1355"/>
      <c r="Z10" s="1355"/>
      <c r="AA10" s="1355"/>
      <c r="AB10" s="1356"/>
      <c r="AC10" s="1356"/>
      <c r="AD10" s="1358" t="s">
        <v>111</v>
      </c>
      <c r="AE10" s="1359">
        <v>49000</v>
      </c>
      <c r="AF10" s="1337">
        <f>+AE10*0.47*0.1</f>
        <v>2303</v>
      </c>
      <c r="AG10" s="1360">
        <f>+AF10+AE10</f>
        <v>51303</v>
      </c>
    </row>
    <row r="11" spans="2:33" ht="13.5" customHeight="1">
      <c r="B11" s="1594" t="s">
        <v>109</v>
      </c>
      <c r="C11" s="1355"/>
      <c r="D11" s="1355"/>
      <c r="E11" s="1355"/>
      <c r="F11" s="1355"/>
      <c r="G11" s="1355"/>
      <c r="H11" s="1355"/>
      <c r="I11" s="1355"/>
      <c r="J11" s="1355"/>
      <c r="K11" s="1347">
        <f t="shared" ref="K11:O11" si="19">+K9/K$3</f>
        <v>0.22834769482357381</v>
      </c>
      <c r="L11" s="1347">
        <f t="shared" si="19"/>
        <v>0.21665550052087168</v>
      </c>
      <c r="M11" s="1347">
        <f t="shared" si="19"/>
        <v>0.1852867629265145</v>
      </c>
      <c r="N11" s="1347">
        <f t="shared" si="19"/>
        <v>0.19614712716604737</v>
      </c>
      <c r="O11" s="1347">
        <f t="shared" si="19"/>
        <v>0</v>
      </c>
      <c r="P11" s="1347"/>
      <c r="Q11" s="1785">
        <f>+Q12-Q14</f>
        <v>1584.0685821272637</v>
      </c>
      <c r="R11" s="1347"/>
      <c r="S11" s="1347"/>
      <c r="T11" s="1347"/>
      <c r="U11" s="1712"/>
      <c r="V11" s="1355"/>
      <c r="W11" s="1355"/>
      <c r="X11" s="1355"/>
      <c r="Y11" s="1355"/>
      <c r="Z11" s="1355"/>
      <c r="AA11" s="1355"/>
      <c r="AB11" s="1356"/>
      <c r="AC11" s="1356"/>
      <c r="AD11" s="1358"/>
      <c r="AE11" s="1359"/>
      <c r="AG11" s="1360"/>
    </row>
    <row r="12" spans="2:33" s="1383" customFormat="1" ht="13.5" customHeight="1">
      <c r="B12" s="2655"/>
      <c r="C12" s="1785"/>
      <c r="D12" s="1785"/>
      <c r="E12" s="1785"/>
      <c r="F12" s="1785"/>
      <c r="G12" s="1785"/>
      <c r="H12" s="1785"/>
      <c r="I12" s="1785"/>
      <c r="J12" s="1785"/>
      <c r="K12" s="1785"/>
      <c r="L12" s="1785"/>
      <c r="M12" s="1785"/>
      <c r="N12" s="1785"/>
      <c r="O12" s="1785"/>
      <c r="P12" s="1785">
        <v>23195</v>
      </c>
      <c r="Q12" s="1785">
        <v>23271</v>
      </c>
      <c r="R12" s="1785">
        <v>24342</v>
      </c>
      <c r="S12" s="1785"/>
      <c r="T12" s="1785"/>
      <c r="U12" s="2656"/>
      <c r="V12" s="1785"/>
      <c r="W12" s="1785"/>
      <c r="X12" s="1785"/>
      <c r="Y12" s="1785"/>
      <c r="Z12" s="1785"/>
      <c r="AA12" s="1785"/>
      <c r="AB12" s="2657">
        <f>+O9*0.1</f>
        <v>0</v>
      </c>
      <c r="AC12" s="2657"/>
      <c r="AD12" s="2154"/>
      <c r="AE12" s="2658"/>
    </row>
    <row r="13" spans="2:33" ht="13.5" customHeight="1">
      <c r="B13" s="1594"/>
      <c r="C13" s="1355"/>
      <c r="D13" s="1355"/>
      <c r="E13" s="1355"/>
      <c r="F13" s="1355"/>
      <c r="G13" s="1355"/>
      <c r="H13" s="1355"/>
      <c r="I13" s="1355"/>
      <c r="J13" s="1355"/>
      <c r="K13" s="1347"/>
      <c r="L13" s="1347"/>
      <c r="M13" s="1347"/>
      <c r="N13" s="1347"/>
      <c r="O13" s="1347"/>
      <c r="P13" s="1351"/>
      <c r="Q13" s="1347">
        <f>+Q12/P14-1</f>
        <v>4.7420115112911887E-2</v>
      </c>
      <c r="R13" s="1347">
        <f>+R12/Q12-1</f>
        <v>4.6022947015598836E-2</v>
      </c>
      <c r="S13" s="1347"/>
      <c r="T13" s="1347"/>
      <c r="U13" s="1712"/>
      <c r="V13" s="1355"/>
      <c r="W13" s="1355"/>
      <c r="X13" s="1355"/>
      <c r="Y13" s="1355"/>
      <c r="Z13" s="1355"/>
      <c r="AA13" s="1355"/>
      <c r="AB13" s="1356"/>
      <c r="AC13" s="1356"/>
      <c r="AD13" s="1358"/>
      <c r="AE13" s="1359"/>
      <c r="AG13" s="1360"/>
    </row>
    <row r="14" spans="2:33" s="1345" customFormat="1" ht="13.5" customHeight="1">
      <c r="B14" s="1353" t="s">
        <v>112</v>
      </c>
      <c r="C14" s="1335">
        <f>+PROJ!BD5</f>
        <v>7899</v>
      </c>
      <c r="D14" s="1335"/>
      <c r="E14" s="1335"/>
      <c r="F14" s="1335"/>
      <c r="G14" s="1335">
        <f>+PROJ!BE5</f>
        <v>7912.6711375761906</v>
      </c>
      <c r="H14" s="1335">
        <f>+PROJ!BF5</f>
        <v>9852.7476155324057</v>
      </c>
      <c r="I14" s="1335">
        <f>+PROJ!BG5</f>
        <v>13365.130485154506</v>
      </c>
      <c r="J14" s="1335">
        <f>+PROJ!BH5</f>
        <v>19447.159</v>
      </c>
      <c r="K14" s="1335">
        <f>+PROJ!BI5</f>
        <v>36921.899999999994</v>
      </c>
      <c r="L14" s="1335">
        <f>+PROJ!BJ5</f>
        <v>40164.6</v>
      </c>
      <c r="M14" s="1335">
        <f>+PROJ!BK5</f>
        <v>36349.199999999997</v>
      </c>
      <c r="N14" s="1335">
        <f>+PROJ!BL5</f>
        <v>29224.395799143866</v>
      </c>
      <c r="O14" s="1335">
        <f>+PROJ!BM5</f>
        <v>23432.878897553732</v>
      </c>
      <c r="P14" s="1335">
        <f>+PROJ!BN5</f>
        <v>22217.446146230814</v>
      </c>
      <c r="Q14" s="1335">
        <f>+PROJ!BO5</f>
        <v>21686.931417872736</v>
      </c>
      <c r="R14" s="1335">
        <f>+PROJ!BP5</f>
        <v>22657.603688583269</v>
      </c>
      <c r="S14" s="1335">
        <f>+PROJ!BQ5</f>
        <v>23535.363447344898</v>
      </c>
      <c r="T14" s="1335">
        <f>+PROJ!BR5</f>
        <v>24439.342431603887</v>
      </c>
      <c r="U14" s="1713">
        <f>+PROJ!BS5</f>
        <v>25310.62308218054</v>
      </c>
      <c r="V14" s="1335"/>
      <c r="W14" s="1335"/>
      <c r="X14" s="1785">
        <v>23271</v>
      </c>
      <c r="Y14" s="1785">
        <v>24342</v>
      </c>
      <c r="Z14" s="1335"/>
      <c r="AA14" s="1335"/>
      <c r="AB14" s="1336">
        <f>+O6*1</f>
        <v>31586.822893874683</v>
      </c>
      <c r="AC14" s="1336"/>
      <c r="AD14" s="1361" t="s">
        <v>113</v>
      </c>
      <c r="AE14" s="1362">
        <v>0.14000000000000001</v>
      </c>
      <c r="AF14" s="1362">
        <v>0.16</v>
      </c>
    </row>
    <row r="15" spans="2:33" ht="13.5" customHeight="1">
      <c r="B15" s="1346" t="s">
        <v>105</v>
      </c>
      <c r="C15" s="1347"/>
      <c r="D15" s="1347"/>
      <c r="E15" s="1347"/>
      <c r="F15" s="1347"/>
      <c r="G15" s="1347"/>
      <c r="H15" s="1347"/>
      <c r="I15" s="1347"/>
      <c r="J15" s="1347">
        <f t="shared" ref="J15:Q15" si="20">+J14/I14-1</f>
        <v>0.45506690126229499</v>
      </c>
      <c r="K15" s="1347">
        <f t="shared" si="20"/>
        <v>0.89857551943705483</v>
      </c>
      <c r="L15" s="1347">
        <f t="shared" si="20"/>
        <v>8.7825924451341963E-2</v>
      </c>
      <c r="M15" s="1347">
        <f t="shared" si="20"/>
        <v>-9.4994099281456856E-2</v>
      </c>
      <c r="N15" s="1347">
        <f>+N14/M14-1</f>
        <v>-0.19600993146633572</v>
      </c>
      <c r="O15" s="1347">
        <f t="shared" si="20"/>
        <v>-0.1981740509331521</v>
      </c>
      <c r="P15" s="1347">
        <f t="shared" si="20"/>
        <v>-5.1868690852569621E-2</v>
      </c>
      <c r="Q15" s="1347">
        <f t="shared" si="20"/>
        <v>-2.3878294780882325E-2</v>
      </c>
      <c r="R15" s="1347">
        <f t="shared" ref="R15" si="21">+R14/Q14-1</f>
        <v>4.4758396289784841E-2</v>
      </c>
      <c r="S15" s="1347">
        <f t="shared" ref="S15" si="22">+S14/R14-1</f>
        <v>3.8740185009234374E-2</v>
      </c>
      <c r="T15" s="1347">
        <f t="shared" ref="T15" si="23">+T14/S14-1</f>
        <v>3.840939130944121E-2</v>
      </c>
      <c r="U15" s="1712">
        <f t="shared" ref="U15" si="24">+U14/T14-1</f>
        <v>3.5650740318198926E-2</v>
      </c>
      <c r="V15" s="1355"/>
      <c r="W15" s="1355"/>
      <c r="X15" s="1355"/>
      <c r="Y15" s="1355"/>
      <c r="Z15" s="1355"/>
      <c r="AA15" s="1355"/>
      <c r="AB15" s="1356">
        <f>+AB14+AB12</f>
        <v>31586.822893874683</v>
      </c>
      <c r="AC15" s="1356"/>
      <c r="AD15" s="1343" t="s">
        <v>114</v>
      </c>
      <c r="AE15" s="1363">
        <f>+AE14*AE10</f>
        <v>6860.0000000000009</v>
      </c>
      <c r="AF15" s="1363">
        <f>+AF14*AE10</f>
        <v>7840</v>
      </c>
      <c r="AG15" s="1360">
        <f>+AG10*AE14</f>
        <v>7182.420000000001</v>
      </c>
    </row>
    <row r="16" spans="2:33" ht="13.5" customHeight="1">
      <c r="B16" s="1353"/>
      <c r="C16" s="1368"/>
      <c r="D16" s="1368"/>
      <c r="E16" s="1368"/>
      <c r="F16" s="1368"/>
      <c r="G16" s="1368"/>
      <c r="H16" s="1368"/>
      <c r="I16" s="1368"/>
      <c r="J16" s="1368"/>
      <c r="K16" s="1368"/>
      <c r="L16" s="1368"/>
      <c r="M16" s="1368"/>
      <c r="N16" s="1368"/>
      <c r="O16" s="1368"/>
      <c r="P16" s="1368"/>
      <c r="Q16" s="1368"/>
      <c r="R16" s="1368"/>
      <c r="S16" s="1368"/>
      <c r="T16" s="1368"/>
      <c r="U16" s="1714"/>
      <c r="V16" s="1355"/>
      <c r="W16" s="1355"/>
      <c r="X16" s="1355"/>
      <c r="Y16" s="1355"/>
      <c r="Z16" s="1355"/>
      <c r="AA16" s="1355"/>
      <c r="AB16" s="1356"/>
      <c r="AC16" s="1356"/>
      <c r="AD16" s="1343"/>
      <c r="AE16" s="1363"/>
      <c r="AG16" s="1360"/>
    </row>
    <row r="17" spans="2:33" s="1345" customFormat="1" ht="13.5" customHeight="1">
      <c r="B17" s="1346" t="s">
        <v>115</v>
      </c>
      <c r="C17" s="1355">
        <f>+PROJ!BD7</f>
        <v>-2416.0239640656728</v>
      </c>
      <c r="D17" s="1355"/>
      <c r="E17" s="1355"/>
      <c r="F17" s="1355"/>
      <c r="G17" s="1355">
        <f>+PROJ!BE7</f>
        <v>-2446.9185502372729</v>
      </c>
      <c r="H17" s="1355">
        <f>+PROJ!BF7</f>
        <v>-2911.0773938616912</v>
      </c>
      <c r="I17" s="1355">
        <f>+PROJ!BG7</f>
        <v>-3761.8971848975043</v>
      </c>
      <c r="J17" s="1355">
        <f>+PROJ!BH7</f>
        <v>-6191.7269999999999</v>
      </c>
      <c r="K17" s="1355">
        <f>+PROJ!BI7</f>
        <v>-13229.400000000001</v>
      </c>
      <c r="L17" s="1355">
        <f>+PROJ!BJ7</f>
        <v>-14011.399999999998</v>
      </c>
      <c r="M17" s="1355">
        <f>+PROJ!BK7</f>
        <v>-13155.3</v>
      </c>
      <c r="N17" s="1355">
        <f>+PROJ!BL7</f>
        <v>-10238.485087279465</v>
      </c>
      <c r="O17" s="1355">
        <f>+PROJ!BM7</f>
        <v>-8108.5109389641011</v>
      </c>
      <c r="P17" s="1355">
        <f>+PROJ!BN7</f>
        <v>-7483.9594201224627</v>
      </c>
      <c r="Q17" s="1355">
        <f>+PROJ!BO7</f>
        <v>-7314.5874868233013</v>
      </c>
      <c r="R17" s="1355">
        <f>+PROJ!BP7</f>
        <v>-7641.9766922548406</v>
      </c>
      <c r="S17" s="1355">
        <f>+PROJ!BQ7</f>
        <v>-7938.0282831490495</v>
      </c>
      <c r="T17" s="1355">
        <f>+PROJ!BR7</f>
        <v>-8242.9231177019337</v>
      </c>
      <c r="U17" s="1715">
        <f>+PROJ!BS7</f>
        <v>-8536.7894292340061</v>
      </c>
      <c r="V17" s="1335"/>
      <c r="W17" s="1335"/>
      <c r="X17" s="1335"/>
      <c r="Y17" s="1335"/>
      <c r="Z17" s="1335"/>
      <c r="AA17" s="1335"/>
      <c r="AB17" s="1336"/>
      <c r="AC17" s="1336"/>
      <c r="AD17" s="1364"/>
    </row>
    <row r="18" spans="2:33" s="1345" customFormat="1" ht="13.5" customHeight="1">
      <c r="B18" s="1353" t="s">
        <v>116</v>
      </c>
      <c r="C18" s="1335">
        <f>+PROJ!BD8</f>
        <v>5482.9760359343272</v>
      </c>
      <c r="D18" s="1335"/>
      <c r="E18" s="1335"/>
      <c r="F18" s="1335"/>
      <c r="G18" s="1335">
        <f>+PROJ!BE8</f>
        <v>5465.7525873389177</v>
      </c>
      <c r="H18" s="1335">
        <f>+PROJ!BF8</f>
        <v>6941.6307812847326</v>
      </c>
      <c r="I18" s="1335">
        <f>+PROJ!BG8</f>
        <v>9603.2333002570031</v>
      </c>
      <c r="J18" s="1335">
        <f>+PROJ!BH8</f>
        <v>13255.432000000001</v>
      </c>
      <c r="K18" s="1335">
        <f>+PROJ!BI8</f>
        <v>23692.5</v>
      </c>
      <c r="L18" s="1335">
        <f>+PROJ!BJ8</f>
        <v>26153.199999999997</v>
      </c>
      <c r="M18" s="1335">
        <f>+PROJ!BK8</f>
        <v>23193.899999999998</v>
      </c>
      <c r="N18" s="1335">
        <f>+PROJ!BL8</f>
        <v>18985.910711864402</v>
      </c>
      <c r="O18" s="1335">
        <f>+PROJ!BM8</f>
        <v>15324.367958589632</v>
      </c>
      <c r="P18" s="1335">
        <f>+PROJ!BN8</f>
        <v>14733.486726108351</v>
      </c>
      <c r="Q18" s="1335">
        <f>+PROJ!BO8</f>
        <v>14372.343931049436</v>
      </c>
      <c r="R18" s="1335">
        <f>+PROJ!BP8</f>
        <v>15015.626996328429</v>
      </c>
      <c r="S18" s="1335">
        <f>+PROJ!BQ8</f>
        <v>15597.335164195849</v>
      </c>
      <c r="T18" s="1335">
        <f>+PROJ!BR8</f>
        <v>16196.419313901954</v>
      </c>
      <c r="U18" s="1713">
        <f>+PROJ!BS8</f>
        <v>16773.833652946534</v>
      </c>
      <c r="V18" s="1335"/>
      <c r="W18" s="1335"/>
      <c r="X18" s="1335">
        <f>+X19*X14</f>
        <v>15505.4673</v>
      </c>
      <c r="Y18" s="1335">
        <f>+Y19*Y14</f>
        <v>16219.0746</v>
      </c>
      <c r="Z18" s="1335"/>
      <c r="AA18" s="1335"/>
      <c r="AB18" s="1336"/>
      <c r="AC18" s="1336"/>
      <c r="AD18" s="1343" t="s">
        <v>117</v>
      </c>
      <c r="AE18" s="1363">
        <f>+AE15*0.47</f>
        <v>3224.2000000000003</v>
      </c>
      <c r="AF18" s="1363">
        <f>+AF15*0.47</f>
        <v>3684.7999999999997</v>
      </c>
    </row>
    <row r="19" spans="2:33" s="1345" customFormat="1" ht="13.5" customHeight="1">
      <c r="B19" s="1375" t="s">
        <v>118</v>
      </c>
      <c r="C19" s="1376">
        <f>+C18/C3</f>
        <v>0.6941354647340584</v>
      </c>
      <c r="D19" s="1376"/>
      <c r="E19" s="1376"/>
      <c r="F19" s="1376"/>
      <c r="G19" s="1376">
        <f>+G18/G3</f>
        <v>0.69075947834894946</v>
      </c>
      <c r="H19" s="1376">
        <f>+H18/H3</f>
        <v>0.70453756171949122</v>
      </c>
      <c r="I19" s="1376">
        <f t="shared" ref="I19:U19" si="25">+I18/I14</f>
        <v>0.7185289594384372</v>
      </c>
      <c r="J19" s="1376">
        <f t="shared" si="25"/>
        <v>0.68161277439033641</v>
      </c>
      <c r="K19" s="1376">
        <f t="shared" si="25"/>
        <v>0.64169232894298511</v>
      </c>
      <c r="L19" s="1376">
        <f t="shared" si="25"/>
        <v>0.65115051562818993</v>
      </c>
      <c r="M19" s="1376">
        <f t="shared" si="25"/>
        <v>0.63808556997127863</v>
      </c>
      <c r="N19" s="1376">
        <f t="shared" si="25"/>
        <v>0.64965964882054461</v>
      </c>
      <c r="O19" s="1376">
        <f t="shared" si="25"/>
        <v>0.65396864062611682</v>
      </c>
      <c r="P19" s="1376">
        <f t="shared" si="25"/>
        <v>0.66314942901787499</v>
      </c>
      <c r="Q19" s="1376">
        <f t="shared" si="25"/>
        <v>0.66271911199040501</v>
      </c>
      <c r="R19" s="1376">
        <f t="shared" si="25"/>
        <v>0.66271911199040501</v>
      </c>
      <c r="S19" s="1376">
        <f t="shared" si="25"/>
        <v>0.66271911199040501</v>
      </c>
      <c r="T19" s="1376">
        <f t="shared" si="25"/>
        <v>0.66271911199040501</v>
      </c>
      <c r="U19" s="1716">
        <f t="shared" si="25"/>
        <v>0.66271911199040501</v>
      </c>
      <c r="V19" s="1335"/>
      <c r="W19" s="1335"/>
      <c r="X19" s="2662">
        <v>0.6663</v>
      </c>
      <c r="Y19" s="2662">
        <v>0.6663</v>
      </c>
      <c r="Z19" s="1335"/>
      <c r="AA19" s="1335"/>
      <c r="AB19" s="1336"/>
      <c r="AC19" s="1336"/>
      <c r="AD19" s="1343"/>
      <c r="AE19" s="1363"/>
    </row>
    <row r="20" spans="2:33" s="1345" customFormat="1" ht="13.5" customHeight="1">
      <c r="B20" s="1375"/>
      <c r="C20" s="1376"/>
      <c r="D20" s="1376"/>
      <c r="E20" s="1376"/>
      <c r="F20" s="1376"/>
      <c r="G20" s="1376"/>
      <c r="H20" s="1376"/>
      <c r="I20" s="1376"/>
      <c r="J20" s="1376"/>
      <c r="K20" s="1376"/>
      <c r="L20" s="1376"/>
      <c r="M20" s="1376"/>
      <c r="N20" s="1376"/>
      <c r="O20" s="1376"/>
      <c r="P20" s="1376"/>
      <c r="Q20" s="1376"/>
      <c r="R20" s="1376"/>
      <c r="S20" s="1376"/>
      <c r="T20" s="1376"/>
      <c r="U20" s="1716"/>
      <c r="V20" s="1335"/>
      <c r="W20" s="1335"/>
      <c r="X20" s="1335"/>
      <c r="Y20" s="1335"/>
      <c r="Z20" s="1335"/>
      <c r="AA20" s="1335"/>
      <c r="AB20" s="1365"/>
      <c r="AC20" s="1336"/>
      <c r="AD20" s="1343" t="s">
        <v>119</v>
      </c>
      <c r="AE20" s="1363">
        <f>+AE18*0.1</f>
        <v>322.42000000000007</v>
      </c>
      <c r="AF20" s="1363">
        <f>+AF18*0.1</f>
        <v>368.48</v>
      </c>
      <c r="AG20" s="1337"/>
    </row>
    <row r="21" spans="2:33" s="1345" customFormat="1" ht="13.5" customHeight="1">
      <c r="B21" s="1353" t="s">
        <v>120</v>
      </c>
      <c r="C21" s="1335">
        <f>+PROJ!BD11</f>
        <v>-4226.5</v>
      </c>
      <c r="D21" s="1335"/>
      <c r="E21" s="1335"/>
      <c r="F21" s="1335"/>
      <c r="G21" s="1335">
        <f>+PROJ!BE11</f>
        <v>-4382.875372419383</v>
      </c>
      <c r="H21" s="1335">
        <f>+PROJ!BF11</f>
        <v>-5582.9717267418409</v>
      </c>
      <c r="I21" s="1335">
        <f>+PROJ!BG11</f>
        <v>-8339.3548811836226</v>
      </c>
      <c r="J21" s="1335">
        <f>+PROJ!BH11</f>
        <v>-9059.9</v>
      </c>
      <c r="K21" s="1335">
        <f>+PROJ!BI11</f>
        <v>-22902.7</v>
      </c>
      <c r="L21" s="1335">
        <f>+PROJ!BJ11</f>
        <v>-25034.899999999998</v>
      </c>
      <c r="M21" s="1335">
        <f>+PROJ!BK11</f>
        <v>-23652.3</v>
      </c>
      <c r="N21" s="1335">
        <f>+PROJ!BL11</f>
        <v>-19559.341</v>
      </c>
      <c r="O21" s="1335">
        <f>+PROJ!BM11</f>
        <v>-14422.816011274615</v>
      </c>
      <c r="P21" s="1335">
        <f>+PROJ!BN11</f>
        <v>-13426.899999999998</v>
      </c>
      <c r="Q21" s="1335">
        <f>+PROJ!BO11</f>
        <v>-12655.773166774641</v>
      </c>
      <c r="R21" s="1335">
        <f>+PROJ!BP11</f>
        <v>-13119.013986090806</v>
      </c>
      <c r="S21" s="1335">
        <f>+PROJ!BQ11</f>
        <v>-13643.651114358305</v>
      </c>
      <c r="T21" s="1335">
        <f>+PROJ!BR11</f>
        <v>-14132.478522549671</v>
      </c>
      <c r="U21" s="1713">
        <f>+PROJ!BS11</f>
        <v>-14610.249140606433</v>
      </c>
      <c r="V21" s="1335"/>
      <c r="W21" s="1335"/>
      <c r="X21" s="1335">
        <f>+X27-X18</f>
        <v>-13325.4673</v>
      </c>
      <c r="Y21" s="1335">
        <f>+Y27-Y18</f>
        <v>-13732.0746</v>
      </c>
      <c r="Z21" s="1335"/>
      <c r="AA21" s="1335"/>
      <c r="AB21" s="1336"/>
      <c r="AC21" s="1336"/>
      <c r="AD21" s="1348" t="s">
        <v>121</v>
      </c>
      <c r="AE21" s="1366">
        <f>+AE15+AE20</f>
        <v>7182.420000000001</v>
      </c>
      <c r="AF21" s="1366">
        <f>+AF15+AF20</f>
        <v>8208.48</v>
      </c>
      <c r="AG21" s="1337"/>
    </row>
    <row r="22" spans="2:33" ht="13.5" customHeight="1">
      <c r="B22" s="1346" t="s">
        <v>122</v>
      </c>
      <c r="C22" s="1351">
        <f>+C21/C3</f>
        <v>-0.53506773009241682</v>
      </c>
      <c r="D22" s="1351"/>
      <c r="E22" s="1351"/>
      <c r="F22" s="1351"/>
      <c r="G22" s="1351">
        <f>+G21/G3</f>
        <v>-0.5539059182689533</v>
      </c>
      <c r="H22" s="1351">
        <f>+H21/H3</f>
        <v>-0.56664109795530959</v>
      </c>
      <c r="I22" s="1351">
        <f t="shared" ref="I22:U22" si="26">+I21/I14</f>
        <v>-0.62396359619883024</v>
      </c>
      <c r="J22" s="1351">
        <f t="shared" si="26"/>
        <v>-0.46587267579804331</v>
      </c>
      <c r="K22" s="1351">
        <f t="shared" si="26"/>
        <v>-0.62030123043505359</v>
      </c>
      <c r="L22" s="1351">
        <f t="shared" si="26"/>
        <v>-0.62330758927015328</v>
      </c>
      <c r="M22" s="1351">
        <f t="shared" si="26"/>
        <v>-0.65069657654088675</v>
      </c>
      <c r="N22" s="1351">
        <f t="shared" si="26"/>
        <v>-0.66928127905292722</v>
      </c>
      <c r="O22" s="1351">
        <f t="shared" si="26"/>
        <v>-0.61549483844173669</v>
      </c>
      <c r="P22" s="1351">
        <f t="shared" si="26"/>
        <v>-0.60434038690256353</v>
      </c>
      <c r="Q22" s="1351">
        <f t="shared" si="26"/>
        <v>-0.58356679988136573</v>
      </c>
      <c r="R22" s="1351">
        <f t="shared" si="26"/>
        <v>-0.57901153919031711</v>
      </c>
      <c r="S22" s="1351">
        <f t="shared" si="26"/>
        <v>-0.57970853710769821</v>
      </c>
      <c r="T22" s="1351">
        <f t="shared" si="26"/>
        <v>-0.57826754390388868</v>
      </c>
      <c r="U22" s="1717">
        <f t="shared" si="26"/>
        <v>-0.57723782986964467</v>
      </c>
      <c r="V22" s="1347"/>
      <c r="W22" s="1347"/>
      <c r="X22" s="1347"/>
      <c r="Y22" s="1347"/>
      <c r="Z22" s="1347"/>
      <c r="AA22" s="1347"/>
      <c r="AB22" s="1343"/>
    </row>
    <row r="23" spans="2:33" s="1345" customFormat="1" ht="13.5" hidden="1" customHeight="1">
      <c r="B23" s="1384" t="s">
        <v>123</v>
      </c>
      <c r="C23" s="1385"/>
      <c r="D23" s="1385"/>
      <c r="E23" s="1385"/>
      <c r="F23" s="1385"/>
      <c r="G23" s="1385"/>
      <c r="H23" s="1385"/>
      <c r="I23" s="1385"/>
      <c r="J23" s="1385"/>
      <c r="K23" s="1386">
        <f>+FAT!BK70</f>
        <v>-16426.3</v>
      </c>
      <c r="L23" s="1386">
        <f>+FAT!BL70</f>
        <v>-17833.8</v>
      </c>
      <c r="M23" s="1386">
        <f>+FAT!BM70</f>
        <v>-16160.599999999999</v>
      </c>
      <c r="N23" s="1386">
        <f>+FAT!BN70</f>
        <v>-13235.732</v>
      </c>
      <c r="O23" s="1386">
        <f>+FAT!BO70</f>
        <v>-10213.4994396002</v>
      </c>
      <c r="P23" s="1386">
        <f>+FAT!BP70</f>
        <v>-9409.7999999999993</v>
      </c>
      <c r="Q23" s="1386">
        <f>+FAT!BQ70</f>
        <v>-9433.8151667746406</v>
      </c>
      <c r="R23" s="1386">
        <f>+FAT!BR70</f>
        <v>-9742.7695860908061</v>
      </c>
      <c r="S23" s="1386">
        <f>+FAT!BS70</f>
        <v>-10120.206282358306</v>
      </c>
      <c r="T23" s="1386">
        <f>+FAT!BT70</f>
        <v>-10508.917245589671</v>
      </c>
      <c r="U23" s="1718">
        <f>+FAT!BU70</f>
        <v>-10883.567925337633</v>
      </c>
      <c r="V23" s="1368"/>
      <c r="W23" s="1368"/>
      <c r="X23" s="1368"/>
      <c r="Y23" s="1368"/>
      <c r="Z23" s="1368"/>
      <c r="AA23" s="1368"/>
      <c r="AB23" s="1348"/>
      <c r="AC23" s="1348"/>
      <c r="AD23" s="1343"/>
      <c r="AE23" s="1349"/>
      <c r="AF23" s="1337"/>
      <c r="AG23" s="1337"/>
    </row>
    <row r="24" spans="2:33" ht="13.5" hidden="1" customHeight="1">
      <c r="B24" s="1384" t="s">
        <v>124</v>
      </c>
      <c r="C24" s="1385"/>
      <c r="D24" s="1385"/>
      <c r="E24" s="1385"/>
      <c r="F24" s="1385"/>
      <c r="G24" s="1385"/>
      <c r="H24" s="1385"/>
      <c r="I24" s="1385"/>
      <c r="J24" s="1385"/>
      <c r="K24" s="1386">
        <f>+FAT!BK74</f>
        <v>-5582.5</v>
      </c>
      <c r="L24" s="1386">
        <f>+FAT!BL74</f>
        <v>-6399.5</v>
      </c>
      <c r="M24" s="1386">
        <f>+FAT!BM74</f>
        <v>-6160.9</v>
      </c>
      <c r="N24" s="1386">
        <f>+FAT!BN74</f>
        <v>-4528.0330000000004</v>
      </c>
      <c r="O24" s="1386">
        <f>+FAT!BO74</f>
        <v>-2974.0578638916154</v>
      </c>
      <c r="P24" s="1386">
        <f>+FAT!BP74</f>
        <v>-3085.3</v>
      </c>
      <c r="Q24" s="1386">
        <f>+FAT!BQ74</f>
        <v>-3085.7280000000001</v>
      </c>
      <c r="R24" s="1386">
        <f>+FAT!BR74</f>
        <v>-3240.0144</v>
      </c>
      <c r="S24" s="1386">
        <f>+FAT!BS74</f>
        <v>-3337.2148320000001</v>
      </c>
      <c r="T24" s="1386">
        <f>+FAT!BT74</f>
        <v>-3437.3312769600002</v>
      </c>
      <c r="U24" s="1718">
        <f>+FAT!BU74</f>
        <v>-3540.4512152688003</v>
      </c>
      <c r="V24" s="1355"/>
      <c r="W24" s="1355"/>
      <c r="X24" s="1355"/>
      <c r="Y24" s="1355"/>
      <c r="Z24" s="1355"/>
      <c r="AA24" s="1355"/>
      <c r="AB24" s="1356"/>
      <c r="AC24" s="1348"/>
      <c r="AD24" s="1348"/>
      <c r="AE24" s="1345"/>
      <c r="AF24" s="1345"/>
      <c r="AG24" s="1345"/>
    </row>
    <row r="25" spans="2:33" ht="13.5" hidden="1" customHeight="1">
      <c r="B25" s="1384" t="s">
        <v>125</v>
      </c>
      <c r="C25" s="1385"/>
      <c r="D25" s="1385"/>
      <c r="E25" s="1385"/>
      <c r="F25" s="1385"/>
      <c r="G25" s="1385"/>
      <c r="H25" s="1385"/>
      <c r="I25" s="1385"/>
      <c r="J25" s="1385"/>
      <c r="K25" s="1386">
        <f>+FAT!BK80+FAT!BK81+FAT!BK83+FAT!BK79</f>
        <v>-893.9</v>
      </c>
      <c r="L25" s="1386">
        <f>+FAT!BL80+FAT!BL81+FAT!BL83+FAT!BL79</f>
        <v>-801.60000000000014</v>
      </c>
      <c r="M25" s="1386">
        <f>+FAT!BM80+FAT!BM81+FAT!BM83+FAT!BM79</f>
        <v>-1330.8000000000002</v>
      </c>
      <c r="N25" s="1386">
        <f>+FAT!BN80+FAT!BN81+FAT!BN83+FAT!BN79</f>
        <v>-1795.576</v>
      </c>
      <c r="O25" s="1386">
        <f>+FAT!BO80+FAT!BO81+FAT!BO83+FAT!BO79</f>
        <v>-1235.2587077827991</v>
      </c>
      <c r="P25" s="1386">
        <f>+FAT!BP80+FAT!BP81+FAT!BP83+FAT!BP79</f>
        <v>-931.8</v>
      </c>
      <c r="Q25" s="1386">
        <f>+FAT!BQ80+FAT!BQ81+FAT!BQ83+FAT!BQ79</f>
        <v>-136.23000000000002</v>
      </c>
      <c r="R25" s="1386">
        <f>+FAT!BR80+FAT!BR81+FAT!BR83+FAT!BR79</f>
        <v>-136.23000000000002</v>
      </c>
      <c r="S25" s="1386">
        <f>+FAT!BS80+FAT!BS81+FAT!BS83+FAT!BS79</f>
        <v>-186.23000000000002</v>
      </c>
      <c r="T25" s="1386">
        <f>+FAT!BT80+FAT!BT81+FAT!BT83+FAT!BT79</f>
        <v>-186.23000000000002</v>
      </c>
      <c r="U25" s="1718">
        <f>+FAT!BU80+FAT!BU81+FAT!BU83+FAT!BU79</f>
        <v>-186.23000000000002</v>
      </c>
      <c r="V25" s="1355"/>
      <c r="W25" s="1355"/>
      <c r="X25" s="1355"/>
      <c r="Y25" s="1355"/>
      <c r="Z25" s="1355"/>
      <c r="AA25" s="1355"/>
      <c r="AB25" s="1356"/>
      <c r="AC25" s="1356"/>
      <c r="AD25" s="1369"/>
      <c r="AE25" s="1370"/>
      <c r="AF25" s="1345"/>
    </row>
    <row r="26" spans="2:33" ht="13.5" hidden="1" customHeight="1">
      <c r="B26" s="1346"/>
      <c r="C26" s="1351"/>
      <c r="D26" s="1351"/>
      <c r="E26" s="1351"/>
      <c r="F26" s="1351"/>
      <c r="G26" s="1351"/>
      <c r="H26" s="1351"/>
      <c r="I26" s="1351"/>
      <c r="J26" s="1351"/>
      <c r="K26" s="1351"/>
      <c r="L26" s="1351"/>
      <c r="M26" s="1351"/>
      <c r="N26" s="1351"/>
      <c r="O26" s="1351"/>
      <c r="P26" s="1351"/>
      <c r="Q26" s="1351"/>
      <c r="R26" s="1351"/>
      <c r="S26" s="1351"/>
      <c r="T26" s="1351"/>
      <c r="U26" s="1717"/>
      <c r="V26" s="1355"/>
      <c r="W26" s="1355"/>
      <c r="X26" s="1355"/>
      <c r="Y26" s="1355"/>
      <c r="Z26" s="1355"/>
      <c r="AA26" s="1355"/>
      <c r="AB26" s="1356"/>
      <c r="AC26" s="1356"/>
      <c r="AD26" s="1356"/>
      <c r="AE26" s="1371"/>
    </row>
    <row r="27" spans="2:33" ht="13.5" customHeight="1">
      <c r="B27" s="1353" t="s">
        <v>126</v>
      </c>
      <c r="C27" s="1335">
        <f>+PROJ!BD21</f>
        <v>1256.4760359343272</v>
      </c>
      <c r="D27" s="1335"/>
      <c r="E27" s="1335"/>
      <c r="F27" s="1335"/>
      <c r="G27" s="1335">
        <f>+PROJ!BE21</f>
        <v>1082.8772149195347</v>
      </c>
      <c r="H27" s="1335">
        <f>+PROJ!BF21</f>
        <v>1358.6590545428917</v>
      </c>
      <c r="I27" s="1335">
        <f>+PROJ!BG21</f>
        <v>1263.8784190733804</v>
      </c>
      <c r="J27" s="1335">
        <f>+PROJ!BH21</f>
        <v>4195.5320000000011</v>
      </c>
      <c r="K27" s="1335">
        <f>+PROJ!BI21</f>
        <v>789.79999999999927</v>
      </c>
      <c r="L27" s="1335">
        <f>+PROJ!BJ21</f>
        <v>1118.2999999999993</v>
      </c>
      <c r="M27" s="1335">
        <f>+PROJ!BK21</f>
        <v>-458.40000000000146</v>
      </c>
      <c r="N27" s="1394">
        <f>+PROJ!BL21</f>
        <v>-573.43028813559795</v>
      </c>
      <c r="O27" s="1335">
        <f>+PROJ!BM21</f>
        <v>901.55194731501615</v>
      </c>
      <c r="P27" s="1335">
        <f>+PROJ!BN21</f>
        <v>1306.5867261083531</v>
      </c>
      <c r="Q27" s="1335">
        <f>+PROJ!BO21</f>
        <v>1716.5707642747948</v>
      </c>
      <c r="R27" s="1335">
        <f>+PROJ!BP21</f>
        <v>1896.6130102376228</v>
      </c>
      <c r="S27" s="1335">
        <f>+PROJ!BQ21</f>
        <v>1953.6840498375441</v>
      </c>
      <c r="T27" s="1335">
        <f>+PROJ!BR21</f>
        <v>2063.9407913522828</v>
      </c>
      <c r="U27" s="1713">
        <f>+PROJ!BS21</f>
        <v>2163.5845123401014</v>
      </c>
      <c r="V27" s="1355"/>
      <c r="W27" s="1355"/>
      <c r="X27" s="1355">
        <v>2180</v>
      </c>
      <c r="Y27" s="1355">
        <v>2487</v>
      </c>
      <c r="Z27" s="1355"/>
      <c r="AA27" s="1355"/>
      <c r="AB27" s="1356"/>
      <c r="AC27" s="1337"/>
      <c r="AD27" s="1337"/>
    </row>
    <row r="28" spans="2:33" s="1345" customFormat="1" ht="13.5" customHeight="1">
      <c r="B28" s="1346" t="s">
        <v>127</v>
      </c>
      <c r="C28" s="1355">
        <f>+PROJ!BD26</f>
        <v>-381.5</v>
      </c>
      <c r="D28" s="1355"/>
      <c r="E28" s="1355"/>
      <c r="F28" s="1355"/>
      <c r="G28" s="1355">
        <f>+PROJ!BE26</f>
        <v>-655.90000000000009</v>
      </c>
      <c r="H28" s="1355">
        <f>+PROJ!BF26</f>
        <v>-387.4</v>
      </c>
      <c r="I28" s="1355">
        <f>+PROJ!BG26</f>
        <v>-583.29999999999995</v>
      </c>
      <c r="J28" s="1355">
        <f>+PROJ!BH26</f>
        <v>-840.09280000000024</v>
      </c>
      <c r="K28" s="1355">
        <f>+PROJ!BI26</f>
        <v>-1035.4000000000001</v>
      </c>
      <c r="L28" s="1355" t="e">
        <f>+PROJ!BJ26</f>
        <v>#REF!</v>
      </c>
      <c r="M28" s="1355">
        <f>+PROJ!BK26</f>
        <v>-1900.9</v>
      </c>
      <c r="N28" s="1355">
        <f>+PROJ!BL26</f>
        <v>-2573.2040000000002</v>
      </c>
      <c r="O28" s="1355">
        <f>+PROJ!BM26</f>
        <v>-711.42400000000009</v>
      </c>
      <c r="P28" s="1355">
        <f>+PROJ!BN26</f>
        <v>-886.40000000000009</v>
      </c>
      <c r="Q28" s="1355">
        <f>+PROJ!BO26</f>
        <v>-684.97046261754258</v>
      </c>
      <c r="R28" s="1355">
        <f>+PROJ!BP26</f>
        <v>-627.62757136615483</v>
      </c>
      <c r="S28" s="1355">
        <f>+PROJ!BQ26</f>
        <v>-537.65526106366951</v>
      </c>
      <c r="T28" s="1355">
        <f>+PROJ!BR26</f>
        <v>-424.17012217607476</v>
      </c>
      <c r="U28" s="1715">
        <f>+PROJ!BS26</f>
        <v>-343.41378589433134</v>
      </c>
      <c r="V28" s="1335"/>
      <c r="W28" s="1335"/>
      <c r="X28" s="1335">
        <f>+X29-X27</f>
        <v>-850</v>
      </c>
      <c r="Y28" s="1335">
        <f>+Y29-Y27</f>
        <v>-945</v>
      </c>
      <c r="Z28" s="1335"/>
      <c r="AA28" s="1335"/>
      <c r="AB28" s="1336"/>
      <c r="AC28" s="1372"/>
      <c r="AD28" s="1373"/>
      <c r="AE28" s="1371"/>
      <c r="AF28" s="1374"/>
      <c r="AG28" s="1363"/>
    </row>
    <row r="29" spans="2:33" s="1379" customFormat="1" ht="13.5" customHeight="1">
      <c r="B29" s="1353" t="s">
        <v>128</v>
      </c>
      <c r="C29" s="1335">
        <f>+PROJ!BD32</f>
        <v>874.97603593432757</v>
      </c>
      <c r="D29" s="1335"/>
      <c r="E29" s="1335"/>
      <c r="F29" s="1335"/>
      <c r="G29" s="1335">
        <f>+PROJ!BE32</f>
        <v>426.97721491953445</v>
      </c>
      <c r="H29" s="1335">
        <f>+PROJ!BF32</f>
        <v>971.25905454289216</v>
      </c>
      <c r="I29" s="1335">
        <f>+PROJ!BG32</f>
        <v>680.57841907338025</v>
      </c>
      <c r="J29" s="1335">
        <f>+PROJ!BH32</f>
        <v>3355.4392000000003</v>
      </c>
      <c r="K29" s="1335">
        <f>+PROJ!BI32</f>
        <v>-245.59999999999809</v>
      </c>
      <c r="L29" s="1335" t="e">
        <f>+PROJ!BJ32</f>
        <v>#REF!</v>
      </c>
      <c r="M29" s="1335">
        <f>+PROJ!BK32</f>
        <v>-2359.3000000000006</v>
      </c>
      <c r="N29" s="1335">
        <f>+PROJ!BL32</f>
        <v>-3146.6342881355999</v>
      </c>
      <c r="O29" s="1335">
        <f>+PROJ!BM32</f>
        <v>190.12794731501651</v>
      </c>
      <c r="P29" s="1335">
        <f>+PROJ!BN32</f>
        <v>420.18672610834994</v>
      </c>
      <c r="Q29" s="1335">
        <f>+PROJ!BO32</f>
        <v>1031.6003016572531</v>
      </c>
      <c r="R29" s="1335">
        <f>+PROJ!BP32</f>
        <v>1268.985438871468</v>
      </c>
      <c r="S29" s="1335">
        <f>+PROJ!BQ32</f>
        <v>1416.0287887738746</v>
      </c>
      <c r="T29" s="1335">
        <f>+PROJ!BR32</f>
        <v>1639.770669176208</v>
      </c>
      <c r="U29" s="1713">
        <f>+PROJ!BS32</f>
        <v>1820.17072644577</v>
      </c>
      <c r="V29" s="1376"/>
      <c r="W29" s="1376"/>
      <c r="X29" s="2661">
        <v>1330</v>
      </c>
      <c r="Y29" s="2661">
        <v>1542</v>
      </c>
      <c r="Z29" s="1376"/>
      <c r="AA29" s="1411">
        <f>+X29*-0.34</f>
        <v>-452.20000000000005</v>
      </c>
      <c r="AB29" s="1377"/>
      <c r="AC29" s="1372"/>
      <c r="AD29" s="1378"/>
      <c r="AE29" s="1374"/>
      <c r="AF29" s="1374"/>
      <c r="AG29" s="1363"/>
    </row>
    <row r="30" spans="2:33" s="1379" customFormat="1" ht="13.5" hidden="1" customHeight="1">
      <c r="B30" s="1346" t="s">
        <v>129</v>
      </c>
      <c r="C30" s="1355"/>
      <c r="D30" s="1355"/>
      <c r="E30" s="1355"/>
      <c r="F30" s="1355"/>
      <c r="G30" s="1355">
        <f>+PROJ!BE40</f>
        <v>0</v>
      </c>
      <c r="H30" s="1355">
        <f>+PROJ!BF40</f>
        <v>0</v>
      </c>
      <c r="I30" s="1355">
        <f>+PROJ!BG40</f>
        <v>0</v>
      </c>
      <c r="J30" s="1355">
        <f>+PROJ!BH40</f>
        <v>0</v>
      </c>
      <c r="K30" s="1355">
        <f>+PROJ!BI40</f>
        <v>-143.10000000000002</v>
      </c>
      <c r="L30" s="1355">
        <f>+PROJ!BJ40</f>
        <v>-98.6</v>
      </c>
      <c r="M30" s="1355">
        <f>+PROJ!BK40</f>
        <v>-380.4</v>
      </c>
      <c r="N30" s="1732">
        <f>+PROJ!BL40</f>
        <v>5924.4919999999993</v>
      </c>
      <c r="O30" s="1355">
        <f>+PROJ!BM40</f>
        <v>-8163.4</v>
      </c>
      <c r="P30" s="1355">
        <f>+PROJ!BN40</f>
        <v>-2665.4</v>
      </c>
      <c r="Q30" s="1355">
        <f>+PROJ!BO40</f>
        <v>0</v>
      </c>
      <c r="R30" s="1355">
        <f>+PROJ!BP40</f>
        <v>0</v>
      </c>
      <c r="S30" s="1355">
        <f>+PROJ!BQ40</f>
        <v>0</v>
      </c>
      <c r="T30" s="1355">
        <f>+PROJ!BR40</f>
        <v>0</v>
      </c>
      <c r="U30" s="1715">
        <f>+PROJ!BS40</f>
        <v>0</v>
      </c>
      <c r="V30" s="1376"/>
      <c r="W30" s="1376"/>
      <c r="X30" s="1376"/>
      <c r="Y30" s="1376"/>
      <c r="Z30" s="1376"/>
      <c r="AA30" s="1376"/>
      <c r="AB30" s="1377"/>
      <c r="AC30" s="1380"/>
      <c r="AD30" s="1336"/>
      <c r="AE30" s="1381"/>
      <c r="AF30" s="1381"/>
      <c r="AG30" s="1366"/>
    </row>
    <row r="31" spans="2:33" ht="13.5" hidden="1" customHeight="1">
      <c r="B31" s="1346" t="s">
        <v>131</v>
      </c>
      <c r="C31" s="1355" t="e">
        <f>+PROJ!BD34</f>
        <v>#REF!</v>
      </c>
      <c r="D31" s="1355"/>
      <c r="E31" s="1355"/>
      <c r="F31" s="1355"/>
      <c r="G31" s="1355" t="e">
        <f>+PROJ!BE34</f>
        <v>#REF!</v>
      </c>
      <c r="H31" s="1355" t="e">
        <f>+PROJ!BF34</f>
        <v>#REF!</v>
      </c>
      <c r="I31" s="1355" t="e">
        <f>+PROJ!BG34</f>
        <v>#REF!</v>
      </c>
      <c r="J31" s="1355" t="e">
        <f>+PROJ!BH34</f>
        <v>#REF!</v>
      </c>
      <c r="K31" s="1355">
        <f>+PROJ!BI34</f>
        <v>-274.79999999999995</v>
      </c>
      <c r="L31" s="1355">
        <f>+PROJ!BJ34</f>
        <v>1048</v>
      </c>
      <c r="M31" s="1355">
        <f>+PROJ!BK34</f>
        <v>-119.6</v>
      </c>
      <c r="N31" s="1355">
        <f>+PROJ!BL34</f>
        <v>200.25200000000007</v>
      </c>
      <c r="O31" s="1355">
        <f>+PROJ!BM34</f>
        <v>-957.5</v>
      </c>
      <c r="P31" s="1355">
        <f>+PROJ!BN34</f>
        <v>42.5</v>
      </c>
      <c r="Q31" s="1355">
        <f>+PROJ!BO34</f>
        <v>-8.8737041148465039</v>
      </c>
      <c r="R31" s="1355">
        <f>+PROJ!BP34</f>
        <v>28.389143068705238</v>
      </c>
      <c r="S31" s="1355">
        <f>+PROJ!BQ34</f>
        <v>-2.7376294797233527</v>
      </c>
      <c r="T31" s="1355">
        <f>+PROJ!BR34</f>
        <v>-55.125260850246434</v>
      </c>
      <c r="U31" s="1715">
        <f>+PROJ!BS34</f>
        <v>-235.92838810374172</v>
      </c>
      <c r="V31" s="1376"/>
      <c r="W31" s="1376"/>
      <c r="X31" s="1376"/>
      <c r="Y31" s="1376"/>
      <c r="Z31" s="1376"/>
      <c r="AA31" s="1376"/>
      <c r="AB31" s="1356"/>
      <c r="AC31" s="1380"/>
      <c r="AD31" s="1356"/>
      <c r="AE31" s="1383"/>
      <c r="AF31" s="1382"/>
      <c r="AG31" s="1379"/>
    </row>
    <row r="32" spans="2:33" s="1388" customFormat="1" ht="13.5" hidden="1" customHeight="1">
      <c r="B32" s="1346" t="s">
        <v>132</v>
      </c>
      <c r="C32" s="1355"/>
      <c r="D32" s="1355"/>
      <c r="E32" s="1355"/>
      <c r="F32" s="1355"/>
      <c r="G32" s="1355"/>
      <c r="H32" s="1355"/>
      <c r="I32" s="1355"/>
      <c r="J32" s="1355"/>
      <c r="K32" s="1351" t="e">
        <f>+K31/#REF!</f>
        <v>#REF!</v>
      </c>
      <c r="L32" s="1351" t="e">
        <f>+L31/#REF!</f>
        <v>#REF!</v>
      </c>
      <c r="M32" s="1351" t="e">
        <f>+M31/#REF!</f>
        <v>#REF!</v>
      </c>
      <c r="N32" s="1351" t="e">
        <f>+N31/#REF!</f>
        <v>#REF!</v>
      </c>
      <c r="O32" s="1351" t="e">
        <f>+O31/#REF!</f>
        <v>#REF!</v>
      </c>
      <c r="P32" s="1351" t="e">
        <f>+P31/#REF!</f>
        <v>#REF!</v>
      </c>
      <c r="Q32" s="1351" t="e">
        <f>+Q31/#REF!</f>
        <v>#REF!</v>
      </c>
      <c r="R32" s="1351" t="e">
        <f>+R31/#REF!</f>
        <v>#REF!</v>
      </c>
      <c r="S32" s="1351" t="e">
        <f>+S31/#REF!</f>
        <v>#REF!</v>
      </c>
      <c r="T32" s="1351" t="e">
        <f>+T31/#REF!</f>
        <v>#REF!</v>
      </c>
      <c r="U32" s="1717" t="e">
        <f>+U31/#REF!</f>
        <v>#REF!</v>
      </c>
      <c r="V32" s="1376"/>
      <c r="W32" s="1376"/>
      <c r="X32" s="1376"/>
      <c r="Y32" s="1376"/>
      <c r="Z32" s="1376"/>
      <c r="AA32" s="1376"/>
      <c r="AB32" s="1387"/>
      <c r="AC32" s="1364"/>
      <c r="AD32" s="1364"/>
      <c r="AE32" s="1345"/>
      <c r="AF32" s="1345"/>
      <c r="AG32" s="1345"/>
    </row>
    <row r="33" spans="2:35" s="1388" customFormat="1" ht="13.5" hidden="1" customHeight="1">
      <c r="B33" s="1346"/>
      <c r="C33" s="1355"/>
      <c r="D33" s="1355"/>
      <c r="E33" s="1355"/>
      <c r="F33" s="1355"/>
      <c r="G33" s="1355"/>
      <c r="H33" s="1355"/>
      <c r="I33" s="1355"/>
      <c r="J33" s="1355"/>
      <c r="K33" s="1351"/>
      <c r="L33" s="1351"/>
      <c r="M33" s="1351"/>
      <c r="N33" s="1351"/>
      <c r="O33" s="1351"/>
      <c r="P33" s="1351"/>
      <c r="Q33" s="1351"/>
      <c r="R33" s="1351"/>
      <c r="S33" s="1351"/>
      <c r="T33" s="1351"/>
      <c r="U33" s="1717"/>
      <c r="V33" s="1376"/>
      <c r="W33" s="1376"/>
      <c r="X33" s="1376"/>
      <c r="Y33" s="1376"/>
      <c r="Z33" s="1376"/>
      <c r="AA33" s="1376"/>
      <c r="AB33" s="1387"/>
      <c r="AC33" s="1372"/>
      <c r="AD33" s="1356"/>
      <c r="AE33" s="1389"/>
      <c r="AF33" s="1390"/>
      <c r="AG33" s="1337"/>
    </row>
    <row r="34" spans="2:35" s="1388" customFormat="1" ht="13.5" hidden="1" customHeight="1">
      <c r="B34" s="1346" t="s">
        <v>133</v>
      </c>
      <c r="C34" s="1335" t="e">
        <f>+PROJ!BD35</f>
        <v>#REF!</v>
      </c>
      <c r="D34" s="1335"/>
      <c r="E34" s="1335"/>
      <c r="F34" s="1335"/>
      <c r="G34" s="1335" t="e">
        <f>+PROJ!BE35</f>
        <v>#REF!</v>
      </c>
      <c r="H34" s="1335" t="e">
        <f>+PROJ!BF35</f>
        <v>#REF!</v>
      </c>
      <c r="I34" s="1335" t="e">
        <f>+PROJ!BG35</f>
        <v>#REF!</v>
      </c>
      <c r="J34" s="1335" t="e">
        <f>+PROJ!BH35</f>
        <v>#REF!</v>
      </c>
      <c r="K34" s="1335">
        <f>+PROJ!BI35</f>
        <v>1.118892508143331</v>
      </c>
      <c r="L34" s="1335" t="e">
        <f>+PROJ!BJ35</f>
        <v>#REF!</v>
      </c>
      <c r="M34" s="1335">
        <f>+PROJ!BK35</f>
        <v>5.0693002161658104E-2</v>
      </c>
      <c r="N34" s="1335">
        <f>+PROJ!BL35</f>
        <v>-6.3640061622366226E-2</v>
      </c>
      <c r="O34" s="1335">
        <f>+PROJ!BM35</f>
        <v>-5.0360823514995978</v>
      </c>
      <c r="P34" s="1335">
        <f>+PROJ!BN35</f>
        <v>0.10114550831632146</v>
      </c>
      <c r="Q34" s="1335">
        <f>+PROJ!BO35</f>
        <v>-8.6018820473307417E-3</v>
      </c>
      <c r="R34" s="1335">
        <f>+PROJ!BP35</f>
        <v>2.2371527835616634E-2</v>
      </c>
      <c r="S34" s="1335">
        <f>+PROJ!BQ35</f>
        <v>-1.9333148460165413E-3</v>
      </c>
      <c r="T34" s="1335">
        <f>+PROJ!BR35</f>
        <v>-3.3617664888432479E-2</v>
      </c>
      <c r="U34" s="1713">
        <f>+PROJ!BS35</f>
        <v>-0.12961882348500178</v>
      </c>
      <c r="V34" s="1376"/>
      <c r="W34" s="1376"/>
      <c r="X34" s="1376"/>
      <c r="Y34" s="1376"/>
      <c r="Z34" s="1376"/>
      <c r="AA34" s="1376"/>
      <c r="AB34" s="1387"/>
      <c r="AC34" s="1391"/>
      <c r="AD34" s="1387"/>
      <c r="AE34" s="1392"/>
      <c r="AF34" s="1393"/>
    </row>
    <row r="35" spans="2:35" ht="13.5" hidden="1" customHeight="1">
      <c r="B35" s="1346" t="s">
        <v>134</v>
      </c>
      <c r="C35" s="1355">
        <f>+PROJ!BD41</f>
        <v>-9.1999999999999993</v>
      </c>
      <c r="D35" s="1355"/>
      <c r="E35" s="1355"/>
      <c r="F35" s="1355"/>
      <c r="G35" s="1355">
        <f>+PROJ!BE41</f>
        <v>-11.539987121481397</v>
      </c>
      <c r="H35" s="1355">
        <f>+PROJ!BF41</f>
        <v>0</v>
      </c>
      <c r="I35" s="1355">
        <f>+PROJ!BG41</f>
        <v>0</v>
      </c>
      <c r="J35" s="1355">
        <f>+PROJ!BH41</f>
        <v>0</v>
      </c>
      <c r="K35" s="1355">
        <f>+PROJ!BI41</f>
        <v>-13.399999999999999</v>
      </c>
      <c r="L35" s="1355">
        <f>+PROJ!BJ41</f>
        <v>-7.3008999999999995</v>
      </c>
      <c r="M35" s="1355">
        <f>+PROJ!BK41</f>
        <v>1</v>
      </c>
      <c r="N35" s="1355">
        <f>+PROJ!BL41</f>
        <v>0.92300000000000004</v>
      </c>
      <c r="O35" s="1355">
        <f>+PROJ!BM41</f>
        <v>0.2</v>
      </c>
      <c r="P35" s="1355">
        <f>+PROJ!BN41</f>
        <v>0</v>
      </c>
      <c r="Q35" s="1355">
        <f>+PROJ!BO41</f>
        <v>0</v>
      </c>
      <c r="R35" s="1355">
        <f>+PROJ!BP41</f>
        <v>0</v>
      </c>
      <c r="S35" s="1355">
        <f>+PROJ!BQ41</f>
        <v>0</v>
      </c>
      <c r="T35" s="1355">
        <f>+PROJ!BR41</f>
        <v>0</v>
      </c>
      <c r="U35" s="1715">
        <f>+PROJ!BS41</f>
        <v>0</v>
      </c>
      <c r="V35" s="1376"/>
      <c r="W35" s="1376"/>
      <c r="X35" s="1376"/>
      <c r="Y35" s="1376"/>
      <c r="Z35" s="1376"/>
      <c r="AA35" s="1376"/>
      <c r="AB35" s="1356"/>
      <c r="AC35" s="1391"/>
      <c r="AD35" s="1387"/>
      <c r="AE35" s="1392"/>
      <c r="AF35" s="1393"/>
      <c r="AG35" s="1388"/>
    </row>
    <row r="36" spans="2:35" s="1345" customFormat="1" ht="13.5" customHeight="1">
      <c r="B36" s="1346" t="s">
        <v>973</v>
      </c>
      <c r="C36" s="1355"/>
      <c r="D36" s="1355"/>
      <c r="E36" s="1355"/>
      <c r="F36" s="1355"/>
      <c r="G36" s="1355"/>
      <c r="H36" s="1355"/>
      <c r="I36" s="1355"/>
      <c r="J36" s="1355"/>
      <c r="K36" s="1355"/>
      <c r="L36" s="1355"/>
      <c r="M36" s="1355"/>
      <c r="N36" s="1355"/>
      <c r="O36" s="1355">
        <f>+PROJ!BM34</f>
        <v>-957.5</v>
      </c>
      <c r="P36" s="1355">
        <f>+PROJ!BN34</f>
        <v>42.5</v>
      </c>
      <c r="Q36" s="1355">
        <f>+PROJ!BO34</f>
        <v>-8.8737041148465039</v>
      </c>
      <c r="R36" s="1355">
        <f>+PROJ!BP34</f>
        <v>28.389143068705238</v>
      </c>
      <c r="S36" s="1355">
        <f>+PROJ!BQ34</f>
        <v>-2.7376294797233527</v>
      </c>
      <c r="T36" s="1355">
        <f>+PROJ!BR34</f>
        <v>-55.125260850246434</v>
      </c>
      <c r="U36" s="1355">
        <f>+PROJ!BS34</f>
        <v>-235.92838810374172</v>
      </c>
      <c r="V36" s="1376"/>
      <c r="W36" s="1376"/>
      <c r="X36" s="1411">
        <f>+X38-X29</f>
        <v>-90</v>
      </c>
      <c r="Y36" s="1411">
        <f>+Y38-Y29</f>
        <v>-42</v>
      </c>
      <c r="Z36" s="1376"/>
      <c r="AA36" s="2660">
        <v>200</v>
      </c>
      <c r="AB36" s="1336"/>
      <c r="AC36" s="1391"/>
      <c r="AD36" s="1387">
        <f>2533-580</f>
        <v>1953</v>
      </c>
      <c r="AE36" s="1392"/>
      <c r="AF36" s="1393"/>
      <c r="AG36" s="1388"/>
    </row>
    <row r="37" spans="2:35" s="1345" customFormat="1" ht="13.5" customHeight="1">
      <c r="B37" s="1346" t="s">
        <v>974</v>
      </c>
      <c r="C37" s="1355"/>
      <c r="D37" s="1355"/>
      <c r="E37" s="1355"/>
      <c r="F37" s="1355"/>
      <c r="G37" s="1355"/>
      <c r="H37" s="1355"/>
      <c r="I37" s="1355"/>
      <c r="J37" s="1355"/>
      <c r="K37" s="1355"/>
      <c r="L37" s="1355"/>
      <c r="M37" s="1355"/>
      <c r="N37" s="1355"/>
      <c r="O37" s="1351">
        <f>+O36/O29</f>
        <v>-5.0360823514995978</v>
      </c>
      <c r="P37" s="1351">
        <f t="shared" ref="P37:U37" si="27">+P36/P29</f>
        <v>0.10114550831632146</v>
      </c>
      <c r="Q37" s="1351">
        <f t="shared" si="27"/>
        <v>-8.6018820473307417E-3</v>
      </c>
      <c r="R37" s="1351">
        <f t="shared" si="27"/>
        <v>2.2371527835616634E-2</v>
      </c>
      <c r="S37" s="1351">
        <f t="shared" si="27"/>
        <v>-1.9333148460165413E-3</v>
      </c>
      <c r="T37" s="1351">
        <f t="shared" si="27"/>
        <v>-3.3617664888432479E-2</v>
      </c>
      <c r="U37" s="1351">
        <f t="shared" si="27"/>
        <v>-0.12961882348500178</v>
      </c>
      <c r="V37" s="1376"/>
      <c r="W37" s="1376"/>
      <c r="X37" s="1376">
        <f>+X36/X29</f>
        <v>-6.7669172932330823E-2</v>
      </c>
      <c r="Y37" s="1376">
        <f>+Y36/Y29</f>
        <v>-2.7237354085603113E-2</v>
      </c>
      <c r="Z37" s="1376"/>
      <c r="AA37" s="2660">
        <v>140</v>
      </c>
      <c r="AB37" s="1336"/>
      <c r="AC37" s="1391"/>
      <c r="AD37" s="1387"/>
      <c r="AE37" s="1392"/>
      <c r="AF37" s="1393"/>
      <c r="AG37" s="1388"/>
    </row>
    <row r="38" spans="2:35" ht="13.5" customHeight="1">
      <c r="B38" s="1353" t="s">
        <v>969</v>
      </c>
      <c r="C38" s="1335" t="e">
        <f>+PROJ!BD42</f>
        <v>#REF!</v>
      </c>
      <c r="D38" s="1335"/>
      <c r="E38" s="1335"/>
      <c r="F38" s="1335"/>
      <c r="G38" s="1335" t="e">
        <f>+PROJ!BE42</f>
        <v>#REF!</v>
      </c>
      <c r="H38" s="1335" t="e">
        <f>+PROJ!BF42</f>
        <v>#REF!</v>
      </c>
      <c r="I38" s="1335" t="e">
        <f>+PROJ!BG42</f>
        <v>#REF!</v>
      </c>
      <c r="J38" s="1335" t="e">
        <f>+PROJ!BH42</f>
        <v>#REF!</v>
      </c>
      <c r="K38" s="1335">
        <f>+PROJ!BI42</f>
        <v>-676.89999999999804</v>
      </c>
      <c r="L38" s="1335" t="e">
        <f>+PROJ!BJ42</f>
        <v>#REF!</v>
      </c>
      <c r="M38" s="1335">
        <f>+PROJ!BK42</f>
        <v>-2858.3000000000006</v>
      </c>
      <c r="N38" s="1335">
        <f>+PROJ!BL42</f>
        <v>2979.0327118643991</v>
      </c>
      <c r="O38" s="1335">
        <f>+PROJ!BM37</f>
        <v>-767.37205268498349</v>
      </c>
      <c r="P38" s="1335">
        <f>+PROJ!BN42</f>
        <v>-2202.7132738916503</v>
      </c>
      <c r="Q38" s="1335">
        <f>+PROJ!BO42</f>
        <v>1022.7265975424066</v>
      </c>
      <c r="R38" s="1335">
        <f>+PROJ!BP42</f>
        <v>1297.3745819401731</v>
      </c>
      <c r="S38" s="1335">
        <f>+PROJ!BQ42</f>
        <v>1413.2911592941512</v>
      </c>
      <c r="T38" s="1335">
        <f>+PROJ!BR42</f>
        <v>1584.6454083259616</v>
      </c>
      <c r="U38" s="1713">
        <f>+PROJ!BS42</f>
        <v>1584.2423383420282</v>
      </c>
      <c r="V38" s="1400">
        <f>(+U38/Q38)^(1/4)-1</f>
        <v>0.11561800880534845</v>
      </c>
      <c r="W38" s="1400"/>
      <c r="X38" s="2659">
        <v>1240</v>
      </c>
      <c r="Y38" s="2659">
        <v>1500</v>
      </c>
      <c r="Z38" s="1400"/>
      <c r="AA38" s="2659">
        <f>+AA37+AA36+AA29</f>
        <v>-112.20000000000005</v>
      </c>
      <c r="AB38" s="1356"/>
      <c r="AC38" s="1356"/>
      <c r="AD38" s="1356">
        <f>+AD36*0.7</f>
        <v>1367.1</v>
      </c>
    </row>
    <row r="39" spans="2:35" s="1345" customFormat="1" ht="13.5" customHeight="1">
      <c r="B39" s="1346" t="s">
        <v>105</v>
      </c>
      <c r="C39" s="1347"/>
      <c r="D39" s="1347"/>
      <c r="E39" s="1347"/>
      <c r="F39" s="1347"/>
      <c r="G39" s="1347" t="e">
        <f>+G38/C38-1</f>
        <v>#REF!</v>
      </c>
      <c r="H39" s="1347" t="e">
        <f t="shared" ref="H39:Q39" si="28">+H38/G38-1</f>
        <v>#REF!</v>
      </c>
      <c r="I39" s="1347" t="e">
        <f t="shared" si="28"/>
        <v>#REF!</v>
      </c>
      <c r="J39" s="1347" t="e">
        <f t="shared" si="28"/>
        <v>#REF!</v>
      </c>
      <c r="K39" s="1347" t="e">
        <f>+K38/J38-1</f>
        <v>#REF!</v>
      </c>
      <c r="L39" s="1347" t="e">
        <f t="shared" si="28"/>
        <v>#REF!</v>
      </c>
      <c r="M39" s="1347" t="e">
        <f t="shared" si="28"/>
        <v>#REF!</v>
      </c>
      <c r="N39" s="1347">
        <f t="shared" si="28"/>
        <v>-2.0422393422189407</v>
      </c>
      <c r="O39" s="1347">
        <f t="shared" si="28"/>
        <v>-1.2575910125554584</v>
      </c>
      <c r="P39" s="1347">
        <f t="shared" si="28"/>
        <v>1.8704632468494311</v>
      </c>
      <c r="Q39" s="1347">
        <f t="shared" si="28"/>
        <v>-1.4643030982128242</v>
      </c>
      <c r="R39" s="1347">
        <f t="shared" ref="R39" si="29">+R38/Q38-1</f>
        <v>0.26854487314375186</v>
      </c>
      <c r="S39" s="1347">
        <f t="shared" ref="S39" si="30">+S38/R38-1</f>
        <v>8.9347038987482863E-2</v>
      </c>
      <c r="T39" s="1347">
        <f t="shared" ref="T39" si="31">+T38/S38-1</f>
        <v>0.12124483189818513</v>
      </c>
      <c r="U39" s="1712">
        <f t="shared" ref="U39" si="32">+U38/T38-1</f>
        <v>-2.5435973361331854E-4</v>
      </c>
      <c r="V39" s="1335"/>
      <c r="W39" s="1335"/>
      <c r="X39" s="1335"/>
      <c r="Y39" s="1335"/>
      <c r="Z39" s="1335"/>
      <c r="AA39" s="2663">
        <f>+AA38/X29</f>
        <v>-8.4360902255639136E-2</v>
      </c>
      <c r="AB39" s="1336"/>
      <c r="AC39" s="1364"/>
      <c r="AD39" s="1395">
        <f>+AD38+700</f>
        <v>2067.1</v>
      </c>
      <c r="AH39" s="1591"/>
      <c r="AI39" s="1592"/>
    </row>
    <row r="40" spans="2:35" s="1345" customFormat="1" ht="13.5" customHeight="1">
      <c r="B40" s="1346"/>
      <c r="C40" s="1347"/>
      <c r="D40" s="1347"/>
      <c r="E40" s="1347"/>
      <c r="F40" s="1347"/>
      <c r="G40" s="1347"/>
      <c r="H40" s="1347"/>
      <c r="I40" s="1347"/>
      <c r="J40" s="1347"/>
      <c r="K40" s="1347"/>
      <c r="L40" s="1347"/>
      <c r="M40" s="1347"/>
      <c r="N40" s="1347"/>
      <c r="O40" s="1347"/>
      <c r="P40" s="1347"/>
      <c r="Q40" s="1347"/>
      <c r="R40" s="1347"/>
      <c r="S40" s="1347"/>
      <c r="T40" s="1347"/>
      <c r="U40" s="1347"/>
      <c r="V40" s="1335"/>
      <c r="W40" s="1335"/>
      <c r="X40" s="1335"/>
      <c r="Y40" s="1335"/>
      <c r="Z40" s="1335"/>
      <c r="AA40" s="1335"/>
      <c r="AB40" s="1336"/>
      <c r="AC40" s="1364"/>
      <c r="AD40" s="1395"/>
      <c r="AH40" s="1591"/>
      <c r="AI40" s="1592"/>
    </row>
    <row r="41" spans="2:35" s="1345" customFormat="1" ht="13.5" customHeight="1">
      <c r="B41" s="1346" t="s">
        <v>970</v>
      </c>
      <c r="C41" s="1347"/>
      <c r="D41" s="1347"/>
      <c r="E41" s="1347"/>
      <c r="F41" s="1347"/>
      <c r="G41" s="1347"/>
      <c r="H41" s="1347"/>
      <c r="I41" s="1347"/>
      <c r="J41" s="1347"/>
      <c r="K41" s="1347"/>
      <c r="L41" s="1347"/>
      <c r="M41" s="1347"/>
      <c r="N41" s="1347"/>
      <c r="O41" s="1355">
        <f>+PROJ!BM40</f>
        <v>-8163.4</v>
      </c>
      <c r="P41" s="1355">
        <f>+PROJ!BN40</f>
        <v>-2665.4</v>
      </c>
      <c r="Q41" s="1355">
        <f>+PROJ!BO40</f>
        <v>0</v>
      </c>
      <c r="R41" s="1355">
        <f>+PROJ!BP40</f>
        <v>0</v>
      </c>
      <c r="S41" s="1355">
        <f>+PROJ!BQ40</f>
        <v>0</v>
      </c>
      <c r="T41" s="1355">
        <f>+PROJ!BR40</f>
        <v>0</v>
      </c>
      <c r="U41" s="1355">
        <f>+PROJ!BS40</f>
        <v>0</v>
      </c>
      <c r="V41" s="1335"/>
      <c r="W41" s="1335"/>
      <c r="X41" s="1335"/>
      <c r="Y41" s="1335"/>
      <c r="Z41" s="1335"/>
      <c r="AA41" s="1335"/>
      <c r="AB41" s="1336"/>
      <c r="AC41" s="1364"/>
      <c r="AD41" s="1395"/>
      <c r="AH41" s="1591"/>
      <c r="AI41" s="1592"/>
    </row>
    <row r="42" spans="2:35" s="1345" customFormat="1" ht="13.5" customHeight="1">
      <c r="B42" s="1346" t="s">
        <v>972</v>
      </c>
      <c r="C42" s="1347"/>
      <c r="D42" s="1347"/>
      <c r="E42" s="1347"/>
      <c r="F42" s="1347"/>
      <c r="G42" s="1347"/>
      <c r="H42" s="1347"/>
      <c r="I42" s="1347"/>
      <c r="J42" s="1347"/>
      <c r="K42" s="1347"/>
      <c r="L42" s="1347"/>
      <c r="M42" s="1347"/>
      <c r="N42" s="1347"/>
      <c r="O42" s="1355">
        <f>+PROJ!BM41</f>
        <v>0.2</v>
      </c>
      <c r="P42" s="1355">
        <f>+PROJ!BN41</f>
        <v>0</v>
      </c>
      <c r="Q42" s="1355">
        <f>+PROJ!BO41</f>
        <v>0</v>
      </c>
      <c r="R42" s="1355">
        <f>+PROJ!BP41</f>
        <v>0</v>
      </c>
      <c r="S42" s="1355">
        <f>+PROJ!BQ41</f>
        <v>0</v>
      </c>
      <c r="T42" s="1355">
        <f>+PROJ!BR41</f>
        <v>0</v>
      </c>
      <c r="U42" s="1355">
        <f>+PROJ!BS41</f>
        <v>0</v>
      </c>
      <c r="V42" s="1335"/>
      <c r="W42" s="1335"/>
      <c r="X42" s="1335"/>
      <c r="Y42" s="1335"/>
      <c r="Z42" s="1335"/>
      <c r="AA42" s="1335"/>
      <c r="AB42" s="1336"/>
      <c r="AC42" s="1364"/>
      <c r="AD42" s="1395"/>
      <c r="AH42" s="1591"/>
      <c r="AI42" s="1592"/>
    </row>
    <row r="43" spans="2:35" s="1345" customFormat="1" ht="13.5" customHeight="1">
      <c r="B43" s="1353" t="s">
        <v>971</v>
      </c>
      <c r="C43" s="1347"/>
      <c r="D43" s="1347"/>
      <c r="E43" s="1347"/>
      <c r="F43" s="1347"/>
      <c r="G43" s="1347"/>
      <c r="H43" s="1347"/>
      <c r="I43" s="1347"/>
      <c r="J43" s="1347"/>
      <c r="K43" s="1347"/>
      <c r="L43" s="1347"/>
      <c r="M43" s="1347"/>
      <c r="N43" s="1347"/>
      <c r="O43" s="1335">
        <f>+PROJ!BM42</f>
        <v>-8930.5720526849818</v>
      </c>
      <c r="P43" s="1335">
        <f>+PROJ!BN42</f>
        <v>-2202.7132738916503</v>
      </c>
      <c r="Q43" s="1335">
        <f>+PROJ!BO42</f>
        <v>1022.7265975424066</v>
      </c>
      <c r="R43" s="1335">
        <f>+PROJ!BP42</f>
        <v>1297.3745819401731</v>
      </c>
      <c r="S43" s="1335">
        <f>+PROJ!BQ42</f>
        <v>1413.2911592941512</v>
      </c>
      <c r="T43" s="1335">
        <f>+PROJ!BR42</f>
        <v>1584.6454083259616</v>
      </c>
      <c r="U43" s="1335">
        <f>+PROJ!BS42</f>
        <v>1584.2423383420282</v>
      </c>
      <c r="V43" s="1335"/>
      <c r="W43" s="1335"/>
      <c r="X43" s="1335"/>
      <c r="Y43" s="1335"/>
      <c r="Z43" s="1335"/>
      <c r="AA43" s="1335"/>
      <c r="AB43" s="1336"/>
      <c r="AC43" s="1364"/>
      <c r="AD43" s="1395"/>
      <c r="AH43" s="1591"/>
      <c r="AI43" s="1592"/>
    </row>
    <row r="44" spans="2:35" s="1345" customFormat="1" ht="13.5" customHeight="1">
      <c r="B44" s="1346"/>
      <c r="C44" s="1347"/>
      <c r="D44" s="1347"/>
      <c r="E44" s="1347"/>
      <c r="F44" s="1347"/>
      <c r="G44" s="1347"/>
      <c r="H44" s="1347"/>
      <c r="I44" s="1347"/>
      <c r="J44" s="1347"/>
      <c r="K44" s="1347"/>
      <c r="L44" s="1347"/>
      <c r="M44" s="1347"/>
      <c r="N44" s="1347"/>
      <c r="O44" s="1347"/>
      <c r="P44" s="1347"/>
      <c r="Q44" s="1785"/>
      <c r="R44" s="1347"/>
      <c r="S44" s="1347"/>
      <c r="T44" s="1347"/>
      <c r="U44" s="1347"/>
      <c r="V44" s="1335"/>
      <c r="W44" s="1335"/>
      <c r="X44" s="1335"/>
      <c r="Y44" s="1335"/>
      <c r="Z44" s="1335"/>
      <c r="AA44" s="1335"/>
      <c r="AB44" s="1336"/>
      <c r="AC44" s="1364"/>
      <c r="AD44" s="1395"/>
      <c r="AH44" s="1591"/>
      <c r="AI44" s="1592"/>
    </row>
    <row r="45" spans="2:35" ht="13.5" customHeight="1">
      <c r="B45" s="1346"/>
      <c r="C45" s="1347"/>
      <c r="D45" s="1347"/>
      <c r="E45" s="1347"/>
      <c r="F45" s="1347"/>
      <c r="G45" s="1347"/>
      <c r="H45" s="1347"/>
      <c r="I45" s="1347"/>
      <c r="J45" s="1347"/>
      <c r="K45" s="1347"/>
      <c r="L45" s="1347"/>
      <c r="M45" s="1347"/>
      <c r="N45" s="1347"/>
      <c r="O45" s="1347"/>
      <c r="P45" s="1347"/>
      <c r="Q45" s="1347"/>
      <c r="R45" s="1347"/>
      <c r="S45" s="1347"/>
      <c r="T45" s="1347"/>
      <c r="U45" s="1712"/>
      <c r="V45" s="1355"/>
      <c r="W45" s="1355"/>
      <c r="X45" s="1355"/>
      <c r="Y45" s="1355"/>
      <c r="Z45" s="1355"/>
      <c r="AA45" s="1355"/>
      <c r="AB45" s="1356"/>
      <c r="AC45" s="1364"/>
    </row>
    <row r="46" spans="2:35" ht="13.5" customHeight="1" outlineLevel="1">
      <c r="B46" s="1338" t="s">
        <v>135</v>
      </c>
      <c r="C46" s="1339">
        <v>2015</v>
      </c>
      <c r="D46" s="1339"/>
      <c r="E46" s="1339"/>
      <c r="F46" s="1339"/>
      <c r="G46" s="1339">
        <f>+C46+1</f>
        <v>2016</v>
      </c>
      <c r="H46" s="1339">
        <f t="shared" ref="H46:Q46" si="33">+G46+1</f>
        <v>2017</v>
      </c>
      <c r="I46" s="1339">
        <f t="shared" si="33"/>
        <v>2018</v>
      </c>
      <c r="J46" s="1339">
        <f t="shared" si="33"/>
        <v>2019</v>
      </c>
      <c r="K46" s="1339">
        <f t="shared" si="33"/>
        <v>2020</v>
      </c>
      <c r="L46" s="1339">
        <f t="shared" si="33"/>
        <v>2021</v>
      </c>
      <c r="M46" s="1339">
        <f t="shared" si="33"/>
        <v>2022</v>
      </c>
      <c r="N46" s="1339">
        <f t="shared" si="33"/>
        <v>2023</v>
      </c>
      <c r="O46" s="1339">
        <f t="shared" si="33"/>
        <v>2024</v>
      </c>
      <c r="P46" s="1339">
        <f t="shared" si="33"/>
        <v>2025</v>
      </c>
      <c r="Q46" s="1339">
        <f t="shared" si="33"/>
        <v>2026</v>
      </c>
      <c r="R46" s="1339">
        <f t="shared" ref="R46" si="34">+Q46+1</f>
        <v>2027</v>
      </c>
      <c r="S46" s="1339">
        <f t="shared" ref="S46" si="35">+R46+1</f>
        <v>2028</v>
      </c>
      <c r="T46" s="1339">
        <f t="shared" ref="T46" si="36">+S46+1</f>
        <v>2029</v>
      </c>
      <c r="U46" s="1711">
        <f t="shared" ref="U46" si="37">+T46+1</f>
        <v>2030</v>
      </c>
      <c r="V46" s="1335"/>
      <c r="W46" s="1335"/>
      <c r="X46" s="1335"/>
      <c r="Y46" s="1335"/>
      <c r="Z46" s="1335"/>
      <c r="AA46" s="1335"/>
      <c r="AB46" s="1356"/>
      <c r="AC46" s="1364"/>
    </row>
    <row r="47" spans="2:35" ht="13.5" customHeight="1" outlineLevel="1">
      <c r="B47" s="1353" t="s">
        <v>114</v>
      </c>
      <c r="C47" s="1335">
        <f>+FAT!BE115</f>
        <v>1495.8999999999996</v>
      </c>
      <c r="D47" s="1335"/>
      <c r="E47" s="1335"/>
      <c r="F47" s="1335"/>
      <c r="G47" s="1335">
        <f>+FAT!BF115</f>
        <v>1372.7954910811038</v>
      </c>
      <c r="H47" s="1335">
        <f>+FAT!BG115</f>
        <v>1741.964572917336</v>
      </c>
      <c r="I47" s="1335">
        <f>+FAT!BH115</f>
        <v>1850.9153911268859</v>
      </c>
      <c r="J47" s="1335">
        <f>+FAT!BJ115</f>
        <v>5312.8320000000003</v>
      </c>
      <c r="K47" s="1335">
        <f>+FAT!BK115</f>
        <v>3508.5999999999985</v>
      </c>
      <c r="L47" s="1335">
        <f>+FAT!BL115</f>
        <v>3909.8999999999942</v>
      </c>
      <c r="M47" s="1335">
        <f>+FAT!BM115</f>
        <v>2133.5</v>
      </c>
      <c r="N47" s="1335">
        <f>+FAT!BN115</f>
        <v>1521.4556158644009</v>
      </c>
      <c r="O47" s="1335">
        <f>+FAT!BO115</f>
        <v>1850.551947315018</v>
      </c>
      <c r="P47" s="1335">
        <f>+FAT!BP115</f>
        <v>2215.8867261083515</v>
      </c>
      <c r="Q47" s="1335">
        <f>+FAT!BQ115</f>
        <v>2605.4185618544616</v>
      </c>
      <c r="R47" s="1335">
        <f>+FAT!BR115</f>
        <v>2684.4390472261894</v>
      </c>
      <c r="S47" s="1335">
        <f>+FAT!BS115</f>
        <v>2696.8743431893886</v>
      </c>
      <c r="T47" s="1335">
        <f>+FAT!BT115</f>
        <v>2786.5721918633189</v>
      </c>
      <c r="U47" s="1713">
        <f>+FAT!BU115</f>
        <v>2876.1207644273454</v>
      </c>
      <c r="V47" s="1355"/>
      <c r="W47" s="1355"/>
      <c r="X47" s="1355">
        <v>3081</v>
      </c>
      <c r="Y47" s="1355">
        <v>3307</v>
      </c>
      <c r="Z47" s="1355"/>
      <c r="AA47" s="1355"/>
      <c r="AB47" s="1356"/>
      <c r="AC47" s="1364"/>
    </row>
    <row r="48" spans="2:35" ht="13.5" customHeight="1" outlineLevel="1">
      <c r="B48" s="1346" t="s">
        <v>105</v>
      </c>
      <c r="C48" s="1347"/>
      <c r="D48" s="1347"/>
      <c r="E48" s="1347"/>
      <c r="F48" s="1347"/>
      <c r="G48" s="1347">
        <f>+G47/C47-1</f>
        <v>-8.2294611216589209E-2</v>
      </c>
      <c r="H48" s="1347">
        <f t="shared" ref="H48:U48" si="38">+H47/G47-1</f>
        <v>0.26891775521895411</v>
      </c>
      <c r="I48" s="1347">
        <f t="shared" si="38"/>
        <v>6.2544795630995909E-2</v>
      </c>
      <c r="J48" s="1347">
        <f t="shared" si="38"/>
        <v>1.8703807993975397</v>
      </c>
      <c r="K48" s="1347">
        <f t="shared" si="38"/>
        <v>-0.3395989182417215</v>
      </c>
      <c r="L48" s="1347">
        <f t="shared" si="38"/>
        <v>0.11437610442911583</v>
      </c>
      <c r="M48" s="1347">
        <f t="shared" si="38"/>
        <v>-0.454333870431468</v>
      </c>
      <c r="N48" s="1347">
        <f t="shared" si="38"/>
        <v>-0.2868733930797277</v>
      </c>
      <c r="O48" s="1347">
        <f t="shared" si="38"/>
        <v>0.21630360295699069</v>
      </c>
      <c r="P48" s="1347">
        <f t="shared" si="38"/>
        <v>0.19741935876126093</v>
      </c>
      <c r="Q48" s="1347">
        <f t="shared" si="38"/>
        <v>0.17579050009935515</v>
      </c>
      <c r="R48" s="1347">
        <f t="shared" si="38"/>
        <v>3.0329286253139687E-2</v>
      </c>
      <c r="S48" s="1347">
        <f t="shared" si="38"/>
        <v>4.6323629422870827E-3</v>
      </c>
      <c r="T48" s="1347">
        <f t="shared" si="38"/>
        <v>3.3259928813684114E-2</v>
      </c>
      <c r="U48" s="1712">
        <f t="shared" si="38"/>
        <v>3.2135744706526914E-2</v>
      </c>
      <c r="V48" s="1355"/>
      <c r="W48" s="1355"/>
      <c r="X48" s="1355"/>
      <c r="Y48" s="1355"/>
      <c r="Z48" s="1355"/>
      <c r="AA48" s="1355"/>
      <c r="AB48" s="1356"/>
      <c r="AC48" s="1364"/>
    </row>
    <row r="49" spans="1:33" s="1345" customFormat="1" ht="13.5" customHeight="1" outlineLevel="1">
      <c r="B49" s="1409" t="s">
        <v>136</v>
      </c>
      <c r="C49" s="1376">
        <f>+C47/C$3</f>
        <v>0.18937840232940875</v>
      </c>
      <c r="D49" s="1376"/>
      <c r="E49" s="1376"/>
      <c r="F49" s="1376"/>
      <c r="G49" s="1376">
        <f>+G47/G$3</f>
        <v>0.17349330803878429</v>
      </c>
      <c r="H49" s="1376">
        <f>+H47/H$3</f>
        <v>0.1767998776474502</v>
      </c>
      <c r="I49" s="1376">
        <f t="shared" ref="I49:U49" si="39">+I47/I$14</f>
        <v>0.13848838910946767</v>
      </c>
      <c r="J49" s="1376">
        <f t="shared" si="39"/>
        <v>0.273193220665291</v>
      </c>
      <c r="K49" s="1376">
        <f t="shared" si="39"/>
        <v>9.5027612338476591E-2</v>
      </c>
      <c r="L49" s="1376">
        <f t="shared" si="39"/>
        <v>9.7346917434755834E-2</v>
      </c>
      <c r="M49" s="1376">
        <f t="shared" si="39"/>
        <v>5.8694551737039607E-2</v>
      </c>
      <c r="N49" s="1376">
        <f t="shared" si="39"/>
        <v>5.2061148717024025E-2</v>
      </c>
      <c r="O49" s="1376">
        <f t="shared" si="39"/>
        <v>7.8972453850226901E-2</v>
      </c>
      <c r="P49" s="1376">
        <f t="shared" si="39"/>
        <v>9.9736338349773662E-2</v>
      </c>
      <c r="Q49" s="1376">
        <f t="shared" si="39"/>
        <v>0.12013772311315891</v>
      </c>
      <c r="R49" s="1376">
        <f t="shared" si="39"/>
        <v>0.11847850655887439</v>
      </c>
      <c r="S49" s="1376">
        <f t="shared" si="39"/>
        <v>0.11458817490637188</v>
      </c>
      <c r="T49" s="1376">
        <f t="shared" si="39"/>
        <v>0.114019933214727</v>
      </c>
      <c r="U49" s="1716">
        <f t="shared" si="39"/>
        <v>0.11363294989178765</v>
      </c>
      <c r="AB49" s="1356"/>
      <c r="AC49" s="1396"/>
      <c r="AE49" s="1337"/>
      <c r="AF49" s="1401"/>
      <c r="AG49" s="1389"/>
    </row>
    <row r="50" spans="1:33" ht="13.5" customHeight="1" outlineLevel="1">
      <c r="B50" s="1409"/>
      <c r="C50" s="1376"/>
      <c r="D50" s="1376"/>
      <c r="E50" s="1376"/>
      <c r="F50" s="1376"/>
      <c r="G50" s="1376"/>
      <c r="H50" s="1376"/>
      <c r="I50" s="1376"/>
      <c r="J50" s="1376"/>
      <c r="K50" s="1376"/>
      <c r="L50" s="1376"/>
      <c r="M50" s="1376"/>
      <c r="N50" s="1411"/>
      <c r="O50" s="1411"/>
      <c r="P50" s="1376"/>
      <c r="Q50" s="1376"/>
      <c r="R50" s="1376"/>
      <c r="S50" s="1376"/>
      <c r="T50" s="1376"/>
      <c r="U50" s="1716"/>
      <c r="V50" s="1347"/>
      <c r="W50" s="1347"/>
      <c r="X50" s="1347"/>
      <c r="Y50" s="1347"/>
      <c r="Z50" s="1347"/>
      <c r="AA50" s="1347"/>
      <c r="AB50" s="1343"/>
      <c r="AC50" s="1399"/>
      <c r="AF50" s="1401"/>
      <c r="AG50" s="1389"/>
    </row>
    <row r="51" spans="1:33" ht="13.5" customHeight="1" outlineLevel="1">
      <c r="A51" s="1367"/>
      <c r="B51" s="1766" t="s">
        <v>137</v>
      </c>
      <c r="C51" s="1767" t="e">
        <f>+FAT!BE121</f>
        <v>#REF!</v>
      </c>
      <c r="D51" s="1767"/>
      <c r="E51" s="1767"/>
      <c r="F51" s="1767"/>
      <c r="G51" s="1767" t="e">
        <f>+FAT!BF121</f>
        <v>#REF!</v>
      </c>
      <c r="H51" s="1767" t="e">
        <f>+FAT!BG121</f>
        <v>#REF!</v>
      </c>
      <c r="I51" s="1767"/>
      <c r="J51" s="1767"/>
      <c r="K51" s="1767">
        <f>+FAT!BK121</f>
        <v>4219.7</v>
      </c>
      <c r="L51" s="1767">
        <f>+FAT!BL121</f>
        <v>4136.5</v>
      </c>
      <c r="M51" s="1767">
        <f>+FAT!BM121</f>
        <v>3158.7000000000003</v>
      </c>
      <c r="N51" s="1767">
        <f>+FAT!BN121</f>
        <v>3016.950574718936</v>
      </c>
      <c r="O51" s="1767">
        <f>+FAT!BO121</f>
        <v>2862.0000000000005</v>
      </c>
      <c r="P51" s="1767">
        <f>+FAT!BP121</f>
        <v>3132</v>
      </c>
      <c r="Q51" s="1767">
        <f>+FAT!BQ121</f>
        <v>2605.4185618544625</v>
      </c>
      <c r="R51" s="1767">
        <f>+FAT!BR121</f>
        <v>2684.4390472261894</v>
      </c>
      <c r="S51" s="1767">
        <f>+FAT!BS121</f>
        <v>2746.8743431893886</v>
      </c>
      <c r="T51" s="1767">
        <f>+FAT!BT121</f>
        <v>2836.5721918633189</v>
      </c>
      <c r="U51" s="1768">
        <f>+FAT!BU121</f>
        <v>2926.1207644273454</v>
      </c>
      <c r="V51" s="1347"/>
      <c r="W51" s="1347"/>
      <c r="X51" s="1347"/>
      <c r="Y51" s="1347"/>
      <c r="Z51" s="1347"/>
      <c r="AA51" s="1347"/>
      <c r="AB51" s="1343"/>
      <c r="AC51" s="1399"/>
      <c r="AF51" s="1401"/>
      <c r="AG51" s="1389"/>
    </row>
    <row r="52" spans="1:33" s="1403" customFormat="1" ht="13.5" customHeight="1" outlineLevel="1">
      <c r="A52" s="1367"/>
      <c r="B52" s="1769" t="s">
        <v>105</v>
      </c>
      <c r="C52" s="1770"/>
      <c r="D52" s="1770"/>
      <c r="E52" s="1770"/>
      <c r="F52" s="1770"/>
      <c r="G52" s="1770" t="e">
        <f>+G51/C51-1</f>
        <v>#REF!</v>
      </c>
      <c r="H52" s="1770" t="e">
        <f t="shared" ref="H52:Q52" si="40">+H51/G51-1</f>
        <v>#REF!</v>
      </c>
      <c r="I52" s="1770"/>
      <c r="J52" s="1770"/>
      <c r="K52" s="1770"/>
      <c r="L52" s="1770">
        <f t="shared" si="40"/>
        <v>-1.9717041495840859E-2</v>
      </c>
      <c r="M52" s="1770">
        <f t="shared" si="40"/>
        <v>-0.23638341593134282</v>
      </c>
      <c r="N52" s="1770">
        <f t="shared" si="40"/>
        <v>-4.4875874657632653E-2</v>
      </c>
      <c r="O52" s="1770">
        <f t="shared" si="40"/>
        <v>-5.135999774652289E-2</v>
      </c>
      <c r="P52" s="1770">
        <f t="shared" si="40"/>
        <v>9.4339622641509191E-2</v>
      </c>
      <c r="Q52" s="1770">
        <f t="shared" si="40"/>
        <v>-0.16812945023803882</v>
      </c>
      <c r="R52" s="1770">
        <f t="shared" ref="R52" si="41">+R51/Q51-1</f>
        <v>3.0329286253139465E-2</v>
      </c>
      <c r="S52" s="1770">
        <f t="shared" ref="S52" si="42">+S51/R51-1</f>
        <v>2.3258228205149001E-2</v>
      </c>
      <c r="T52" s="1770">
        <f t="shared" ref="T52" si="43">+T51/S51-1</f>
        <v>3.2654514720095396E-2</v>
      </c>
      <c r="U52" s="1771">
        <f t="shared" ref="U52" si="44">+U51/T51-1</f>
        <v>3.1569290857780929E-2</v>
      </c>
      <c r="V52" s="1347"/>
      <c r="W52" s="1347"/>
      <c r="X52" s="1347"/>
      <c r="Y52" s="1347"/>
      <c r="Z52" s="1347"/>
      <c r="AA52" s="1347"/>
      <c r="AB52" s="1343"/>
      <c r="AC52" s="1399"/>
      <c r="AF52" s="1404"/>
      <c r="AG52" s="1405"/>
    </row>
    <row r="53" spans="1:33" s="1406" customFormat="1" ht="13.5" customHeight="1" outlineLevel="1">
      <c r="A53" s="1772"/>
      <c r="B53" s="1412" t="s">
        <v>136</v>
      </c>
      <c r="C53" s="1773" t="e">
        <f>+C51/C$3</f>
        <v>#REF!</v>
      </c>
      <c r="D53" s="1773"/>
      <c r="E53" s="1773"/>
      <c r="F53" s="1773"/>
      <c r="G53" s="1773" t="e">
        <f>+G51/G$3</f>
        <v>#REF!</v>
      </c>
      <c r="H53" s="1773" t="e">
        <f>+H51/H$3</f>
        <v>#REF!</v>
      </c>
      <c r="I53" s="1773"/>
      <c r="J53" s="1773"/>
      <c r="K53" s="1773">
        <f t="shared" ref="K53:U53" si="45">+K51/K$14</f>
        <v>0.11428718457067487</v>
      </c>
      <c r="L53" s="1773">
        <f t="shared" si="45"/>
        <v>0.10298870149335485</v>
      </c>
      <c r="M53" s="1773">
        <f t="shared" si="45"/>
        <v>8.6898748803274917E-2</v>
      </c>
      <c r="N53" s="1773">
        <f t="shared" si="45"/>
        <v>0.10323397600600927</v>
      </c>
      <c r="O53" s="1773">
        <f t="shared" si="45"/>
        <v>0.12213608120932926</v>
      </c>
      <c r="P53" s="1773">
        <f t="shared" si="45"/>
        <v>0.14097029781847106</v>
      </c>
      <c r="Q53" s="1773">
        <f t="shared" si="45"/>
        <v>0.12013772311315896</v>
      </c>
      <c r="R53" s="1773">
        <f t="shared" si="45"/>
        <v>0.11847850655887439</v>
      </c>
      <c r="S53" s="1773">
        <f t="shared" si="45"/>
        <v>0.11671263753096078</v>
      </c>
      <c r="T53" s="1773">
        <f t="shared" si="45"/>
        <v>0.11606581477393549</v>
      </c>
      <c r="U53" s="1774">
        <f t="shared" si="45"/>
        <v>0.11560840501344373</v>
      </c>
      <c r="V53" s="1347"/>
      <c r="W53" s="1347"/>
      <c r="X53" s="1347"/>
      <c r="Y53" s="1347"/>
      <c r="Z53" s="1347"/>
      <c r="AA53" s="1347"/>
      <c r="AB53" s="1343"/>
      <c r="AC53" s="1399"/>
    </row>
    <row r="54" spans="1:33" s="1403" customFormat="1" ht="13.5" customHeight="1" outlineLevel="1">
      <c r="A54" s="1367"/>
      <c r="B54" s="1776"/>
      <c r="C54" s="1367"/>
      <c r="D54" s="1367"/>
      <c r="E54" s="1367"/>
      <c r="F54" s="1367"/>
      <c r="G54" s="1367"/>
      <c r="H54" s="1367"/>
      <c r="I54" s="1367"/>
      <c r="J54" s="1367"/>
      <c r="K54" s="1367"/>
      <c r="L54" s="1367"/>
      <c r="M54" s="1367"/>
      <c r="N54" s="1367"/>
      <c r="O54" s="1367"/>
      <c r="P54" s="1367"/>
      <c r="Q54" s="1367"/>
      <c r="R54" s="1367"/>
      <c r="S54" s="1367"/>
      <c r="T54" s="1367"/>
      <c r="U54" s="1779"/>
      <c r="V54" s="1347"/>
      <c r="W54" s="1347"/>
      <c r="X54" s="1347"/>
      <c r="Y54" s="1347"/>
      <c r="Z54" s="1347"/>
      <c r="AA54" s="1347"/>
      <c r="AB54" s="1343"/>
      <c r="AC54" s="1399"/>
      <c r="AD54" s="1403">
        <f>49000*0.015</f>
        <v>735</v>
      </c>
    </row>
    <row r="55" spans="1:33" ht="13.5" customHeight="1" outlineLevel="1">
      <c r="A55" s="1367"/>
      <c r="B55" s="1776"/>
      <c r="C55" s="1367"/>
      <c r="D55" s="1367"/>
      <c r="E55" s="1367"/>
      <c r="F55" s="1367"/>
      <c r="G55" s="1367"/>
      <c r="H55" s="1367"/>
      <c r="I55" s="1367"/>
      <c r="J55" s="1367"/>
      <c r="K55" s="1367"/>
      <c r="L55" s="1367"/>
      <c r="M55" s="1367"/>
      <c r="N55" s="1367"/>
      <c r="O55" s="1367"/>
      <c r="P55" s="1367"/>
      <c r="Q55" s="1367"/>
      <c r="R55" s="1367"/>
      <c r="S55" s="1367"/>
      <c r="T55" s="1367"/>
      <c r="U55" s="1779"/>
      <c r="V55" s="1347"/>
      <c r="W55" s="1347"/>
      <c r="X55" s="1347"/>
      <c r="Y55" s="1347"/>
      <c r="Z55" s="1347"/>
      <c r="AA55" s="1347"/>
      <c r="AB55" s="1343"/>
      <c r="AC55" s="1399"/>
      <c r="AD55" s="1407">
        <f>+AD54*0.7</f>
        <v>514.5</v>
      </c>
      <c r="AE55" s="1341"/>
      <c r="AF55" s="1341"/>
      <c r="AG55" s="1341"/>
    </row>
    <row r="56" spans="1:33" ht="13.5" customHeight="1" outlineLevel="1">
      <c r="A56" s="1367"/>
      <c r="B56" s="1782" t="s">
        <v>138</v>
      </c>
      <c r="C56" s="1367"/>
      <c r="D56" s="1367"/>
      <c r="E56" s="1367"/>
      <c r="F56" s="1367"/>
      <c r="G56" s="1367"/>
      <c r="H56" s="1367"/>
      <c r="I56" s="1367"/>
      <c r="J56" s="1367"/>
      <c r="K56" s="1784">
        <f>+FAT!BK238</f>
        <v>2293.1198611321511</v>
      </c>
      <c r="L56" s="1784">
        <f>+FAT!BL238</f>
        <v>2298.9660728965341</v>
      </c>
      <c r="M56" s="1784">
        <f>+FAT!BM238</f>
        <v>1838.3323617079825</v>
      </c>
      <c r="N56" s="1784">
        <f>+FAT!BN238</f>
        <v>2128.6403427972546</v>
      </c>
      <c r="O56" s="1784">
        <f>+FAT!BO238</f>
        <v>2602.5774314935543</v>
      </c>
      <c r="P56" s="1784">
        <f>+FAT!BP238</f>
        <v>2743.1722877189018</v>
      </c>
      <c r="Q56" s="1784">
        <f>+FAT!BQ238</f>
        <v>2741.648561854463</v>
      </c>
      <c r="R56" s="1784">
        <f>+FAT!BR238</f>
        <v>2820.6690472261889</v>
      </c>
      <c r="S56" s="1784">
        <f>+FAT!BS238</f>
        <v>2833.1043431893881</v>
      </c>
      <c r="T56" s="1784">
        <f>+FAT!BT238</f>
        <v>2922.8021918633185</v>
      </c>
      <c r="U56" s="2641">
        <f>+FAT!BU238</f>
        <v>3012.350764427345</v>
      </c>
      <c r="V56" s="1347"/>
      <c r="W56" s="1347"/>
      <c r="X56" s="1347"/>
      <c r="Y56" s="1347"/>
      <c r="Z56" s="1347"/>
      <c r="AA56" s="1347"/>
      <c r="AB56" s="1343"/>
      <c r="AC56" s="1399"/>
      <c r="AD56" s="1407"/>
      <c r="AE56" s="1341"/>
      <c r="AF56" s="1341"/>
      <c r="AG56" s="1341"/>
    </row>
    <row r="57" spans="1:33" s="1345" customFormat="1" ht="13.5" customHeight="1" outlineLevel="1">
      <c r="A57" s="1364"/>
      <c r="B57" s="1782" t="s">
        <v>139</v>
      </c>
      <c r="C57" s="1364"/>
      <c r="D57" s="1364"/>
      <c r="E57" s="1364"/>
      <c r="F57" s="1364"/>
      <c r="G57" s="1364"/>
      <c r="H57" s="1364"/>
      <c r="I57" s="1364"/>
      <c r="J57" s="1777"/>
      <c r="K57" s="1777">
        <f>+FAT!BK240</f>
        <v>0.11162971157578794</v>
      </c>
      <c r="L57" s="1777">
        <f>+FAT!BL240</f>
        <v>0.10257105449849351</v>
      </c>
      <c r="M57" s="1777">
        <f>+FAT!BM240</f>
        <v>8.3457378228189799E-2</v>
      </c>
      <c r="N57" s="1777">
        <f>+FAT!BN240</f>
        <v>9.9279575036728504E-2</v>
      </c>
      <c r="O57" s="1777">
        <f>+FAT!BO240</f>
        <v>0.1098445786235912</v>
      </c>
      <c r="P57" s="1777">
        <f>+FAT!BP240</f>
        <v>0.12346928938924336</v>
      </c>
      <c r="Q57" s="1777">
        <f>+FAT!BQ240</f>
        <v>0.12641938635887429</v>
      </c>
      <c r="R57" s="1777">
        <f>+FAT!BR240</f>
        <v>0.12449105765970608</v>
      </c>
      <c r="S57" s="1777">
        <f>+FAT!BS240</f>
        <v>0.12037648577332677</v>
      </c>
      <c r="T57" s="1777">
        <f>+FAT!BT240</f>
        <v>0.11959414211094643</v>
      </c>
      <c r="U57" s="1780">
        <f>+FAT!BU240</f>
        <v>0.11901527491625179</v>
      </c>
      <c r="V57" s="1347"/>
      <c r="W57" s="1347"/>
      <c r="X57" s="1347"/>
      <c r="Y57" s="1347"/>
      <c r="Z57" s="1347"/>
      <c r="AA57" s="1347"/>
      <c r="AB57" s="1336"/>
      <c r="AC57" s="1408"/>
      <c r="AD57" s="1356"/>
      <c r="AE57" s="1337"/>
      <c r="AF57" s="1383"/>
      <c r="AG57" s="1383"/>
    </row>
    <row r="58" spans="1:33" s="1345" customFormat="1" ht="13.5" customHeight="1" outlineLevel="1">
      <c r="A58" s="1364"/>
      <c r="B58" s="1782" t="s">
        <v>140</v>
      </c>
      <c r="C58" s="1364"/>
      <c r="D58" s="1364"/>
      <c r="E58" s="1364"/>
      <c r="F58" s="1364"/>
      <c r="G58" s="1364"/>
      <c r="H58" s="1364"/>
      <c r="I58" s="1364"/>
      <c r="J58" s="1777"/>
      <c r="K58" s="1783">
        <f t="shared" ref="K58:N58" si="46">+K56/K$51</f>
        <v>0.54343196462595711</v>
      </c>
      <c r="L58" s="1783">
        <f t="shared" si="46"/>
        <v>0.5557756733703697</v>
      </c>
      <c r="M58" s="1783">
        <f t="shared" si="46"/>
        <v>0.58199017371323092</v>
      </c>
      <c r="N58" s="1783">
        <f t="shared" si="46"/>
        <v>0.7055602304640215</v>
      </c>
      <c r="O58" s="1783">
        <f>+O56/O$51</f>
        <v>0.90935619549041014</v>
      </c>
      <c r="P58" s="1783">
        <f t="shared" ref="P58:U58" si="47">+P56/P$51</f>
        <v>0.87585322085533257</v>
      </c>
      <c r="Q58" s="1783">
        <f t="shared" si="47"/>
        <v>1.0522871840995236</v>
      </c>
      <c r="R58" s="1783">
        <f t="shared" si="47"/>
        <v>1.050748032495193</v>
      </c>
      <c r="S58" s="1783">
        <f t="shared" si="47"/>
        <v>1.0313920439112181</v>
      </c>
      <c r="T58" s="1783">
        <f t="shared" si="47"/>
        <v>1.0303993673234721</v>
      </c>
      <c r="U58" s="2642">
        <f t="shared" si="47"/>
        <v>1.0294690503031494</v>
      </c>
      <c r="V58" s="1347"/>
      <c r="W58" s="1347"/>
      <c r="X58" s="1347"/>
      <c r="Y58" s="1347"/>
      <c r="Z58" s="1347"/>
      <c r="AA58" s="1347"/>
      <c r="AB58" s="1336"/>
      <c r="AC58" s="1408"/>
      <c r="AD58" s="1356"/>
      <c r="AE58" s="1337"/>
      <c r="AF58" s="1383"/>
      <c r="AG58" s="1383"/>
    </row>
    <row r="59" spans="1:33" s="1345" customFormat="1" ht="13.5" customHeight="1" outlineLevel="1">
      <c r="A59" s="1364"/>
      <c r="B59" s="1782"/>
      <c r="C59" s="1364"/>
      <c r="D59" s="1364"/>
      <c r="E59" s="1364"/>
      <c r="F59" s="1364"/>
      <c r="G59" s="1364"/>
      <c r="H59" s="1364"/>
      <c r="I59" s="1364"/>
      <c r="J59" s="1777"/>
      <c r="K59" s="1783"/>
      <c r="L59" s="1783"/>
      <c r="M59" s="1783"/>
      <c r="N59" s="1783"/>
      <c r="O59" s="1783"/>
      <c r="P59" s="1783"/>
      <c r="Q59" s="1783"/>
      <c r="R59" s="1783"/>
      <c r="S59" s="1783"/>
      <c r="T59" s="1783"/>
      <c r="U59" s="2642"/>
      <c r="V59" s="1347"/>
      <c r="W59" s="1347"/>
      <c r="X59" s="1347"/>
      <c r="Y59" s="1347"/>
      <c r="Z59" s="1347"/>
      <c r="AA59" s="1347"/>
      <c r="AB59" s="1336"/>
      <c r="AC59" s="1408"/>
      <c r="AD59" s="1356"/>
      <c r="AE59" s="1337"/>
      <c r="AF59" s="1383"/>
      <c r="AG59" s="1383"/>
    </row>
    <row r="60" spans="1:33" ht="13.5" customHeight="1" outlineLevel="1">
      <c r="A60" s="1367"/>
      <c r="B60" s="1782" t="s">
        <v>141</v>
      </c>
      <c r="C60" s="1367"/>
      <c r="D60" s="1367"/>
      <c r="E60" s="1367"/>
      <c r="F60" s="1367"/>
      <c r="G60" s="1367"/>
      <c r="H60" s="1367"/>
      <c r="I60" s="1367"/>
      <c r="J60" s="1363">
        <f>+FAT!BJ503</f>
        <v>0</v>
      </c>
      <c r="K60" s="1366">
        <f>+FAT!BK503</f>
        <v>329.10512310770531</v>
      </c>
      <c r="L60" s="1366">
        <f>+FAT!BL503</f>
        <v>275.12020321385012</v>
      </c>
      <c r="M60" s="1366">
        <f>+FAT!BM503</f>
        <v>155.44597963389811</v>
      </c>
      <c r="N60" s="1366">
        <f>+FAT!BN503</f>
        <v>217.51581499999958</v>
      </c>
      <c r="O60" s="1366">
        <f>+FAT!BO503</f>
        <v>4.2936879649579396</v>
      </c>
      <c r="P60" s="1366">
        <f>+FAT!BP503</f>
        <v>-409.66482469359767</v>
      </c>
      <c r="Q60" s="1366">
        <f>+FAT!BQ503</f>
        <v>-550.32109371161653</v>
      </c>
      <c r="R60" s="1366">
        <f>+FAT!BR503</f>
        <v>-346.51240207847786</v>
      </c>
      <c r="S60" s="1366">
        <f>+FAT!BS503</f>
        <v>-312.97031580717794</v>
      </c>
      <c r="T60" s="1366">
        <f>+FAT!BT503</f>
        <v>-278.9795515907922</v>
      </c>
      <c r="U60" s="2643">
        <f>+FAT!BU503</f>
        <v>-242.71821733029037</v>
      </c>
      <c r="V60" s="1347"/>
      <c r="W60" s="1347"/>
      <c r="X60" s="1347"/>
      <c r="Y60" s="1347"/>
      <c r="Z60" s="1347"/>
      <c r="AA60" s="1347"/>
      <c r="AB60" s="1343"/>
      <c r="AC60" s="1408"/>
      <c r="AD60" s="1356"/>
      <c r="AF60" s="1383"/>
      <c r="AG60" s="1383"/>
    </row>
    <row r="61" spans="1:33" ht="13.5" customHeight="1" outlineLevel="1">
      <c r="A61" s="1367"/>
      <c r="B61" s="1782" t="s">
        <v>139</v>
      </c>
      <c r="C61" s="1367"/>
      <c r="D61" s="1367"/>
      <c r="E61" s="1367"/>
      <c r="F61" s="1367"/>
      <c r="G61" s="1367"/>
      <c r="H61" s="1367"/>
      <c r="I61" s="1367"/>
      <c r="J61" s="1777"/>
      <c r="K61" s="1777">
        <f>+FAT!BK505</f>
        <v>3.6176131721247548E-2</v>
      </c>
      <c r="L61" s="1777">
        <f>+FAT!BL505</f>
        <v>2.9489908483364254E-2</v>
      </c>
      <c r="M61" s="1777">
        <f>+FAT!BM505</f>
        <v>2.1601720349346595E-2</v>
      </c>
      <c r="N61" s="1777">
        <f>+FAT!BN505</f>
        <v>3.4598889639316427E-2</v>
      </c>
      <c r="O61" s="1777">
        <f>+FAT!BO505</f>
        <v>6.465028980349116E-4</v>
      </c>
      <c r="P61" s="1777">
        <f>+FAT!BP505</f>
        <v>-7.05147499890868E-2</v>
      </c>
      <c r="Q61" s="1777">
        <f>+FAT!BQ505</f>
        <v>-0.11677948228679171</v>
      </c>
      <c r="R61" s="1777">
        <f>+FAT!BR505</f>
        <v>-7.0963631363838528E-2</v>
      </c>
      <c r="S61" s="1777">
        <f>+FAT!BS505</f>
        <v>-6.1833538384621509E-2</v>
      </c>
      <c r="T61" s="1777">
        <f>+FAT!BT505</f>
        <v>-5.3238659179754268E-2</v>
      </c>
      <c r="U61" s="1780">
        <f>+FAT!BU505</f>
        <v>-4.4739476392071126E-2</v>
      </c>
      <c r="V61" s="1347"/>
      <c r="W61" s="1347"/>
      <c r="X61" s="1347"/>
      <c r="Y61" s="1347"/>
      <c r="Z61" s="1347"/>
      <c r="AA61" s="1347"/>
      <c r="AB61" s="1343"/>
      <c r="AC61" s="1408"/>
      <c r="AD61" s="1356"/>
      <c r="AF61" s="1383"/>
      <c r="AG61" s="1383"/>
    </row>
    <row r="62" spans="1:33" ht="13.5" customHeight="1" outlineLevel="1">
      <c r="A62" s="1367"/>
      <c r="B62" s="1782" t="s">
        <v>140</v>
      </c>
      <c r="C62" s="1367"/>
      <c r="D62" s="1367"/>
      <c r="E62" s="1367"/>
      <c r="F62" s="1367"/>
      <c r="G62" s="1367"/>
      <c r="H62" s="1367"/>
      <c r="I62" s="1367"/>
      <c r="J62" s="1777"/>
      <c r="K62" s="1783">
        <f t="shared" ref="K62:N62" si="48">+K60/K$51</f>
        <v>7.7992540490486373E-2</v>
      </c>
      <c r="L62" s="1783">
        <f t="shared" si="48"/>
        <v>6.6510383951130209E-2</v>
      </c>
      <c r="M62" s="1783">
        <f t="shared" si="48"/>
        <v>4.9212011154556652E-2</v>
      </c>
      <c r="N62" s="1783">
        <f t="shared" si="48"/>
        <v>7.2097904693139925E-2</v>
      </c>
      <c r="O62" s="1783">
        <f>+O60/O$51</f>
        <v>1.5002403790908242E-3</v>
      </c>
      <c r="P62" s="1783">
        <f t="shared" ref="P62:U62" si="49">+P60/P$51</f>
        <v>-0.13079975245644881</v>
      </c>
      <c r="Q62" s="1783">
        <f t="shared" si="49"/>
        <v>-0.21122175982346333</v>
      </c>
      <c r="R62" s="1783">
        <f t="shared" si="49"/>
        <v>-0.12908186626048615</v>
      </c>
      <c r="S62" s="1783">
        <f t="shared" si="49"/>
        <v>-0.11393688851590821</v>
      </c>
      <c r="T62" s="1783">
        <f t="shared" si="49"/>
        <v>-9.8350943575856262E-2</v>
      </c>
      <c r="U62" s="2642">
        <f t="shared" si="49"/>
        <v>-8.2948803850134797E-2</v>
      </c>
      <c r="V62" s="1347"/>
      <c r="W62" s="1347"/>
      <c r="X62" s="1347"/>
      <c r="Y62" s="1347"/>
      <c r="Z62" s="1347"/>
      <c r="AA62" s="1347"/>
      <c r="AB62" s="1343"/>
      <c r="AC62" s="1408"/>
      <c r="AD62" s="1356"/>
      <c r="AF62" s="1383"/>
      <c r="AG62" s="1383"/>
    </row>
    <row r="63" spans="1:33" s="1410" customFormat="1" ht="13.5" customHeight="1" outlineLevel="1">
      <c r="A63" s="1775"/>
      <c r="B63" s="1778"/>
      <c r="C63" s="1775"/>
      <c r="D63" s="1775"/>
      <c r="E63" s="1775"/>
      <c r="F63" s="1775"/>
      <c r="G63" s="1775"/>
      <c r="H63" s="1775"/>
      <c r="I63" s="1775"/>
      <c r="J63" s="1775"/>
      <c r="K63" s="1775"/>
      <c r="L63" s="1775"/>
      <c r="M63" s="1775"/>
      <c r="N63" s="1775"/>
      <c r="O63" s="1775"/>
      <c r="P63" s="1775"/>
      <c r="Q63" s="1775"/>
      <c r="R63" s="1775"/>
      <c r="S63" s="1775"/>
      <c r="T63" s="1775"/>
      <c r="U63" s="1781"/>
      <c r="V63" s="1347"/>
      <c r="W63" s="1347"/>
      <c r="X63" s="1347"/>
      <c r="Y63" s="1347"/>
      <c r="Z63" s="1347"/>
      <c r="AA63" s="1347"/>
      <c r="AB63" s="1377"/>
      <c r="AC63" s="1356"/>
      <c r="AD63" s="1356"/>
    </row>
    <row r="64" spans="1:33" s="1410" customFormat="1" outlineLevel="1">
      <c r="B64" s="1412"/>
      <c r="C64" s="1376"/>
      <c r="D64" s="1376"/>
      <c r="E64" s="1376"/>
      <c r="F64" s="1376"/>
      <c r="G64" s="1376"/>
      <c r="H64" s="1376"/>
      <c r="I64" s="1376"/>
      <c r="J64" s="1376"/>
      <c r="K64" s="1376"/>
      <c r="L64" s="1376"/>
      <c r="M64" s="1376"/>
      <c r="N64" s="1376"/>
      <c r="O64" s="1376"/>
      <c r="P64" s="1376"/>
      <c r="Q64" s="1376"/>
      <c r="R64" s="1376"/>
      <c r="S64" s="1376"/>
      <c r="T64" s="1376"/>
      <c r="U64" s="1716"/>
      <c r="V64" s="1347"/>
      <c r="W64" s="1347"/>
      <c r="X64" s="1347"/>
      <c r="Y64" s="1347"/>
      <c r="Z64" s="1347"/>
      <c r="AA64" s="1347"/>
      <c r="AB64" s="1377"/>
      <c r="AC64" s="1413"/>
      <c r="AD64" s="1413"/>
      <c r="AE64" s="1414"/>
      <c r="AF64" s="1414"/>
      <c r="AG64" s="1414"/>
    </row>
    <row r="65" spans="2:33" s="1410" customFormat="1" outlineLevel="1">
      <c r="B65" s="1412" t="s">
        <v>142</v>
      </c>
      <c r="C65" s="1415">
        <f>-FAT!BE89</f>
        <v>-239.42396406567218</v>
      </c>
      <c r="D65" s="1415"/>
      <c r="E65" s="1415"/>
      <c r="F65" s="1415"/>
      <c r="G65" s="1415">
        <f>-FAT!BF89</f>
        <v>-289.91827616156922</v>
      </c>
      <c r="H65" s="1415">
        <f>-FAT!BG89</f>
        <v>-383.30551837444352</v>
      </c>
      <c r="I65" s="1415">
        <f>-FAT!BH89</f>
        <v>-587.03697205350591</v>
      </c>
      <c r="J65" s="1415">
        <f>-FAT!BJ89</f>
        <v>-1117.3</v>
      </c>
      <c r="K65" s="1415">
        <f>-FAT!BK89</f>
        <v>-2718.7999999999997</v>
      </c>
      <c r="L65" s="1415">
        <f>-FAT!BL89</f>
        <v>-2791.6</v>
      </c>
      <c r="M65" s="1415">
        <f>-FAT!BM89</f>
        <v>-2591.9</v>
      </c>
      <c r="N65" s="1415">
        <f>-FAT!BN89</f>
        <v>-2094.8859039999998</v>
      </c>
      <c r="O65" s="1415">
        <f>-FAT!BO89</f>
        <v>-949</v>
      </c>
      <c r="P65" s="1415">
        <f>-FAT!BP89</f>
        <v>-909.3</v>
      </c>
      <c r="Q65" s="1415">
        <f>-FAT!BQ89</f>
        <v>-888.84779757966703</v>
      </c>
      <c r="R65" s="1415">
        <f>-FAT!BR89</f>
        <v>-787.82603698856678</v>
      </c>
      <c r="S65" s="1415">
        <f>-FAT!BS89</f>
        <v>-743.1902933518445</v>
      </c>
      <c r="T65" s="1415">
        <f>-FAT!BT89</f>
        <v>-722.63140051103619</v>
      </c>
      <c r="U65" s="1719">
        <f>-FAT!BU89</f>
        <v>-712.53625208724384</v>
      </c>
      <c r="V65" s="1347"/>
      <c r="W65" s="1347"/>
      <c r="X65" s="1347"/>
      <c r="Y65" s="1347"/>
      <c r="Z65" s="1347"/>
      <c r="AA65" s="1347"/>
      <c r="AB65" s="1377"/>
      <c r="AC65" s="1416"/>
      <c r="AD65" s="1417"/>
      <c r="AE65" s="1414"/>
      <c r="AF65" s="1414"/>
      <c r="AG65" s="1414"/>
    </row>
    <row r="66" spans="2:33" s="1410" customFormat="1" outlineLevel="1">
      <c r="B66" s="1412" t="s">
        <v>143</v>
      </c>
      <c r="C66" s="1415">
        <f>+PROJ!BD207</f>
        <v>383</v>
      </c>
      <c r="D66" s="1415"/>
      <c r="E66" s="1415"/>
      <c r="F66" s="1415"/>
      <c r="G66" s="1415">
        <f>+PROJ!BE207</f>
        <v>306</v>
      </c>
      <c r="H66" s="1415">
        <f>+PROJ!BF207</f>
        <v>362.5</v>
      </c>
      <c r="I66" s="1415">
        <f>+PROJ!BG207</f>
        <v>491.9</v>
      </c>
      <c r="J66" s="1415">
        <f>+PROJ!BH207</f>
        <v>571.29999999999995</v>
      </c>
      <c r="K66" s="1415">
        <f>+PROJ!BI207</f>
        <v>790.7</v>
      </c>
      <c r="L66" s="1415">
        <f>+PROJ!BJ207</f>
        <v>1513</v>
      </c>
      <c r="M66" s="1415">
        <f>+PROJ!BK207</f>
        <v>1102.8</v>
      </c>
      <c r="N66" s="1415">
        <f>+PROJ!BL207</f>
        <v>1032.8</v>
      </c>
      <c r="O66" s="1415">
        <f>+PROJ!BM207</f>
        <v>634.1128254648745</v>
      </c>
      <c r="P66" s="1415">
        <f>+PROJ!BN207</f>
        <v>529.32799999999997</v>
      </c>
      <c r="Q66" s="1415">
        <f>+PROJ!BO207</f>
        <v>515.81302663935526</v>
      </c>
      <c r="R66" s="1415">
        <f>+PROJ!BP207</f>
        <v>570.58168301187015</v>
      </c>
      <c r="S66" s="1415">
        <f>+PROJ!BQ207</f>
        <v>592.5910010605453</v>
      </c>
      <c r="T66" s="1415">
        <f>+PROJ!BR207</f>
        <v>615.15744569525884</v>
      </c>
      <c r="U66" s="1719">
        <f>+PROJ!BS207</f>
        <v>636.89989883449232</v>
      </c>
      <c r="V66" s="1347"/>
      <c r="W66" s="1347"/>
      <c r="X66" s="1347"/>
      <c r="Y66" s="1347"/>
      <c r="Z66" s="1347"/>
      <c r="AA66" s="1347"/>
      <c r="AB66" s="1377"/>
      <c r="AC66" s="1418">
        <f>+N51+N65</f>
        <v>922.06467071893621</v>
      </c>
      <c r="AD66" s="1417"/>
      <c r="AE66" s="1417"/>
      <c r="AF66" s="1419"/>
      <c r="AG66" s="1414"/>
    </row>
    <row r="67" spans="2:33" s="1410" customFormat="1" outlineLevel="1">
      <c r="B67" s="1409"/>
      <c r="C67" s="1376"/>
      <c r="D67" s="1376"/>
      <c r="E67" s="1376"/>
      <c r="F67" s="1376"/>
      <c r="G67" s="1376"/>
      <c r="H67" s="1376"/>
      <c r="I67" s="1376"/>
      <c r="J67" s="1376"/>
      <c r="K67" s="1376"/>
      <c r="L67" s="1376"/>
      <c r="M67" s="1376"/>
      <c r="N67" s="1376"/>
      <c r="O67" s="1376"/>
      <c r="P67" s="1376"/>
      <c r="Q67" s="1376"/>
      <c r="R67" s="1376"/>
      <c r="S67" s="1376"/>
      <c r="T67" s="1376"/>
      <c r="U67" s="1716"/>
      <c r="V67" s="1347"/>
      <c r="W67" s="1347"/>
      <c r="X67" s="1347"/>
      <c r="Y67" s="1347"/>
      <c r="Z67" s="1347"/>
      <c r="AA67" s="1347"/>
      <c r="AB67" s="1377"/>
      <c r="AC67" s="1408"/>
      <c r="AD67" s="1417"/>
      <c r="AE67" s="1417"/>
      <c r="AF67" s="1419"/>
      <c r="AG67" s="1414"/>
    </row>
    <row r="68" spans="2:33" s="1341" customFormat="1" ht="13.5" customHeight="1">
      <c r="B68" s="1338" t="s">
        <v>144</v>
      </c>
      <c r="C68" s="1339">
        <v>2015</v>
      </c>
      <c r="D68" s="1339"/>
      <c r="E68" s="1339"/>
      <c r="F68" s="1339"/>
      <c r="G68" s="1339">
        <f>+C68+1</f>
        <v>2016</v>
      </c>
      <c r="H68" s="1339">
        <f t="shared" ref="H68:Q68" si="50">+G68+1</f>
        <v>2017</v>
      </c>
      <c r="I68" s="1339">
        <f t="shared" si="50"/>
        <v>2018</v>
      </c>
      <c r="J68" s="1339">
        <f t="shared" si="50"/>
        <v>2019</v>
      </c>
      <c r="K68" s="1339">
        <f t="shared" si="50"/>
        <v>2020</v>
      </c>
      <c r="L68" s="1339">
        <f t="shared" si="50"/>
        <v>2021</v>
      </c>
      <c r="M68" s="1339">
        <f t="shared" si="50"/>
        <v>2022</v>
      </c>
      <c r="N68" s="1339">
        <f t="shared" si="50"/>
        <v>2023</v>
      </c>
      <c r="O68" s="1339">
        <f t="shared" si="50"/>
        <v>2024</v>
      </c>
      <c r="P68" s="1339">
        <f t="shared" si="50"/>
        <v>2025</v>
      </c>
      <c r="Q68" s="1339">
        <f t="shared" si="50"/>
        <v>2026</v>
      </c>
      <c r="R68" s="1339">
        <f t="shared" ref="R68" si="51">+Q68+1</f>
        <v>2027</v>
      </c>
      <c r="S68" s="1339">
        <f t="shared" ref="S68" si="52">+R68+1</f>
        <v>2028</v>
      </c>
      <c r="T68" s="1339">
        <f t="shared" ref="T68" si="53">+S68+1</f>
        <v>2029</v>
      </c>
      <c r="U68" s="1711">
        <f t="shared" ref="U68" si="54">+T68+1</f>
        <v>2030</v>
      </c>
      <c r="V68" s="1347"/>
      <c r="W68" s="1347"/>
      <c r="X68" s="1347"/>
      <c r="Y68" s="1347"/>
      <c r="Z68" s="1347"/>
      <c r="AA68" s="1347"/>
      <c r="AB68" s="1340"/>
      <c r="AC68" s="1420">
        <f>74500/2400</f>
        <v>31.041666666666668</v>
      </c>
      <c r="AD68" s="1420"/>
      <c r="AE68" s="1414"/>
      <c r="AF68" s="1414"/>
      <c r="AG68" s="1414"/>
    </row>
    <row r="69" spans="2:33" s="1414" customFormat="1" ht="13.5" customHeight="1">
      <c r="B69" s="1421" t="s">
        <v>39</v>
      </c>
      <c r="C69" s="1422">
        <f ca="1">+VP!$C$24</f>
        <v>14460.35016</v>
      </c>
      <c r="D69" s="1422"/>
      <c r="E69" s="1423"/>
      <c r="F69" s="1423"/>
      <c r="G69" s="1423">
        <f ca="1">+C69</f>
        <v>14460.35016</v>
      </c>
      <c r="H69" s="1423">
        <f t="shared" ref="H69:N69" ca="1" si="55">+G69</f>
        <v>14460.35016</v>
      </c>
      <c r="I69" s="1423">
        <f t="shared" ca="1" si="55"/>
        <v>14460.35016</v>
      </c>
      <c r="J69" s="1423">
        <f t="shared" ca="1" si="55"/>
        <v>14460.35016</v>
      </c>
      <c r="K69" s="1423">
        <f t="shared" ca="1" si="55"/>
        <v>14460.35016</v>
      </c>
      <c r="L69" s="1423">
        <f t="shared" ca="1" si="55"/>
        <v>14460.35016</v>
      </c>
      <c r="M69" s="1423">
        <f t="shared" ca="1" si="55"/>
        <v>14460.35016</v>
      </c>
      <c r="N69" s="1423">
        <f t="shared" ca="1" si="55"/>
        <v>14460.35016</v>
      </c>
      <c r="O69" s="1423">
        <f ca="1">+VP!$C$24</f>
        <v>14460.35016</v>
      </c>
      <c r="P69" s="1423">
        <f ca="1">+VP!$C$24</f>
        <v>14460.35016</v>
      </c>
      <c r="Q69" s="1423">
        <f ca="1">+VP!$C$24</f>
        <v>14460.35016</v>
      </c>
      <c r="R69" s="1423">
        <f ca="1">+VP!$C$24</f>
        <v>14460.35016</v>
      </c>
      <c r="S69" s="1423">
        <f ca="1">+VP!$C$24</f>
        <v>14460.35016</v>
      </c>
      <c r="T69" s="1423">
        <f ca="1">+VP!$C$24</f>
        <v>14460.35016</v>
      </c>
      <c r="U69" s="1720">
        <f ca="1">+VP!$C$24</f>
        <v>14460.35016</v>
      </c>
      <c r="V69" s="1347"/>
      <c r="W69" s="1347"/>
      <c r="X69" s="1347"/>
      <c r="Y69" s="1347"/>
      <c r="Z69" s="1347"/>
      <c r="AA69" s="1347"/>
      <c r="AB69" s="1413"/>
      <c r="AC69" s="1364"/>
      <c r="AD69" s="1367"/>
      <c r="AE69" s="1337"/>
      <c r="AF69" s="1345"/>
      <c r="AG69" s="1345"/>
    </row>
    <row r="70" spans="2:33" s="1414" customFormat="1" ht="13.5" customHeight="1">
      <c r="B70" s="1424" t="s">
        <v>145</v>
      </c>
      <c r="C70" s="1425">
        <f>+PROJ!BD153</f>
        <v>2752.2009999999991</v>
      </c>
      <c r="D70" s="1425"/>
      <c r="E70" s="1425"/>
      <c r="F70" s="1425"/>
      <c r="G70" s="1425">
        <f>+PROJ!BE153</f>
        <v>2091.2420000000002</v>
      </c>
      <c r="H70" s="1425">
        <f>+PROJ!BF153</f>
        <v>5661.463999999999</v>
      </c>
      <c r="I70" s="1425">
        <f>+PROJ!BG153</f>
        <v>5563.72</v>
      </c>
      <c r="J70" s="1425">
        <f>+PROJ!BH153</f>
        <v>5247</v>
      </c>
      <c r="K70" s="1425">
        <f>+PROJ!BI153</f>
        <v>5480.5999999999995</v>
      </c>
      <c r="L70" s="1425">
        <f>+PROJ!BJ153</f>
        <v>6730.8999999999987</v>
      </c>
      <c r="M70" s="1425">
        <f>+PROJ!BK153</f>
        <v>7596.2000000000016</v>
      </c>
      <c r="N70" s="1425">
        <f>+PROJ!BL153</f>
        <v>-1663.3000000000002</v>
      </c>
      <c r="O70" s="1425">
        <f>+PROJ!BM153</f>
        <v>-1018.5699999999999</v>
      </c>
      <c r="P70" s="1425">
        <f>+PROJ!BN153</f>
        <v>3504.1290000000008</v>
      </c>
      <c r="Q70" s="1425">
        <f>+PROJ!BO153</f>
        <v>2522.5584787880457</v>
      </c>
      <c r="R70" s="1425">
        <f>+PROJ!BP153</f>
        <v>1532.0607772358494</v>
      </c>
      <c r="S70" s="1425">
        <f>+PROJ!BQ153</f>
        <v>514.39343533650253</v>
      </c>
      <c r="T70" s="1425">
        <f>+PROJ!BR153</f>
        <v>-584.45841972506605</v>
      </c>
      <c r="U70" s="1721">
        <f>+PROJ!BS153</f>
        <v>-1619.370144272898</v>
      </c>
      <c r="V70" s="1347"/>
      <c r="W70" s="1347"/>
      <c r="X70" s="1347"/>
      <c r="Y70" s="1347"/>
      <c r="Z70" s="1347"/>
      <c r="AA70" s="1347"/>
      <c r="AB70" s="1417"/>
    </row>
    <row r="71" spans="2:33" s="1414" customFormat="1" ht="13.5" customHeight="1">
      <c r="B71" s="1424" t="s">
        <v>47</v>
      </c>
      <c r="C71" s="1425">
        <f t="shared" ref="C71:Q71" ca="1" si="56">+C69+C70</f>
        <v>17212.551159999999</v>
      </c>
      <c r="D71" s="1425"/>
      <c r="E71" s="1425"/>
      <c r="F71" s="1425"/>
      <c r="G71" s="1425">
        <f ca="1">+G69+G70</f>
        <v>16551.59216</v>
      </c>
      <c r="H71" s="1425">
        <f t="shared" ca="1" si="56"/>
        <v>20121.814159999998</v>
      </c>
      <c r="I71" s="1425">
        <f t="shared" ca="1" si="56"/>
        <v>20024.070159999999</v>
      </c>
      <c r="J71" s="1425">
        <f t="shared" ca="1" si="56"/>
        <v>19707.350160000002</v>
      </c>
      <c r="K71" s="1425">
        <f t="shared" ca="1" si="56"/>
        <v>19940.95016</v>
      </c>
      <c r="L71" s="1425">
        <f t="shared" ca="1" si="56"/>
        <v>21191.25016</v>
      </c>
      <c r="M71" s="1425">
        <f t="shared" ca="1" si="56"/>
        <v>22056.550160000003</v>
      </c>
      <c r="N71" s="1425">
        <f t="shared" ca="1" si="56"/>
        <v>12797.050159999999</v>
      </c>
      <c r="O71" s="1425">
        <f t="shared" ca="1" si="56"/>
        <v>13441.78016</v>
      </c>
      <c r="P71" s="1425">
        <f t="shared" ca="1" si="56"/>
        <v>17964.479160000003</v>
      </c>
      <c r="Q71" s="1425">
        <f t="shared" ca="1" si="56"/>
        <v>16982.908638788045</v>
      </c>
      <c r="R71" s="1425">
        <f t="shared" ref="R71:U71" ca="1" si="57">+R69+R70</f>
        <v>15992.410937235849</v>
      </c>
      <c r="S71" s="1425">
        <f t="shared" ca="1" si="57"/>
        <v>14974.743595336502</v>
      </c>
      <c r="T71" s="1425">
        <f t="shared" ca="1" si="57"/>
        <v>13875.891740274934</v>
      </c>
      <c r="U71" s="1721">
        <f t="shared" ca="1" si="57"/>
        <v>12840.980015727102</v>
      </c>
      <c r="V71" s="1347"/>
      <c r="W71" s="1347"/>
      <c r="X71" s="1347"/>
      <c r="Y71" s="1347"/>
      <c r="Z71" s="1347"/>
      <c r="AA71" s="1347"/>
      <c r="AB71" s="1417"/>
      <c r="AC71" s="1408"/>
      <c r="AD71" s="1426"/>
      <c r="AE71" s="1337"/>
      <c r="AF71" s="1374"/>
      <c r="AG71" s="1389"/>
    </row>
    <row r="72" spans="2:33" s="1414" customFormat="1" ht="13.5" hidden="1" customHeight="1">
      <c r="B72" s="1424"/>
      <c r="C72" s="1425">
        <f ca="1">+C69*0.9</f>
        <v>13014.315144</v>
      </c>
      <c r="D72" s="1425"/>
      <c r="E72" s="1425"/>
      <c r="F72" s="1425"/>
      <c r="G72" s="1425"/>
      <c r="H72" s="1425"/>
      <c r="I72" s="1425"/>
      <c r="J72" s="1098"/>
      <c r="K72" s="1098"/>
      <c r="L72" s="1098"/>
      <c r="M72" s="1098"/>
      <c r="N72" s="1098"/>
      <c r="O72" s="1425"/>
      <c r="P72" s="1425"/>
      <c r="Q72" s="1425"/>
      <c r="R72" s="1425"/>
      <c r="S72" s="1425"/>
      <c r="T72" s="1425"/>
      <c r="U72" s="1721"/>
      <c r="V72" s="1347"/>
      <c r="W72" s="1347"/>
      <c r="X72" s="1347"/>
      <c r="Y72" s="1347"/>
      <c r="Z72" s="1347"/>
      <c r="AA72" s="1347"/>
      <c r="AB72" s="1417"/>
    </row>
    <row r="73" spans="2:33" s="1414" customFormat="1" ht="13.5" hidden="1" customHeight="1">
      <c r="B73" s="1424" t="s">
        <v>146</v>
      </c>
      <c r="C73" s="1425"/>
      <c r="D73" s="1425"/>
      <c r="E73" s="1425"/>
      <c r="F73" s="1425"/>
      <c r="G73" s="1425"/>
      <c r="H73" s="1425"/>
      <c r="I73" s="1425"/>
      <c r="J73" s="1425">
        <f>+PROJ!BH155+PROJ!BH156</f>
        <v>5539.4000000000005</v>
      </c>
      <c r="K73" s="1425">
        <f>+PROJ!BI155+PROJ!BI156</f>
        <v>8342.2999999999993</v>
      </c>
      <c r="L73" s="1425">
        <f>+PROJ!BJ155+PROJ!BJ156</f>
        <v>5986</v>
      </c>
      <c r="M73" s="1425">
        <f>+PROJ!BK155+PROJ!BK156</f>
        <v>5996.1</v>
      </c>
      <c r="N73" s="1425">
        <f>+PROJ!BL155+PROJ!BL156</f>
        <v>7775</v>
      </c>
      <c r="O73" s="1425">
        <f>+PROJ!BM155+PROJ!BM156</f>
        <v>3407.9690000000001</v>
      </c>
      <c r="P73" s="1425">
        <f>+PROJ!BN155+PROJ!BN156</f>
        <v>2671.2529999999997</v>
      </c>
      <c r="Q73" s="1425">
        <f>+PROJ!BO155+PROJ!BO156</f>
        <v>3834.6624966839145</v>
      </c>
      <c r="R73" s="1425">
        <f>+PROJ!BP155+PROJ!BP156</f>
        <v>4893.3524478068703</v>
      </c>
      <c r="S73" s="1425">
        <f>+PROJ!BQ155+PROJ!BQ156</f>
        <v>4446.1275646634986</v>
      </c>
      <c r="T73" s="1425">
        <f>+PROJ!BR155+PROJ!BR156</f>
        <v>5544.9794197250667</v>
      </c>
      <c r="U73" s="1721">
        <f>+PROJ!BS155+PROJ!BS156</f>
        <v>6579.8911442728986</v>
      </c>
      <c r="V73" s="1347"/>
      <c r="W73" s="1347"/>
      <c r="X73" s="1347"/>
      <c r="Y73" s="1347"/>
      <c r="Z73" s="1347"/>
      <c r="AA73" s="1347"/>
      <c r="AB73" s="1417"/>
      <c r="AC73" s="1408"/>
      <c r="AD73" s="1427"/>
      <c r="AE73" s="1345"/>
      <c r="AF73" s="1389"/>
      <c r="AG73" s="1389"/>
    </row>
    <row r="74" spans="2:33" s="1414" customFormat="1" ht="13.5" hidden="1" customHeight="1">
      <c r="B74" s="1424" t="s">
        <v>147</v>
      </c>
      <c r="C74" s="1425"/>
      <c r="D74" s="1425"/>
      <c r="E74" s="1425"/>
      <c r="F74" s="1425"/>
      <c r="G74" s="1425"/>
      <c r="H74" s="1425"/>
      <c r="I74" s="1425"/>
      <c r="J74" s="1425">
        <f>+PROJ!BH157</f>
        <v>10786.4</v>
      </c>
      <c r="K74" s="1425">
        <f>+PROJ!BI157</f>
        <v>13822.9</v>
      </c>
      <c r="L74" s="1425">
        <f>+PROJ!BJ157</f>
        <v>12716.9</v>
      </c>
      <c r="M74" s="1425">
        <f>+PROJ!BK157</f>
        <v>13592.300000000001</v>
      </c>
      <c r="N74" s="1425">
        <f>+PROJ!BL157</f>
        <v>6111.7</v>
      </c>
      <c r="O74" s="1425">
        <f>+PROJ!BM157</f>
        <v>2389.3989999999999</v>
      </c>
      <c r="P74" s="1425">
        <f>+PROJ!BN157</f>
        <v>6175.3820000000005</v>
      </c>
      <c r="Q74" s="1425">
        <f>+PROJ!BO157</f>
        <v>6357.2209754719606</v>
      </c>
      <c r="R74" s="1425">
        <f>+PROJ!BP157</f>
        <v>6425.4132250427192</v>
      </c>
      <c r="S74" s="1425">
        <f>+PROJ!BQ157</f>
        <v>4960.5210000000006</v>
      </c>
      <c r="T74" s="1425">
        <f>+PROJ!BR157</f>
        <v>4960.5210000000006</v>
      </c>
      <c r="U74" s="1721">
        <f>+PROJ!BS157</f>
        <v>4960.5210000000006</v>
      </c>
      <c r="V74" s="1347"/>
      <c r="W74" s="1347"/>
      <c r="X74" s="1347"/>
      <c r="Y74" s="1347"/>
      <c r="Z74" s="1347"/>
      <c r="AA74" s="1347"/>
      <c r="AB74" s="1417"/>
      <c r="AC74" s="1408"/>
      <c r="AD74" s="1427"/>
      <c r="AE74" s="1337"/>
      <c r="AF74" s="1374"/>
      <c r="AG74" s="1389"/>
    </row>
    <row r="75" spans="2:33" s="1414" customFormat="1" ht="13.5" hidden="1" customHeight="1">
      <c r="B75" s="1424"/>
      <c r="C75" s="1425"/>
      <c r="D75" s="1425"/>
      <c r="E75" s="1425"/>
      <c r="F75" s="1425"/>
      <c r="G75" s="1425"/>
      <c r="H75" s="1425"/>
      <c r="I75" s="1425"/>
      <c r="J75" s="1425"/>
      <c r="K75" s="1425"/>
      <c r="L75" s="1425"/>
      <c r="M75" s="1425"/>
      <c r="N75" s="1425"/>
      <c r="O75" s="1425"/>
      <c r="P75" s="1425"/>
      <c r="Q75" s="1425"/>
      <c r="R75" s="1425"/>
      <c r="S75" s="1425"/>
      <c r="T75" s="1425"/>
      <c r="U75" s="1721"/>
      <c r="V75" s="1347"/>
      <c r="W75" s="1347"/>
      <c r="X75" s="1347"/>
      <c r="Y75" s="1347"/>
      <c r="Z75" s="1347"/>
      <c r="AA75" s="1347"/>
      <c r="AB75" s="1417"/>
    </row>
    <row r="76" spans="2:33" s="1433" customFormat="1" ht="13.5" hidden="1" customHeight="1">
      <c r="B76" s="1428" t="s">
        <v>148</v>
      </c>
      <c r="C76" s="1429"/>
      <c r="D76" s="1429"/>
      <c r="E76" s="1429"/>
      <c r="F76" s="1429"/>
      <c r="G76" s="1430"/>
      <c r="H76" s="1430"/>
      <c r="I76" s="1430"/>
      <c r="J76" s="1430">
        <f t="shared" ref="J76:U76" si="58">+J70/J47</f>
        <v>0.98760886849047735</v>
      </c>
      <c r="K76" s="1430">
        <f t="shared" si="58"/>
        <v>1.5620475403294767</v>
      </c>
      <c r="L76" s="1430">
        <f t="shared" si="58"/>
        <v>1.7215018286912731</v>
      </c>
      <c r="M76" s="1430">
        <f t="shared" si="58"/>
        <v>3.5604405905788616</v>
      </c>
      <c r="N76" s="1430">
        <f t="shared" si="58"/>
        <v>-1.0932293933891799</v>
      </c>
      <c r="O76" s="1430">
        <f t="shared" si="58"/>
        <v>-0.55041416236807195</v>
      </c>
      <c r="P76" s="1430">
        <f t="shared" si="58"/>
        <v>1.5813664835449974</v>
      </c>
      <c r="Q76" s="1430">
        <f t="shared" si="58"/>
        <v>0.96819701667917857</v>
      </c>
      <c r="R76" s="1430">
        <f t="shared" si="58"/>
        <v>0.57071915222620395</v>
      </c>
      <c r="S76" s="1430">
        <f t="shared" si="58"/>
        <v>0.1907368938547461</v>
      </c>
      <c r="T76" s="1430">
        <f t="shared" si="58"/>
        <v>-0.20974099340819577</v>
      </c>
      <c r="U76" s="1722">
        <f t="shared" si="58"/>
        <v>-0.56303969023196609</v>
      </c>
      <c r="V76" s="1430"/>
      <c r="W76" s="1430"/>
      <c r="X76" s="1430"/>
      <c r="Y76" s="1430"/>
      <c r="Z76" s="1430"/>
      <c r="AA76" s="1430"/>
      <c r="AB76" s="1431"/>
      <c r="AC76" s="1432"/>
      <c r="AD76" s="1414"/>
      <c r="AE76" s="1414"/>
      <c r="AF76" s="1414"/>
      <c r="AG76" s="1414"/>
    </row>
    <row r="77" spans="2:33" s="1433" customFormat="1" ht="13.5" hidden="1" customHeight="1">
      <c r="B77" s="1428"/>
      <c r="C77" s="1429"/>
      <c r="D77" s="1429"/>
      <c r="E77" s="1429"/>
      <c r="F77" s="1429"/>
      <c r="G77" s="1430"/>
      <c r="H77" s="1430"/>
      <c r="I77" s="1430"/>
      <c r="J77" s="1430"/>
      <c r="K77" s="1430"/>
      <c r="L77" s="1430"/>
      <c r="M77" s="1430"/>
      <c r="N77" s="1430"/>
      <c r="O77" s="1430"/>
      <c r="P77" s="1430"/>
      <c r="Q77" s="1430"/>
      <c r="R77" s="1430"/>
      <c r="S77" s="1430"/>
      <c r="T77" s="1430"/>
      <c r="U77" s="1722"/>
      <c r="V77" s="1430"/>
      <c r="W77" s="1430"/>
      <c r="X77" s="1430"/>
      <c r="Y77" s="1430"/>
      <c r="Z77" s="1430"/>
      <c r="AA77" s="1430"/>
      <c r="AB77" s="1431"/>
      <c r="AC77" s="1427"/>
      <c r="AD77" s="1427"/>
      <c r="AE77" s="1345"/>
      <c r="AF77" s="1345"/>
      <c r="AG77" s="1345"/>
    </row>
    <row r="78" spans="2:33" s="1437" customFormat="1" ht="13.5" hidden="1" customHeight="1">
      <c r="B78" s="1434" t="s">
        <v>143</v>
      </c>
      <c r="C78" s="1435"/>
      <c r="D78" s="1435"/>
      <c r="E78" s="1435"/>
      <c r="F78" s="1435"/>
      <c r="G78" s="1435"/>
      <c r="H78" s="1435"/>
      <c r="I78" s="1435"/>
      <c r="J78" s="1435">
        <f>+PROJ!BH207</f>
        <v>571.29999999999995</v>
      </c>
      <c r="K78" s="1435">
        <f>+PROJ!BI207</f>
        <v>790.7</v>
      </c>
      <c r="L78" s="1435">
        <f>+PROJ!BJ207</f>
        <v>1513</v>
      </c>
      <c r="M78" s="1435">
        <f>+PROJ!BK207</f>
        <v>1102.8</v>
      </c>
      <c r="N78" s="1435">
        <f>+PROJ!BL207</f>
        <v>1032.8</v>
      </c>
      <c r="O78" s="1435">
        <f>+PROJ!BM207</f>
        <v>634.1128254648745</v>
      </c>
      <c r="P78" s="1435">
        <f>+PROJ!BN207</f>
        <v>529.32799999999997</v>
      </c>
      <c r="Q78" s="1435">
        <f>+PROJ!BO207</f>
        <v>515.81302663935526</v>
      </c>
      <c r="R78" s="1435">
        <f>+PROJ!BP207</f>
        <v>570.58168301187015</v>
      </c>
      <c r="S78" s="1435">
        <f>+PROJ!BQ207</f>
        <v>592.5910010605453</v>
      </c>
      <c r="T78" s="1435">
        <f>+PROJ!BR207</f>
        <v>615.15744569525884</v>
      </c>
      <c r="U78" s="1723">
        <f>+PROJ!BS207</f>
        <v>636.89989883449232</v>
      </c>
      <c r="V78" s="1436"/>
      <c r="W78" s="1436"/>
      <c r="X78" s="1436"/>
      <c r="Y78" s="1436"/>
      <c r="Z78" s="1436"/>
      <c r="AA78" s="1436"/>
      <c r="AB78" s="1427"/>
      <c r="AC78" s="1427"/>
      <c r="AD78" s="1427"/>
      <c r="AE78" s="1345"/>
      <c r="AF78" s="1345"/>
      <c r="AG78" s="1345"/>
    </row>
    <row r="79" spans="2:33" s="1437" customFormat="1" ht="13.5" hidden="1" customHeight="1">
      <c r="B79" s="1434" t="s">
        <v>149</v>
      </c>
      <c r="C79" s="1435"/>
      <c r="D79" s="1435"/>
      <c r="E79" s="1435"/>
      <c r="F79" s="1435"/>
      <c r="G79" s="1435"/>
      <c r="H79" s="1435"/>
      <c r="I79" s="1435"/>
      <c r="J79" s="1435">
        <f>+PROJ!BH146</f>
        <v>526.19999999999982</v>
      </c>
      <c r="K79" s="1435">
        <f>+PROJ!BI146</f>
        <v>-128.5</v>
      </c>
      <c r="L79" s="1435">
        <f>+PROJ!BJ146</f>
        <v>1259.7999999999975</v>
      </c>
      <c r="M79" s="1435">
        <f>+PROJ!BK146</f>
        <v>575.5</v>
      </c>
      <c r="N79" s="1435">
        <f>+PROJ!BL146</f>
        <v>-446.59999999999854</v>
      </c>
      <c r="O79" s="1435">
        <f>+PROJ!BM146</f>
        <v>1914.9049750000004</v>
      </c>
      <c r="P79" s="1435">
        <f>+PROJ!BN146</f>
        <v>2892.5599999999995</v>
      </c>
      <c r="Q79" s="1435">
        <f>+PROJ!BO146</f>
        <v>3127.3978355520157</v>
      </c>
      <c r="R79" s="1435">
        <f>+PROJ!BP146</f>
        <v>3179.7081115983956</v>
      </c>
      <c r="S79" s="1435">
        <f>+PROJ!BQ146</f>
        <v>3301.958952809011</v>
      </c>
      <c r="T79" s="1435">
        <f>+PROJ!BR146</f>
        <v>3426.8790956275097</v>
      </c>
      <c r="U79" s="1723">
        <f>+PROJ!BS146</f>
        <v>3547.2049932194941</v>
      </c>
      <c r="V79" s="1436"/>
      <c r="W79" s="1436"/>
      <c r="X79" s="1436"/>
      <c r="Y79" s="1436"/>
      <c r="Z79" s="1436"/>
      <c r="AA79" s="1436"/>
      <c r="AB79" s="1427"/>
    </row>
    <row r="80" spans="2:33" s="1437" customFormat="1" ht="13.5" hidden="1" customHeight="1">
      <c r="B80" s="1434" t="s">
        <v>150</v>
      </c>
      <c r="C80" s="1435"/>
      <c r="D80" s="1435"/>
      <c r="E80" s="1435"/>
      <c r="F80" s="1435"/>
      <c r="G80" s="1435"/>
      <c r="H80" s="1435"/>
      <c r="I80" s="1435"/>
      <c r="J80" s="1435">
        <f>+PROJ!BH168</f>
        <v>8.5405772899679562</v>
      </c>
      <c r="K80" s="1435">
        <f>+PROJ!BI168</f>
        <v>-16.053364317201144</v>
      </c>
      <c r="L80" s="1435">
        <f>+PROJ!BJ168</f>
        <v>-21.853603635415425</v>
      </c>
      <c r="M80" s="1435">
        <f>+PROJ!BK168</f>
        <v>-17.718771296898581</v>
      </c>
      <c r="N80" s="1435">
        <f>+PROJ!BL168</f>
        <v>-38.918941666776618</v>
      </c>
      <c r="O80" s="1435">
        <f>+PROJ!BM168</f>
        <v>-48.813649898083042</v>
      </c>
      <c r="P80" s="1435">
        <f>+PROJ!BN168</f>
        <v>-39.738727107875803</v>
      </c>
      <c r="Q80" s="1435">
        <f>+PROJ!BO168</f>
        <v>-35.034341905553987</v>
      </c>
      <c r="R80" s="1435">
        <f>+PROJ!BP168</f>
        <v>-35.034341905553987</v>
      </c>
      <c r="S80" s="1435">
        <f>+PROJ!BQ168</f>
        <v>-35.034341905553987</v>
      </c>
      <c r="T80" s="1435">
        <f>+PROJ!BR168</f>
        <v>-35.034341905553987</v>
      </c>
      <c r="U80" s="1723">
        <f>+PROJ!BS168</f>
        <v>-35.034341905553987</v>
      </c>
      <c r="V80" s="1436"/>
      <c r="W80" s="1436"/>
      <c r="X80" s="1436"/>
      <c r="Y80" s="1436"/>
      <c r="Z80" s="1436"/>
      <c r="AA80" s="1436"/>
      <c r="AB80" s="1427"/>
    </row>
    <row r="81" spans="2:33" s="1437" customFormat="1" ht="13.5" hidden="1" customHeight="1">
      <c r="B81" s="1434"/>
      <c r="C81" s="1435"/>
      <c r="D81" s="1435"/>
      <c r="E81" s="1435"/>
      <c r="F81" s="1435"/>
      <c r="G81" s="1435"/>
      <c r="H81" s="1435"/>
      <c r="I81" s="1435"/>
      <c r="J81" s="1435"/>
      <c r="K81" s="1435"/>
      <c r="L81" s="1435"/>
      <c r="M81" s="1435"/>
      <c r="N81" s="1435"/>
      <c r="O81" s="1435"/>
      <c r="P81" s="1435"/>
      <c r="Q81" s="1435"/>
      <c r="R81" s="1435"/>
      <c r="S81" s="1435"/>
      <c r="T81" s="1435"/>
      <c r="U81" s="1723"/>
      <c r="V81" s="1436"/>
      <c r="W81" s="1436"/>
      <c r="X81" s="1436"/>
      <c r="Y81" s="1436"/>
      <c r="Z81" s="1436"/>
      <c r="AA81" s="1436"/>
      <c r="AB81" s="1427"/>
    </row>
    <row r="82" spans="2:33" s="1433" customFormat="1" ht="13.5" hidden="1" customHeight="1">
      <c r="B82" s="1428" t="s">
        <v>151</v>
      </c>
      <c r="C82" s="1429"/>
      <c r="D82" s="1429"/>
      <c r="E82" s="1429"/>
      <c r="F82" s="1429"/>
      <c r="G82" s="1430" t="e">
        <f ca="1">+G38/VP!$C$16</f>
        <v>#REF!</v>
      </c>
      <c r="H82" s="1430" t="e">
        <f ca="1">+H38/VP!$C$16</f>
        <v>#REF!</v>
      </c>
      <c r="I82" s="1430" t="e">
        <f ca="1">+I38/VP!$C$16</f>
        <v>#REF!</v>
      </c>
      <c r="J82" s="1430" t="e">
        <f ca="1">+J38/VP!$C$16</f>
        <v>#REF!</v>
      </c>
      <c r="K82" s="1430">
        <f ca="1">+K38/VP!$C$16</f>
        <v>-0.49244920912758722</v>
      </c>
      <c r="L82" s="1430" t="e">
        <f ca="1">+L38/VP!$C$16</f>
        <v>#REF!</v>
      </c>
      <c r="M82" s="1430">
        <f ca="1">+M38/VP!$C$16</f>
        <v>-2.0794320792574781</v>
      </c>
      <c r="N82" s="1430">
        <f ca="1">+N38/VP!$C$16</f>
        <v>2.1672659224742783</v>
      </c>
      <c r="O82" s="1430">
        <f ca="1">+O38/VP!$C$16</f>
        <v>-0.55826822344708882</v>
      </c>
      <c r="P82" s="1430">
        <f ca="1">+P38/VP!$C$16</f>
        <v>-1.6024884172887941</v>
      </c>
      <c r="Q82" s="1430">
        <f ca="1">+Q38/VP!$C$16</f>
        <v>0.74404033699735228</v>
      </c>
      <c r="R82" s="1430">
        <f ca="1">+R38/VP!$C$16</f>
        <v>0.94384855491014064</v>
      </c>
      <c r="S82" s="1430">
        <f ca="1">+S38/VP!$C$16</f>
        <v>1.0281786285439765</v>
      </c>
      <c r="T82" s="1430">
        <f ca="1">+T38/VP!$C$16</f>
        <v>1.1528399735230974</v>
      </c>
      <c r="U82" s="1722">
        <f ca="1">+U38/VP!$C$16</f>
        <v>1.1525467374545333</v>
      </c>
      <c r="V82" s="1430"/>
      <c r="W82" s="1430"/>
      <c r="X82" s="1430"/>
      <c r="Y82" s="1430"/>
      <c r="Z82" s="1430"/>
      <c r="AA82" s="1430"/>
      <c r="AB82" s="1431"/>
      <c r="AC82" s="1427"/>
      <c r="AD82" s="1427"/>
      <c r="AE82" s="1345"/>
      <c r="AF82" s="1345"/>
      <c r="AG82" s="1345"/>
    </row>
    <row r="83" spans="2:33" ht="13.5" customHeight="1">
      <c r="B83" s="1438"/>
      <c r="U83" s="1724"/>
      <c r="AC83" s="1337"/>
      <c r="AD83" s="1337"/>
    </row>
    <row r="84" spans="2:33" s="1437" customFormat="1" ht="13.5" customHeight="1">
      <c r="B84" s="1707" t="s">
        <v>152</v>
      </c>
      <c r="C84" s="1708" t="e">
        <f ca="1">C69/C38</f>
        <v>#REF!</v>
      </c>
      <c r="D84" s="1708"/>
      <c r="E84" s="1708"/>
      <c r="F84" s="1708"/>
      <c r="G84" s="1708" t="e">
        <f t="shared" ref="G84:U84" ca="1" si="59">G69/G38</f>
        <v>#REF!</v>
      </c>
      <c r="H84" s="1708" t="e">
        <f t="shared" ca="1" si="59"/>
        <v>#REF!</v>
      </c>
      <c r="I84" s="1708" t="e">
        <f t="shared" ca="1" si="59"/>
        <v>#REF!</v>
      </c>
      <c r="J84" s="1708" t="e">
        <f t="shared" ca="1" si="59"/>
        <v>#REF!</v>
      </c>
      <c r="K84" s="1708">
        <f t="shared" ca="1" si="59"/>
        <v>-21.362609188949683</v>
      </c>
      <c r="L84" s="1708" t="e">
        <f t="shared" ca="1" si="59"/>
        <v>#REF!</v>
      </c>
      <c r="M84" s="1708">
        <f t="shared" ca="1" si="59"/>
        <v>-5.0590736311793716</v>
      </c>
      <c r="N84" s="1708">
        <f t="shared" ca="1" si="59"/>
        <v>4.8540420863489375</v>
      </c>
      <c r="O84" s="1708">
        <f t="shared" ca="1" si="59"/>
        <v>-18.843988531253128</v>
      </c>
      <c r="P84" s="1708">
        <f t="shared" ca="1" si="59"/>
        <v>-6.5647900393554774</v>
      </c>
      <c r="Q84" s="1708">
        <f ca="1">Q69/Q38</f>
        <v>14.139018379641204</v>
      </c>
      <c r="R84" s="1708">
        <f t="shared" ca="1" si="59"/>
        <v>11.145855916473336</v>
      </c>
      <c r="S84" s="1708">
        <f t="shared" ca="1" si="59"/>
        <v>10.231685144922313</v>
      </c>
      <c r="T84" s="1708">
        <f t="shared" ca="1" si="59"/>
        <v>9.1252907963025542</v>
      </c>
      <c r="U84" s="1709">
        <f t="shared" ca="1" si="59"/>
        <v>9.1276124933848966</v>
      </c>
      <c r="V84" s="1436"/>
      <c r="W84" s="1436"/>
      <c r="X84" s="1436"/>
      <c r="Y84" s="1436"/>
      <c r="Z84" s="1436"/>
      <c r="AA84" s="1436"/>
      <c r="AB84" s="1427"/>
      <c r="AC84" s="1437" t="s">
        <v>153</v>
      </c>
    </row>
    <row r="85" spans="2:33" s="1437" customFormat="1" ht="13.5" customHeight="1">
      <c r="B85" s="1439"/>
      <c r="C85" s="1436"/>
      <c r="D85" s="1436"/>
      <c r="E85" s="1436"/>
      <c r="F85" s="1436"/>
      <c r="G85" s="1436"/>
      <c r="H85" s="1436"/>
      <c r="I85" s="1436"/>
      <c r="J85" s="1436"/>
      <c r="K85" s="1436"/>
      <c r="L85" s="1436"/>
      <c r="M85" s="1436"/>
      <c r="N85" s="1436"/>
      <c r="O85" s="1436"/>
      <c r="P85" s="1436"/>
      <c r="Q85" s="1436"/>
      <c r="R85" s="1436"/>
      <c r="S85" s="1436"/>
      <c r="T85" s="1436"/>
      <c r="U85" s="1725"/>
      <c r="V85" s="1436"/>
      <c r="W85" s="1436"/>
      <c r="X85" s="1436"/>
      <c r="Y85" s="1436"/>
      <c r="Z85" s="1436"/>
      <c r="AA85" s="1436"/>
      <c r="AB85" s="1427"/>
    </row>
    <row r="86" spans="2:33" s="1437" customFormat="1" ht="13.5" customHeight="1">
      <c r="B86" s="1439" t="s">
        <v>154</v>
      </c>
      <c r="C86" s="1436"/>
      <c r="D86" s="1436"/>
      <c r="E86" s="1436"/>
      <c r="F86" s="1436"/>
      <c r="G86" s="1436"/>
      <c r="H86" s="1436"/>
      <c r="I86" s="1436"/>
      <c r="J86" s="1436"/>
      <c r="K86" s="1436"/>
      <c r="L86" s="1436"/>
      <c r="M86" s="1436"/>
      <c r="N86" s="1579"/>
      <c r="O86" s="1579">
        <f t="shared" ref="O86:U86" ca="1" si="60">1/O84</f>
        <v>-5.3067321620445702E-2</v>
      </c>
      <c r="P86" s="1579">
        <f t="shared" ca="1" si="60"/>
        <v>-0.15232779632022758</v>
      </c>
      <c r="Q86" s="1579">
        <f t="shared" ca="1" si="60"/>
        <v>7.0726267775413715E-2</v>
      </c>
      <c r="R86" s="1579">
        <f t="shared" ca="1" si="60"/>
        <v>8.9719444383093219E-2</v>
      </c>
      <c r="S86" s="1579">
        <f t="shared" ca="1" si="60"/>
        <v>9.7735611078324749E-2</v>
      </c>
      <c r="T86" s="1579">
        <f t="shared" ca="1" si="60"/>
        <v>0.10958554881398264</v>
      </c>
      <c r="U86" s="1726">
        <f t="shared" ca="1" si="60"/>
        <v>0.10955767466297844</v>
      </c>
      <c r="V86" s="1436"/>
      <c r="W86" s="1436"/>
      <c r="X86" s="1436"/>
      <c r="Y86" s="1436"/>
      <c r="Z86" s="1436"/>
      <c r="AA86" s="1436"/>
      <c r="AB86" s="1427"/>
    </row>
    <row r="87" spans="2:33" s="1437" customFormat="1" ht="13.5" customHeight="1">
      <c r="B87" s="1439"/>
      <c r="C87" s="1436"/>
      <c r="D87" s="1436"/>
      <c r="E87" s="1436"/>
      <c r="F87" s="1436"/>
      <c r="G87" s="1436"/>
      <c r="H87" s="1436"/>
      <c r="I87" s="1436"/>
      <c r="J87" s="1436"/>
      <c r="K87" s="1436"/>
      <c r="L87" s="1436"/>
      <c r="M87" s="1436"/>
      <c r="N87" s="1436"/>
      <c r="O87" s="1436"/>
      <c r="P87" s="1436"/>
      <c r="Q87" s="1436"/>
      <c r="R87" s="1436"/>
      <c r="S87" s="1436"/>
      <c r="T87" s="1436"/>
      <c r="U87" s="1725"/>
      <c r="V87" s="1436"/>
      <c r="W87" s="1436"/>
      <c r="X87" s="1436"/>
      <c r="Y87" s="1436"/>
      <c r="Z87" s="1436"/>
      <c r="AA87" s="1436"/>
      <c r="AB87" s="1427"/>
    </row>
    <row r="88" spans="2:33" s="1414" customFormat="1" ht="13.5" customHeight="1">
      <c r="B88" s="1424" t="s">
        <v>155</v>
      </c>
      <c r="C88" s="1425">
        <f ca="1">+VP!$C$16</f>
        <v>1374.558</v>
      </c>
      <c r="D88" s="1425"/>
      <c r="E88" s="1425"/>
      <c r="F88" s="1425"/>
      <c r="G88" s="1425">
        <f ca="1">+C88</f>
        <v>1374.558</v>
      </c>
      <c r="H88" s="1425">
        <f ca="1">+G88</f>
        <v>1374.558</v>
      </c>
      <c r="I88" s="1425">
        <f ca="1">+VP!$C$16</f>
        <v>1374.558</v>
      </c>
      <c r="J88" s="1425">
        <f ca="1">+VP!$C$16</f>
        <v>1374.558</v>
      </c>
      <c r="K88" s="1425">
        <f ca="1">+VP!$C$16</f>
        <v>1374.558</v>
      </c>
      <c r="L88" s="1425">
        <f ca="1">+VP!$C$16</f>
        <v>1374.558</v>
      </c>
      <c r="M88" s="1425">
        <f ca="1">+VP!$C$16</f>
        <v>1374.558</v>
      </c>
      <c r="N88" s="1425">
        <f ca="1">+VP!$C$16</f>
        <v>1374.558</v>
      </c>
      <c r="O88" s="1425">
        <f ca="1">+VP!$C$16</f>
        <v>1374.558</v>
      </c>
      <c r="P88" s="1425">
        <f ca="1">+VP!$C$16</f>
        <v>1374.558</v>
      </c>
      <c r="Q88" s="1425">
        <f ca="1">+VP!$C$16</f>
        <v>1374.558</v>
      </c>
      <c r="R88" s="1425">
        <f ca="1">+VP!$C$16</f>
        <v>1374.558</v>
      </c>
      <c r="S88" s="1425">
        <f ca="1">+VP!$C$16</f>
        <v>1374.558</v>
      </c>
      <c r="T88" s="1425">
        <f ca="1">+VP!$C$16</f>
        <v>1374.558</v>
      </c>
      <c r="U88" s="1721">
        <f ca="1">+VP!$C$16</f>
        <v>1374.558</v>
      </c>
      <c r="V88" s="1347"/>
      <c r="W88" s="1347"/>
      <c r="X88" s="1347"/>
      <c r="Y88" s="1347"/>
      <c r="Z88" s="1347"/>
      <c r="AA88" s="1347"/>
      <c r="AB88" s="1417"/>
    </row>
    <row r="89" spans="2:33" s="1414" customFormat="1" ht="13.5" customHeight="1">
      <c r="B89" s="1424"/>
      <c r="C89" s="1425"/>
      <c r="D89" s="1425"/>
      <c r="E89" s="1425"/>
      <c r="F89" s="1425"/>
      <c r="G89" s="1425"/>
      <c r="H89" s="1425"/>
      <c r="I89" s="1425"/>
      <c r="J89" s="1425"/>
      <c r="K89" s="1425"/>
      <c r="L89" s="1425"/>
      <c r="M89" s="1425"/>
      <c r="N89" s="1425"/>
      <c r="O89" s="1425"/>
      <c r="P89" s="1425"/>
      <c r="Q89" s="1425"/>
      <c r="R89" s="1425"/>
      <c r="S89" s="1425"/>
      <c r="T89" s="1425"/>
      <c r="U89" s="1721"/>
      <c r="V89" s="1347"/>
      <c r="W89" s="1347"/>
      <c r="X89" s="1347"/>
      <c r="Y89" s="1347"/>
      <c r="Z89" s="1347"/>
      <c r="AA89" s="1347"/>
      <c r="AB89" s="1417"/>
    </row>
    <row r="90" spans="2:33" s="1414" customFormat="1" ht="13.5" customHeight="1">
      <c r="B90" s="1424" t="s">
        <v>156</v>
      </c>
      <c r="C90" s="1425"/>
      <c r="D90" s="1425"/>
      <c r="E90" s="1425"/>
      <c r="F90" s="1425"/>
      <c r="G90" s="1425"/>
      <c r="H90" s="1425"/>
      <c r="I90" s="1425"/>
      <c r="J90" s="1440">
        <f t="shared" ref="J90:U90" si="61">+J70/J47</f>
        <v>0.98760886849047735</v>
      </c>
      <c r="K90" s="1440">
        <f t="shared" si="61"/>
        <v>1.5620475403294767</v>
      </c>
      <c r="L90" s="1440">
        <f t="shared" si="61"/>
        <v>1.7215018286912731</v>
      </c>
      <c r="M90" s="1440">
        <f t="shared" si="61"/>
        <v>3.5604405905788616</v>
      </c>
      <c r="N90" s="1440">
        <f t="shared" si="61"/>
        <v>-1.0932293933891799</v>
      </c>
      <c r="O90" s="1440">
        <f t="shared" si="61"/>
        <v>-0.55041416236807195</v>
      </c>
      <c r="P90" s="1440">
        <f t="shared" si="61"/>
        <v>1.5813664835449974</v>
      </c>
      <c r="Q90" s="1440">
        <f t="shared" si="61"/>
        <v>0.96819701667917857</v>
      </c>
      <c r="R90" s="1440">
        <f t="shared" si="61"/>
        <v>0.57071915222620395</v>
      </c>
      <c r="S90" s="1440">
        <f t="shared" si="61"/>
        <v>0.1907368938547461</v>
      </c>
      <c r="T90" s="1440">
        <f t="shared" si="61"/>
        <v>-0.20974099340819577</v>
      </c>
      <c r="U90" s="1440">
        <f t="shared" si="61"/>
        <v>-0.56303969023196609</v>
      </c>
      <c r="V90" s="1347"/>
      <c r="W90" s="1347"/>
      <c r="X90" s="1347"/>
      <c r="Y90" s="1347"/>
      <c r="Z90" s="1347"/>
      <c r="AA90" s="1347"/>
      <c r="AB90" s="1417"/>
    </row>
    <row r="91" spans="2:33" ht="13.5" customHeight="1">
      <c r="B91" s="1438" t="s">
        <v>157</v>
      </c>
      <c r="C91" s="1441">
        <f ca="1">C69/PROJ!BD140</f>
        <v>14.063943838955206</v>
      </c>
      <c r="D91" s="1441"/>
      <c r="E91" s="1441"/>
      <c r="F91" s="1441"/>
      <c r="G91" s="1441">
        <f ca="1">G69/PROJ!BE140</f>
        <v>14.512813982546907</v>
      </c>
      <c r="H91" s="1441">
        <f ca="1">H69/PROJ!BF140</f>
        <v>8.8456250451140424</v>
      </c>
      <c r="I91" s="1441">
        <f ca="1">I69/PROJ!BG140</f>
        <v>5.6176290450028787</v>
      </c>
      <c r="J91" s="1441">
        <f ca="1">J69/PROJ!BH140</f>
        <v>4.3007316896172263</v>
      </c>
      <c r="K91" s="1441">
        <f ca="1">K69/PROJ!BI140</f>
        <v>0.52843851880004244</v>
      </c>
      <c r="L91" s="1441">
        <f ca="1">L69/PROJ!BJ140</f>
        <v>0.50657019505633094</v>
      </c>
      <c r="M91" s="1441">
        <f ca="1">M69/PROJ!BK140</f>
        <v>0.64749672722062268</v>
      </c>
      <c r="N91" s="1441">
        <f ca="1">N69/PROJ!BL140</f>
        <v>0.62590247931022536</v>
      </c>
      <c r="O91" s="1441">
        <f ca="1">O69/PROJ!BM140</f>
        <v>1.5700850833042432</v>
      </c>
      <c r="P91" s="1441">
        <f ca="1">P69/PROJ!BN140</f>
        <v>1.1143309945278888</v>
      </c>
      <c r="Q91" s="1441">
        <f ca="1">Q69/PROJ!BO140</f>
        <v>1.0329237222688308</v>
      </c>
      <c r="R91" s="1441">
        <f ca="1">R69/PROJ!BP140</f>
        <v>0.96554241886938241</v>
      </c>
      <c r="S91" s="1441">
        <f ca="1">S69/PROJ!BQ140</f>
        <v>0.90164089959757765</v>
      </c>
      <c r="T91" s="1441">
        <f ca="1">T69/PROJ!BR140</f>
        <v>0.83946522757557629</v>
      </c>
      <c r="U91" s="1727">
        <f ca="1">U69/PROJ!BS140</f>
        <v>0.78689347121841813</v>
      </c>
      <c r="V91" s="1441"/>
      <c r="W91" s="1441"/>
      <c r="X91" s="1441"/>
      <c r="Y91" s="1441"/>
      <c r="Z91" s="1441"/>
      <c r="AA91" s="1441"/>
      <c r="AB91" s="1426"/>
      <c r="AC91" s="1337"/>
      <c r="AD91" s="1337"/>
    </row>
    <row r="92" spans="2:33" ht="13.5" customHeight="1">
      <c r="B92" s="1438" t="s">
        <v>158</v>
      </c>
      <c r="C92" s="1441">
        <f ca="1">C71/C47</f>
        <v>11.506485166120733</v>
      </c>
      <c r="D92" s="1441"/>
      <c r="E92" s="1441"/>
      <c r="F92" s="1441"/>
      <c r="G92" s="1441">
        <f t="shared" ref="G92:U92" ca="1" si="62">G71/G47</f>
        <v>12.056852071218046</v>
      </c>
      <c r="H92" s="1441">
        <f t="shared" ca="1" si="62"/>
        <v>11.551218935699255</v>
      </c>
      <c r="I92" s="1441">
        <f t="shared" ca="1" si="62"/>
        <v>10.818468664744756</v>
      </c>
      <c r="J92" s="1441">
        <f t="shared" ca="1" si="62"/>
        <v>3.7093870387770593</v>
      </c>
      <c r="K92" s="1441">
        <f t="shared" ca="1" si="62"/>
        <v>5.6834492846149489</v>
      </c>
      <c r="L92" s="1441">
        <f t="shared" ca="1" si="62"/>
        <v>5.4198956904268734</v>
      </c>
      <c r="M92" s="1441">
        <f t="shared" ca="1" si="62"/>
        <v>10.338200215608158</v>
      </c>
      <c r="N92" s="1441">
        <f t="shared" ca="1" si="62"/>
        <v>8.4110571656271897</v>
      </c>
      <c r="O92" s="1441">
        <f t="shared" ca="1" si="62"/>
        <v>7.2636600012784278</v>
      </c>
      <c r="P92" s="1441">
        <f t="shared" ca="1" si="62"/>
        <v>8.107128829437098</v>
      </c>
      <c r="Q92" s="1441">
        <f t="shared" ca="1" si="62"/>
        <v>6.5183033879593237</v>
      </c>
      <c r="R92" s="1441">
        <f t="shared" ca="1" si="62"/>
        <v>5.9574498269054335</v>
      </c>
      <c r="S92" s="1441">
        <f t="shared" ca="1" si="62"/>
        <v>5.5526293366812967</v>
      </c>
      <c r="T92" s="1441">
        <f t="shared" ca="1" si="62"/>
        <v>4.9795558072358546</v>
      </c>
      <c r="U92" s="1727">
        <f t="shared" ca="1" si="62"/>
        <v>4.4646873575504493</v>
      </c>
      <c r="V92" s="1441"/>
      <c r="W92" s="1441"/>
      <c r="X92" s="1441"/>
      <c r="Y92" s="1441"/>
      <c r="Z92" s="1441"/>
      <c r="AA92" s="1441"/>
      <c r="AB92" s="1426"/>
      <c r="AC92" s="1337"/>
      <c r="AD92" s="1337"/>
    </row>
    <row r="93" spans="2:33" ht="13.5" customHeight="1">
      <c r="B93" s="1442" t="s">
        <v>159</v>
      </c>
      <c r="C93" s="1441">
        <f ca="1">+C71/C3</f>
        <v>2.1790797771869856</v>
      </c>
      <c r="D93" s="1441"/>
      <c r="E93" s="1441"/>
      <c r="F93" s="1441"/>
      <c r="G93" s="1441">
        <f t="shared" ref="G93:U93" ca="1" si="63">+G71/G3</f>
        <v>2.0917831503698867</v>
      </c>
      <c r="H93" s="1441">
        <f t="shared" ca="1" si="63"/>
        <v>2.0422540945105383</v>
      </c>
      <c r="I93" s="1441">
        <f t="shared" ca="1" si="63"/>
        <v>1.0815363398500524</v>
      </c>
      <c r="J93" s="1441">
        <f t="shared" ca="1" si="63"/>
        <v>0.9999619526996516</v>
      </c>
      <c r="K93" s="1441">
        <f t="shared" ca="1" si="63"/>
        <v>0.41807556366228482</v>
      </c>
      <c r="L93" s="1441">
        <f t="shared" ca="1" si="63"/>
        <v>0.41033165699149182</v>
      </c>
      <c r="M93" s="1441">
        <f t="shared" ca="1" si="63"/>
        <v>0.46820644553223834</v>
      </c>
      <c r="N93" s="1441">
        <f t="shared" ca="1" si="63"/>
        <v>0.33521660568255363</v>
      </c>
      <c r="O93" s="1441">
        <f t="shared" ca="1" si="63"/>
        <v>0.42555024306058431</v>
      </c>
      <c r="P93" s="1757">
        <f t="shared" ca="1" si="63"/>
        <v>0.60907275723178333</v>
      </c>
      <c r="Q93" s="1441">
        <f t="shared" ca="1" si="63"/>
        <v>0.55971724626732977</v>
      </c>
      <c r="R93" s="1441">
        <f t="shared" ca="1" si="63"/>
        <v>0.50450865395946587</v>
      </c>
      <c r="S93" s="1441">
        <f t="shared" ca="1" si="63"/>
        <v>0.45485905832801776</v>
      </c>
      <c r="T93" s="1441">
        <f t="shared" ca="1" si="63"/>
        <v>0.40601971588372793</v>
      </c>
      <c r="U93" s="1727">
        <f t="shared" ca="1" si="63"/>
        <v>0.36291046788681036</v>
      </c>
      <c r="V93" s="1441"/>
      <c r="W93" s="1441"/>
      <c r="X93" s="1441"/>
      <c r="Y93" s="1441"/>
      <c r="Z93" s="1441"/>
      <c r="AA93" s="1441"/>
      <c r="AB93" s="1426"/>
      <c r="AC93" s="1426"/>
      <c r="AD93" s="1426"/>
    </row>
    <row r="94" spans="2:33" ht="13.5" customHeight="1">
      <c r="B94" s="1438" t="s">
        <v>160</v>
      </c>
      <c r="C94" s="1445" t="e">
        <f>+PROJ!BD271</f>
        <v>#REF!</v>
      </c>
      <c r="D94" s="1445"/>
      <c r="E94" s="1445"/>
      <c r="F94" s="1445"/>
      <c r="G94" s="1445" t="e">
        <f>+PROJ!BE271</f>
        <v>#REF!</v>
      </c>
      <c r="H94" s="1445" t="e">
        <f>+PROJ!BF271</f>
        <v>#REF!</v>
      </c>
      <c r="I94" s="1445" t="e">
        <f>+PROJ!BG271</f>
        <v>#REF!</v>
      </c>
      <c r="J94" s="1445" t="e">
        <f>+PROJ!BH271</f>
        <v>#REF!</v>
      </c>
      <c r="K94" s="1445">
        <f>+PROJ!BI271</f>
        <v>-4.4059544498903105E-2</v>
      </c>
      <c r="L94" s="1445" t="e">
        <f>+PROJ!BJ271</f>
        <v>#REF!</v>
      </c>
      <c r="M94" s="1445">
        <f>+PROJ!BK271</f>
        <v>-0.11235831385875709</v>
      </c>
      <c r="N94" s="1445">
        <f>+PROJ!BL271</f>
        <v>0.13113122935231386</v>
      </c>
      <c r="O94" s="1445">
        <f>+PROJ!BM271</f>
        <v>-0.55275215977691916</v>
      </c>
      <c r="P94" s="1445">
        <f>+PROJ!BN271</f>
        <v>-0.19856226658102802</v>
      </c>
      <c r="Q94" s="1445">
        <f>+PROJ!BO271</f>
        <v>7.5824513619419567E-2</v>
      </c>
      <c r="R94" s="1445">
        <f>+PROJ!BP271</f>
        <v>8.9548720785357222E-2</v>
      </c>
      <c r="S94" s="1445">
        <f>+PROJ!BQ271</f>
        <v>9.1138280713277009E-2</v>
      </c>
      <c r="T94" s="1445">
        <f>+PROJ!BR271</f>
        <v>9.5278377706794828E-2</v>
      </c>
      <c r="U94" s="1728">
        <f>+PROJ!BS271</f>
        <v>8.89969489434142E-2</v>
      </c>
      <c r="V94" s="1441"/>
      <c r="W94" s="1441"/>
      <c r="X94" s="1441"/>
      <c r="Y94" s="1441"/>
      <c r="Z94" s="1441"/>
      <c r="AA94" s="1441"/>
      <c r="AB94" s="1435"/>
      <c r="AC94" s="1435"/>
      <c r="AD94" s="1435"/>
    </row>
    <row r="95" spans="2:33" ht="13.5" customHeight="1">
      <c r="B95" s="1443" t="s">
        <v>81</v>
      </c>
      <c r="C95" s="1444" t="e">
        <f>+PROJ!BD272</f>
        <v>#REF!</v>
      </c>
      <c r="D95" s="1444"/>
      <c r="E95" s="1444"/>
      <c r="F95" s="1444"/>
      <c r="G95" s="1444" t="e">
        <f>+PROJ!BE272</f>
        <v>#REF!</v>
      </c>
      <c r="H95" s="1444" t="e">
        <f>+PROJ!BF272</f>
        <v>#REF!</v>
      </c>
      <c r="I95" s="1444" t="e">
        <f>+PROJ!BG272</f>
        <v>#REF!</v>
      </c>
      <c r="J95" s="1444" t="e">
        <f>+PROJ!BH272</f>
        <v>#REF!</v>
      </c>
      <c r="K95" s="1444" t="e">
        <f>+PROJ!BI272</f>
        <v>#REF!</v>
      </c>
      <c r="L95" s="1444" t="e">
        <f>+PROJ!BJ272</f>
        <v>#REF!</v>
      </c>
      <c r="M95" s="1444" t="e">
        <f>+PROJ!BK272</f>
        <v>#REF!</v>
      </c>
      <c r="N95" s="1444" t="e">
        <f>+PROJ!BL272</f>
        <v>#REF!</v>
      </c>
      <c r="O95" s="1444">
        <f>+PROJ!BM272</f>
        <v>4.3738662722969168E-2</v>
      </c>
      <c r="P95" s="1444">
        <f>+PROJ!BN272</f>
        <v>7.6702247179934055E-2</v>
      </c>
      <c r="Q95" s="1444">
        <f>+PROJ!BO272</f>
        <v>6.7200610041556405E-2</v>
      </c>
      <c r="R95" s="1444">
        <f>+PROJ!BP272</f>
        <v>7.5251672629615809E-2</v>
      </c>
      <c r="S95" s="1444">
        <f>+PROJ!BQ272</f>
        <v>7.8198415711480826E-2</v>
      </c>
      <c r="T95" s="1444">
        <f>+PROJ!BR272</f>
        <v>8.2040398980818663E-2</v>
      </c>
      <c r="U95" s="1729">
        <f>+PROJ!BS272</f>
        <v>8.5650762472810588E-2</v>
      </c>
      <c r="V95" s="1445"/>
      <c r="W95" s="1445"/>
      <c r="X95" s="1445"/>
      <c r="Y95" s="1445"/>
      <c r="Z95" s="1445"/>
      <c r="AA95" s="1445"/>
      <c r="AB95" s="1446"/>
      <c r="AC95" s="1446"/>
      <c r="AD95" s="1446"/>
    </row>
    <row r="96" spans="2:33" ht="13.5" customHeight="1">
      <c r="C96" s="1445"/>
      <c r="D96" s="1445"/>
      <c r="E96" s="1445"/>
      <c r="F96" s="1445"/>
      <c r="G96" s="1445"/>
      <c r="H96" s="1445"/>
      <c r="I96" s="1445"/>
      <c r="J96" s="1445"/>
      <c r="K96" s="1445"/>
      <c r="L96" s="1445"/>
      <c r="M96" s="1445"/>
      <c r="N96" s="1445"/>
      <c r="O96" s="1445"/>
      <c r="P96" s="1445"/>
      <c r="Q96" s="1445"/>
      <c r="R96" s="1445"/>
      <c r="S96" s="1445"/>
      <c r="T96" s="1445"/>
      <c r="U96" s="1445"/>
      <c r="V96" s="1445"/>
      <c r="W96" s="1445"/>
      <c r="X96" s="1445"/>
      <c r="Y96" s="1445"/>
      <c r="Z96" s="1445"/>
      <c r="AA96" s="1445"/>
      <c r="AB96" s="1446"/>
      <c r="AC96" s="1446"/>
      <c r="AD96" s="1446"/>
    </row>
    <row r="97" spans="3:30" ht="13.5" customHeight="1">
      <c r="C97" s="1445"/>
      <c r="D97" s="1445"/>
      <c r="E97" s="1445"/>
      <c r="F97" s="1445"/>
      <c r="G97" s="1445"/>
      <c r="H97" s="1445"/>
      <c r="I97" s="1445"/>
      <c r="J97" s="1445"/>
      <c r="K97" s="1445"/>
      <c r="L97" s="1445"/>
      <c r="M97" s="1445"/>
      <c r="N97" s="1445"/>
      <c r="O97" s="1445"/>
      <c r="P97" s="1785">
        <f>145*5.5</f>
        <v>797.5</v>
      </c>
      <c r="Q97" s="1786">
        <f ca="1">+P71-P97</f>
        <v>17166.979160000003</v>
      </c>
      <c r="R97" s="1445"/>
      <c r="S97" s="1445"/>
      <c r="T97" s="1445"/>
      <c r="U97" s="1445"/>
      <c r="V97" s="1445"/>
      <c r="W97" s="1445"/>
      <c r="X97" s="1445"/>
      <c r="Y97" s="1445"/>
      <c r="Z97" s="1445"/>
      <c r="AA97" s="1445"/>
      <c r="AB97" s="1446"/>
      <c r="AC97" s="1446"/>
      <c r="AD97" s="1446"/>
    </row>
    <row r="98" spans="3:30" ht="13.5" customHeight="1">
      <c r="C98" s="1445"/>
      <c r="D98" s="1445"/>
      <c r="E98" s="1445"/>
      <c r="F98" s="1445"/>
      <c r="G98" s="1445"/>
      <c r="H98" s="1445"/>
      <c r="I98" s="1445"/>
      <c r="J98" s="1445"/>
      <c r="K98" s="1445"/>
      <c r="L98" s="1445"/>
      <c r="M98" s="1445"/>
      <c r="N98" s="1445"/>
      <c r="O98" s="1445"/>
      <c r="P98" s="1785">
        <f ca="1">+P71/P6</f>
        <v>0.60907275723178333</v>
      </c>
      <c r="Q98" s="1785">
        <f ca="1">+Q97/P6</f>
        <v>0.58203409278923757</v>
      </c>
      <c r="R98" s="1445"/>
      <c r="S98" s="1445"/>
      <c r="T98" s="1445"/>
      <c r="U98" s="1445"/>
      <c r="V98" s="1445"/>
      <c r="W98" s="1445"/>
      <c r="X98" s="1445"/>
      <c r="Y98" s="1445"/>
      <c r="Z98" s="1445"/>
      <c r="AA98" s="1445"/>
      <c r="AB98" s="1446"/>
      <c r="AC98" s="1446"/>
      <c r="AD98" s="1446"/>
    </row>
    <row r="99" spans="3:30">
      <c r="P99" s="1374" t="e">
        <f>+P97/P9</f>
        <v>#DIV/0!</v>
      </c>
    </row>
    <row r="100" spans="3:30" ht="13.5" customHeight="1">
      <c r="C100" s="1447"/>
      <c r="D100" s="1447"/>
      <c r="E100" s="1447"/>
      <c r="F100" s="1447"/>
      <c r="G100" s="1447"/>
      <c r="H100" s="1447"/>
      <c r="I100" s="1345" t="s">
        <v>161</v>
      </c>
      <c r="J100" s="1447"/>
      <c r="L100" s="1448"/>
      <c r="M100" s="1345" t="s">
        <v>162</v>
      </c>
      <c r="N100" s="1447"/>
      <c r="P100" s="1447"/>
      <c r="Q100" s="1447"/>
      <c r="R100" s="1447"/>
      <c r="S100" s="1447"/>
      <c r="T100" s="1447"/>
      <c r="U100" s="1447"/>
      <c r="V100" s="1447"/>
      <c r="W100" s="1447"/>
      <c r="X100" s="1447"/>
      <c r="Y100" s="1447"/>
      <c r="Z100" s="1447"/>
      <c r="AA100" s="1447"/>
      <c r="AB100" s="1449"/>
      <c r="AC100" s="1449"/>
      <c r="AD100" s="1449"/>
    </row>
    <row r="101" spans="3:30" ht="13.5" customHeight="1">
      <c r="I101" s="1337" t="s">
        <v>163</v>
      </c>
      <c r="J101" s="1363">
        <f>+FAT!BN541</f>
        <v>2893.2052366601852</v>
      </c>
      <c r="K101" s="1374">
        <f>+$J$107/J101</f>
        <v>4.3636724557342008</v>
      </c>
      <c r="L101" s="1374"/>
      <c r="M101" s="1337" t="s">
        <v>163</v>
      </c>
      <c r="N101" s="1363">
        <f>+FAT!BN609</f>
        <v>3871.8522633760322</v>
      </c>
      <c r="O101" s="1374">
        <f>+N101*K101</f>
        <v>16895.495074366114</v>
      </c>
      <c r="P101" s="1374">
        <f>+O101*0.3+O102*0.7</f>
        <v>8419.0884952854485</v>
      </c>
      <c r="Q101" s="1374">
        <f>+$P$101/N101</f>
        <v>2.1744343333865968</v>
      </c>
    </row>
    <row r="102" spans="3:30">
      <c r="I102" s="1337" t="s">
        <v>164</v>
      </c>
      <c r="J102" s="1363">
        <f>+FAT!BN573</f>
        <v>515.32838068530373</v>
      </c>
      <c r="K102" s="1374">
        <f>+$J$107/J102</f>
        <v>24.498941787779636</v>
      </c>
      <c r="M102" s="1337" t="s">
        <v>164</v>
      </c>
      <c r="N102" s="1363">
        <f>+FAT!BN641</f>
        <v>195.36936982821342</v>
      </c>
      <c r="O102" s="1374">
        <f>+N102*K102</f>
        <v>4786.3428185365919</v>
      </c>
      <c r="P102" s="1492">
        <f>+N102*17</f>
        <v>3321.2792870796284</v>
      </c>
      <c r="Q102" s="1374">
        <f>+$P$101/N102</f>
        <v>43.093185501331554</v>
      </c>
    </row>
    <row r="103" spans="3:30">
      <c r="I103" s="1337" t="s">
        <v>139</v>
      </c>
      <c r="J103" s="1451">
        <f>+J102/J101</f>
        <v>0.17811677310531235</v>
      </c>
      <c r="M103" s="1337" t="s">
        <v>139</v>
      </c>
      <c r="N103" s="1451">
        <f>+N102/N101</f>
        <v>5.0458890613213271E-2</v>
      </c>
      <c r="P103" s="1492"/>
    </row>
    <row r="105" spans="3:30">
      <c r="I105" s="1494" t="s">
        <v>165</v>
      </c>
      <c r="M105" s="1345" t="s">
        <v>166</v>
      </c>
    </row>
    <row r="106" spans="3:30">
      <c r="I106" s="1492" t="s">
        <v>47</v>
      </c>
      <c r="J106" s="1390">
        <v>2525</v>
      </c>
      <c r="K106" s="1337" t="s">
        <v>167</v>
      </c>
      <c r="M106" s="1337" t="s">
        <v>168</v>
      </c>
      <c r="N106" s="1337">
        <v>740</v>
      </c>
      <c r="O106" s="1337" t="s">
        <v>169</v>
      </c>
    </row>
    <row r="107" spans="3:30">
      <c r="I107" s="1492"/>
      <c r="J107" s="1366">
        <f>+J106*5</f>
        <v>12625</v>
      </c>
      <c r="K107" s="1337" t="s">
        <v>170</v>
      </c>
      <c r="M107" s="1337" t="s">
        <v>171</v>
      </c>
      <c r="N107" s="1337">
        <v>1000</v>
      </c>
      <c r="O107" s="1337" t="s">
        <v>169</v>
      </c>
    </row>
    <row r="108" spans="3:30">
      <c r="I108" s="1492"/>
      <c r="J108" s="1366"/>
    </row>
    <row r="109" spans="3:30">
      <c r="I109" s="1492"/>
      <c r="J109" s="1366"/>
      <c r="M109" s="1337" t="s">
        <v>172</v>
      </c>
      <c r="N109" s="1531">
        <v>921</v>
      </c>
      <c r="O109" s="1337" t="s">
        <v>169</v>
      </c>
      <c r="P109" s="1337">
        <f>+N107/N109</f>
        <v>1.0857763300760044</v>
      </c>
    </row>
    <row r="110" spans="3:30">
      <c r="I110" s="1492"/>
      <c r="J110" s="1366"/>
      <c r="M110" s="1337" t="s">
        <v>173</v>
      </c>
      <c r="N110" s="1532">
        <f>+N109*N111</f>
        <v>77.364000000000004</v>
      </c>
      <c r="O110" s="1337" t="s">
        <v>169</v>
      </c>
      <c r="P110" s="1337">
        <f>+N107/N110</f>
        <v>12.925908691381004</v>
      </c>
      <c r="Q110" s="1337">
        <f>+N110*2</f>
        <v>154.72800000000001</v>
      </c>
    </row>
    <row r="111" spans="3:30">
      <c r="I111" s="1492"/>
      <c r="M111" s="1337" t="s">
        <v>139</v>
      </c>
      <c r="N111" s="1451">
        <v>8.4000000000000005E-2</v>
      </c>
      <c r="Q111" s="1337">
        <f>+Q110*5</f>
        <v>773.6400000000001</v>
      </c>
    </row>
    <row r="112" spans="3:30" ht="15">
      <c r="I112" s="1492" t="s">
        <v>174</v>
      </c>
      <c r="J112" s="1337">
        <v>50</v>
      </c>
      <c r="K112" s="1337" t="s">
        <v>167</v>
      </c>
      <c r="M112" s="1533" t="s">
        <v>175</v>
      </c>
    </row>
    <row r="113" spans="7:15">
      <c r="I113" s="1492"/>
      <c r="J113" s="1337">
        <f>+J112*2</f>
        <v>100</v>
      </c>
      <c r="K113" s="1337" t="s">
        <v>170</v>
      </c>
    </row>
    <row r="114" spans="7:15">
      <c r="I114" s="1492"/>
      <c r="J114" s="1360">
        <f>+J107-J113</f>
        <v>12525</v>
      </c>
      <c r="K114" s="1337">
        <f>+J114*0.34</f>
        <v>4258.5</v>
      </c>
    </row>
    <row r="115" spans="7:15">
      <c r="I115" s="1491" t="s">
        <v>176</v>
      </c>
      <c r="J115" s="1453">
        <f>+(J106-J112)</f>
        <v>2475</v>
      </c>
      <c r="K115" s="1337">
        <f>+J114*0.25</f>
        <v>3131.25</v>
      </c>
    </row>
    <row r="116" spans="7:15">
      <c r="I116" s="1492" t="s">
        <v>177</v>
      </c>
      <c r="J116" s="1454">
        <v>0.12</v>
      </c>
      <c r="K116" s="1360">
        <f>+J107-K115</f>
        <v>9493.75</v>
      </c>
    </row>
    <row r="117" spans="7:15">
      <c r="I117" s="1492"/>
    </row>
    <row r="118" spans="7:15">
      <c r="I118" s="1492" t="s">
        <v>178</v>
      </c>
      <c r="J118" s="1471">
        <v>-908</v>
      </c>
    </row>
    <row r="119" spans="7:15">
      <c r="I119" s="1492" t="s">
        <v>179</v>
      </c>
      <c r="J119" s="1337">
        <f>+J120/5</f>
        <v>2323.4</v>
      </c>
      <c r="K119" s="1337" t="s">
        <v>167</v>
      </c>
    </row>
    <row r="120" spans="7:15">
      <c r="I120" s="1492"/>
      <c r="J120" s="1360">
        <f>+J114+J118</f>
        <v>11617</v>
      </c>
      <c r="K120" s="1337" t="s">
        <v>170</v>
      </c>
    </row>
    <row r="121" spans="7:15" ht="30" customHeight="1">
      <c r="I121" s="1492" t="s">
        <v>180</v>
      </c>
      <c r="J121" s="1374"/>
    </row>
    <row r="122" spans="7:15" ht="15" customHeight="1">
      <c r="I122" s="1492" t="s">
        <v>181</v>
      </c>
      <c r="J122" s="1337">
        <f>-JUROS!C29*1.27</f>
        <v>-274.447</v>
      </c>
      <c r="K122" s="1337" t="s">
        <v>167</v>
      </c>
      <c r="O122" s="1454"/>
    </row>
    <row r="123" spans="7:15" ht="16.5" customHeight="1">
      <c r="G123" s="1450"/>
      <c r="I123" s="1492"/>
      <c r="J123" s="1366">
        <f>+J122*5*1.27</f>
        <v>-1742.7384500000003</v>
      </c>
      <c r="K123" s="1337" t="s">
        <v>170</v>
      </c>
    </row>
    <row r="124" spans="7:15" ht="16.5" customHeight="1">
      <c r="G124" s="1374"/>
      <c r="I124" s="1493"/>
    </row>
    <row r="125" spans="7:15" ht="16.5" customHeight="1">
      <c r="I125" s="1491" t="s">
        <v>182</v>
      </c>
      <c r="J125" s="1495">
        <f>+J119+J122</f>
        <v>2048.953</v>
      </c>
      <c r="K125" s="1337" t="s">
        <v>167</v>
      </c>
    </row>
    <row r="126" spans="7:15" ht="16.5" customHeight="1">
      <c r="G126" s="1452"/>
      <c r="J126" s="1363">
        <f>+J125*5</f>
        <v>10244.764999999999</v>
      </c>
      <c r="K126" s="1337" t="s">
        <v>170</v>
      </c>
    </row>
    <row r="127" spans="7:15" ht="16.5" customHeight="1"/>
    <row r="130" spans="3:16" ht="12.75" customHeight="1">
      <c r="K130" s="2680" t="s">
        <v>183</v>
      </c>
      <c r="L130" s="2680"/>
      <c r="M130" s="2680"/>
      <c r="N130" s="2680"/>
      <c r="O130" s="2680"/>
      <c r="P130" s="2680"/>
    </row>
    <row r="131" spans="3:16" ht="12.75" customHeight="1">
      <c r="E131" s="1345">
        <v>2022</v>
      </c>
      <c r="F131" s="1345">
        <v>2023</v>
      </c>
      <c r="G131" s="1530">
        <v>2024</v>
      </c>
      <c r="I131" s="2679" t="s">
        <v>184</v>
      </c>
      <c r="J131" s="1474" t="e">
        <f ca="1">+G155</f>
        <v>#REF!</v>
      </c>
      <c r="K131" s="1445">
        <v>0.08</v>
      </c>
      <c r="L131" s="1445">
        <v>0.1</v>
      </c>
      <c r="M131" s="1445">
        <v>0.12</v>
      </c>
      <c r="N131" s="1445">
        <v>0.13</v>
      </c>
      <c r="O131" s="1445">
        <v>0.14000000000000001</v>
      </c>
      <c r="P131" s="1445">
        <v>0.15</v>
      </c>
    </row>
    <row r="132" spans="3:16">
      <c r="C132" s="1345" t="s">
        <v>185</v>
      </c>
      <c r="E132" s="1401">
        <f>+E133+E134+E135</f>
        <v>33630.400000000001</v>
      </c>
      <c r="F132" s="1401">
        <f t="shared" ref="F132:G132" si="64">+F133+F134+F135</f>
        <v>31599.507062519901</v>
      </c>
      <c r="G132" s="1401">
        <f t="shared" si="64"/>
        <v>34536.582806375576</v>
      </c>
      <c r="I132" s="2679"/>
      <c r="J132" s="1445">
        <v>0.06</v>
      </c>
      <c r="K132" s="1500" t="e">
        <f t="dataTable" ref="K132:P138" dt2D="1" dtr="1" r1="G145" r2="G146"/>
        <v>#REF!</v>
      </c>
      <c r="L132" s="1501" t="e">
        <v>#REF!</v>
      </c>
      <c r="M132" s="1497" t="e">
        <v>#REF!</v>
      </c>
      <c r="N132" s="1497" t="e">
        <v>#REF!</v>
      </c>
      <c r="O132" s="1497" t="e">
        <v>#REF!</v>
      </c>
      <c r="P132" s="1497" t="e">
        <v>#REF!</v>
      </c>
    </row>
    <row r="133" spans="3:16">
      <c r="C133" s="1337" t="s">
        <v>186</v>
      </c>
      <c r="E133" s="1363">
        <f>+FAT!BM$144</f>
        <v>22027.200000000001</v>
      </c>
      <c r="F133" s="1363">
        <f>+FAT!BN$144</f>
        <v>21440.868799143867</v>
      </c>
      <c r="G133" s="1363">
        <f>+FAT!BO$144</f>
        <v>23693.271567019343</v>
      </c>
      <c r="I133" s="2679"/>
      <c r="J133" s="1445">
        <f>+J132+2%</f>
        <v>0.08</v>
      </c>
      <c r="K133" s="1502" t="e">
        <v>#REF!</v>
      </c>
      <c r="L133" s="1499" t="e">
        <v>#REF!</v>
      </c>
      <c r="M133" s="1499" t="e">
        <v>#REF!</v>
      </c>
      <c r="N133" s="1499" t="e">
        <v>#REF!</v>
      </c>
      <c r="O133" s="1499" t="e">
        <v>#REF!</v>
      </c>
      <c r="P133" s="1499" t="e">
        <v>#REF!</v>
      </c>
    </row>
    <row r="134" spans="3:16">
      <c r="C134" s="1337" t="s">
        <v>110</v>
      </c>
      <c r="E134" s="1363">
        <f>+FAT!BM$470</f>
        <v>7196</v>
      </c>
      <c r="F134" s="1363">
        <f>+FAT!BN$470</f>
        <v>6286.7860000000001</v>
      </c>
      <c r="G134" s="1363">
        <f>+FAT!BO$470</f>
        <v>6641.405596183542</v>
      </c>
      <c r="I134" s="2679"/>
      <c r="J134" s="1445">
        <v>0.09</v>
      </c>
      <c r="K134" s="1502" t="e">
        <v>#REF!</v>
      </c>
      <c r="L134" s="1499" t="e">
        <v>#REF!</v>
      </c>
      <c r="M134" s="1499" t="e">
        <v>#REF!</v>
      </c>
      <c r="N134" s="1499" t="e">
        <v>#REF!</v>
      </c>
      <c r="O134" s="1499" t="e">
        <v>#REF!</v>
      </c>
      <c r="P134" s="1499" t="e">
        <v>#REF!</v>
      </c>
    </row>
    <row r="135" spans="3:16">
      <c r="C135" s="1337" t="s">
        <v>187</v>
      </c>
      <c r="E135" s="1363">
        <f>+FAT!BM$609</f>
        <v>4407.2000000000007</v>
      </c>
      <c r="F135" s="1363">
        <f>+FAT!BN$609</f>
        <v>3871.8522633760322</v>
      </c>
      <c r="G135" s="1363">
        <f>+FAT!BO$609</f>
        <v>4201.9056431726958</v>
      </c>
      <c r="I135" s="2679"/>
      <c r="J135" s="1445">
        <v>0.1</v>
      </c>
      <c r="K135" s="1502" t="e">
        <v>#REF!</v>
      </c>
      <c r="L135" s="1499" t="e">
        <v>#REF!</v>
      </c>
      <c r="M135" s="1499" t="e">
        <v>#REF!</v>
      </c>
      <c r="N135" s="1499" t="e">
        <v>#REF!</v>
      </c>
      <c r="O135" s="1499" t="e">
        <v>#REF!</v>
      </c>
      <c r="P135" s="1499" t="e">
        <v>#REF!</v>
      </c>
    </row>
    <row r="136" spans="3:16">
      <c r="I136" s="2679"/>
      <c r="J136" s="1445">
        <v>0.12</v>
      </c>
      <c r="K136" s="1502" t="e">
        <v>#REF!</v>
      </c>
      <c r="L136" s="1499" t="e">
        <v>#REF!</v>
      </c>
      <c r="M136" s="1499" t="e">
        <v>#REF!</v>
      </c>
      <c r="N136" s="1499" t="e">
        <v>#REF!</v>
      </c>
      <c r="O136" s="1499" t="e">
        <v>#REF!</v>
      </c>
      <c r="P136" s="1499" t="e">
        <v>#REF!</v>
      </c>
    </row>
    <row r="137" spans="3:16">
      <c r="I137" s="2679"/>
      <c r="J137" s="1445">
        <v>0.14000000000000001</v>
      </c>
      <c r="K137" s="1498" t="e">
        <v>#REF!</v>
      </c>
      <c r="L137" s="1499" t="e">
        <v>#REF!</v>
      </c>
      <c r="M137" s="1499" t="e">
        <v>#REF!</v>
      </c>
      <c r="N137" s="1499" t="e">
        <v>#REF!</v>
      </c>
      <c r="O137" s="1499" t="e">
        <v>#REF!</v>
      </c>
      <c r="P137" s="1499" t="e">
        <v>#REF!</v>
      </c>
    </row>
    <row r="138" spans="3:16">
      <c r="C138" s="1337" t="s">
        <v>188</v>
      </c>
      <c r="E138" s="1401">
        <f>+E139+E140+E141+E142</f>
        <v>2286.652738415251</v>
      </c>
      <c r="F138" s="1401">
        <f t="shared" ref="F138:G138" si="65">+F139+F140+F141+F142</f>
        <v>1555.1670331228665</v>
      </c>
      <c r="G138" s="1401">
        <f t="shared" si="65"/>
        <v>2292.5799558143472</v>
      </c>
      <c r="H138" s="1503">
        <f>+O47-G138</f>
        <v>-442.02800849932919</v>
      </c>
      <c r="I138" s="2679"/>
      <c r="J138" s="1445">
        <v>0.16</v>
      </c>
      <c r="K138" s="1498" t="e">
        <v>#REF!</v>
      </c>
      <c r="L138" s="1499" t="e">
        <v>#REF!</v>
      </c>
      <c r="M138" s="1499" t="e">
        <v>#REF!</v>
      </c>
      <c r="N138" s="1499" t="e">
        <v>#REF!</v>
      </c>
      <c r="O138" s="1499" t="e">
        <v>#REF!</v>
      </c>
      <c r="P138" s="1499" t="e">
        <v>#REF!</v>
      </c>
    </row>
    <row r="139" spans="3:16">
      <c r="C139" s="1337" t="s">
        <v>186</v>
      </c>
      <c r="E139" s="1397">
        <f t="shared" ref="E139:G141" si="66">+E145*E133</f>
        <v>2581.8108001245387</v>
      </c>
      <c r="F139" s="1397">
        <f t="shared" si="66"/>
        <v>2513.0868485183264</v>
      </c>
      <c r="G139" s="1397">
        <f t="shared" si="66"/>
        <v>2781.1395790574643</v>
      </c>
    </row>
    <row r="140" spans="3:16">
      <c r="C140" s="1337" t="s">
        <v>110</v>
      </c>
      <c r="E140" s="1397">
        <f t="shared" si="66"/>
        <v>1003.8092831072543</v>
      </c>
      <c r="F140" s="1397">
        <f t="shared" si="66"/>
        <v>876.97806388392473</v>
      </c>
      <c r="G140" s="1397">
        <f t="shared" si="66"/>
        <v>-134.54163899218327</v>
      </c>
    </row>
    <row r="141" spans="3:16">
      <c r="C141" s="1337" t="s">
        <v>187</v>
      </c>
      <c r="E141" s="1397">
        <f t="shared" si="66"/>
        <v>796.7181751834587</v>
      </c>
      <c r="F141" s="1397">
        <f t="shared" si="66"/>
        <v>699.93988697061548</v>
      </c>
      <c r="G141" s="1397">
        <f t="shared" si="66"/>
        <v>379.54721479770802</v>
      </c>
    </row>
    <row r="142" spans="3:16">
      <c r="C142" s="1337" t="s">
        <v>189</v>
      </c>
      <c r="E142" s="1397">
        <f>+FAT!BM79+FAT!BM81+FAT!BM83-(FAT!BM686+FAT!BM690+FAT!BM692+FAT!BM694)*0.5</f>
        <v>-2095.6855200000005</v>
      </c>
      <c r="F142" s="1397">
        <f>+FAT!BN79+FAT!BN81+FAT!BN83-(FAT!BN686+FAT!BN690+FAT!BN692+FAT!BN694)*0.5</f>
        <v>-2534.8377662500002</v>
      </c>
      <c r="G142" s="1397">
        <f>+FAT!BO81+FAT!BO80+FAT!BO79</f>
        <v>-733.56519904864149</v>
      </c>
    </row>
    <row r="144" spans="3:16">
      <c r="C144" s="1337" t="s">
        <v>190</v>
      </c>
      <c r="E144" s="1459">
        <f t="shared" ref="E144:F144" si="67">+E138/E132</f>
        <v>6.7993622984420368E-2</v>
      </c>
      <c r="F144" s="1459">
        <f t="shared" si="67"/>
        <v>4.9214914335402607E-2</v>
      </c>
      <c r="G144" s="1459">
        <f>+G138/G132</f>
        <v>6.6381204205041636E-2</v>
      </c>
    </row>
    <row r="145" spans="3:10">
      <c r="C145" s="1337" t="s">
        <v>186</v>
      </c>
      <c r="E145" s="1457">
        <v>0.11721012203659741</v>
      </c>
      <c r="F145" s="1457">
        <v>0.11721012203659741</v>
      </c>
      <c r="G145" s="1457">
        <f>+FAT!BO235</f>
        <v>0.11738098604030549</v>
      </c>
      <c r="J145" s="1445"/>
    </row>
    <row r="146" spans="3:10">
      <c r="C146" s="1337" t="s">
        <v>110</v>
      </c>
      <c r="E146" s="1457">
        <v>0.1394954534612638</v>
      </c>
      <c r="F146" s="1457">
        <v>0.1394954534612638</v>
      </c>
      <c r="G146" s="1457">
        <f>+FAT!BO500</f>
        <v>-2.0258006689050447E-2</v>
      </c>
      <c r="J146" s="1445"/>
    </row>
    <row r="147" spans="3:10">
      <c r="C147" s="1337" t="s">
        <v>187</v>
      </c>
      <c r="E147" s="1457">
        <v>0.18077649645658436</v>
      </c>
      <c r="F147" s="1457">
        <v>0.18077649645658436</v>
      </c>
      <c r="G147" s="1457">
        <f>+FAT!BO643</f>
        <v>9.0327400715054296E-2</v>
      </c>
      <c r="J147" s="1445"/>
    </row>
    <row r="150" spans="3:10">
      <c r="C150" s="1337" t="s">
        <v>142</v>
      </c>
      <c r="G150" s="1458">
        <f>+FAT!BO129</f>
        <v>-949</v>
      </c>
    </row>
    <row r="151" spans="3:10">
      <c r="C151" s="1337" t="s">
        <v>191</v>
      </c>
      <c r="G151" s="1458">
        <f>+O28</f>
        <v>-711.42400000000009</v>
      </c>
    </row>
    <row r="152" spans="3:10">
      <c r="C152" s="1337" t="s">
        <v>192</v>
      </c>
      <c r="G152" s="1458" t="e">
        <f>+O32*SUM(G138+G150+G151)</f>
        <v>#REF!</v>
      </c>
    </row>
    <row r="153" spans="3:10">
      <c r="C153" s="1337" t="s">
        <v>193</v>
      </c>
      <c r="G153" s="1458" t="e">
        <f>+#REF!</f>
        <v>#REF!</v>
      </c>
    </row>
    <row r="154" spans="3:10">
      <c r="C154" s="1337" t="s">
        <v>194</v>
      </c>
      <c r="G154" s="1450" t="e">
        <f>+G138+G150+G151+G152+G153</f>
        <v>#REF!</v>
      </c>
      <c r="H154" s="1468" t="e">
        <f>992/G154-1</f>
        <v>#REF!</v>
      </c>
    </row>
    <row r="155" spans="3:10">
      <c r="C155" s="1337" t="s">
        <v>195</v>
      </c>
      <c r="G155" s="1496" t="e">
        <f ca="1">+$G$69/G154</f>
        <v>#REF!</v>
      </c>
    </row>
    <row r="160" spans="3:10">
      <c r="G160" s="1345"/>
      <c r="I160" s="2681" t="s">
        <v>196</v>
      </c>
      <c r="J160" s="2681"/>
    </row>
    <row r="161" spans="3:12">
      <c r="D161" s="1345">
        <v>2021</v>
      </c>
      <c r="E161" s="1345">
        <v>2022</v>
      </c>
      <c r="F161" s="1345">
        <v>2023</v>
      </c>
      <c r="G161" s="1536">
        <v>2024</v>
      </c>
      <c r="H161" s="1536">
        <v>2025</v>
      </c>
      <c r="I161" s="1460">
        <v>2024</v>
      </c>
      <c r="J161" s="1460">
        <v>2025</v>
      </c>
    </row>
    <row r="162" spans="3:12">
      <c r="C162" s="1345" t="s">
        <v>185</v>
      </c>
      <c r="D162" s="1401">
        <f>+D163+D164+D165</f>
        <v>37564.5</v>
      </c>
      <c r="E162" s="1401">
        <f>+E163+E164+E165</f>
        <v>33630.400000000001</v>
      </c>
      <c r="F162" s="1401">
        <f t="shared" ref="F162" si="68">+F163+F164+F165</f>
        <v>31599.507062519901</v>
      </c>
      <c r="G162" s="1401">
        <f t="shared" ref="G162" si="69">+G163+G164+G165</f>
        <v>34536.582806375576</v>
      </c>
      <c r="H162" s="1401">
        <f t="shared" ref="H162" si="70">+H163+H164+H165</f>
        <v>32313.027548657476</v>
      </c>
      <c r="I162" s="1401">
        <f>+I163+I164+I165</f>
        <v>30334.677163202883</v>
      </c>
      <c r="J162" s="1401">
        <f>+J163+J164+J165</f>
        <v>28027.079233733773</v>
      </c>
      <c r="K162" s="1451">
        <f>+I162/G162-1</f>
        <v>-0.12166535602928863</v>
      </c>
      <c r="L162" s="1451">
        <f>+J162/H162-1</f>
        <v>-0.13263840129092985</v>
      </c>
    </row>
    <row r="163" spans="3:12">
      <c r="C163" s="1337" t="s">
        <v>197</v>
      </c>
      <c r="D163" s="1363">
        <f>+FAT!BL$144</f>
        <v>22413.399999999998</v>
      </c>
      <c r="E163" s="1363">
        <f>+FAT!BM$144</f>
        <v>22027.200000000001</v>
      </c>
      <c r="F163" s="1363">
        <f>+FAT!BN$144</f>
        <v>21440.868799143867</v>
      </c>
      <c r="G163" s="1363">
        <f>+FAT!BO$144</f>
        <v>23693.271567019343</v>
      </c>
      <c r="H163" s="1363">
        <f>+FAT!BP$144</f>
        <v>22217.446146230814</v>
      </c>
      <c r="I163" s="1360">
        <f>+G163</f>
        <v>23693.271567019343</v>
      </c>
      <c r="J163" s="1360">
        <f>+H163</f>
        <v>22217.446146230814</v>
      </c>
    </row>
    <row r="164" spans="3:12">
      <c r="C164" s="1337" t="s">
        <v>110</v>
      </c>
      <c r="D164" s="1363">
        <f>+FAT!BL$470</f>
        <v>9329.2999999999993</v>
      </c>
      <c r="E164" s="1363">
        <f>+FAT!BM$470</f>
        <v>7196</v>
      </c>
      <c r="F164" s="1363">
        <f>+FAT!BN$470</f>
        <v>6286.7860000000001</v>
      </c>
      <c r="G164" s="1363">
        <f>+FAT!BO$470</f>
        <v>6641.405596183542</v>
      </c>
      <c r="H164" s="1363">
        <f>+FAT!BP$470</f>
        <v>5809.6330875029598</v>
      </c>
      <c r="I164" s="1360">
        <f>+G164</f>
        <v>6641.405596183542</v>
      </c>
      <c r="J164" s="1360">
        <f>+H164</f>
        <v>5809.6330875029598</v>
      </c>
    </row>
    <row r="165" spans="3:12">
      <c r="C165" s="1337" t="s">
        <v>187</v>
      </c>
      <c r="D165" s="1363">
        <f>+FAT!BL$609</f>
        <v>5821.8</v>
      </c>
      <c r="E165" s="1363">
        <f>+FAT!BM$609</f>
        <v>4407.2000000000007</v>
      </c>
      <c r="F165" s="1363">
        <f>+FAT!BN$609</f>
        <v>3871.8522633760322</v>
      </c>
      <c r="G165" s="1363">
        <f>+FAT!BO$609</f>
        <v>4201.9056431726958</v>
      </c>
      <c r="H165" s="1363">
        <f>+FAT!BP$609</f>
        <v>4285.9483149237039</v>
      </c>
      <c r="I165" s="1360"/>
      <c r="J165" s="1360"/>
    </row>
    <row r="166" spans="3:12">
      <c r="E166" s="1363"/>
      <c r="F166" s="1363"/>
      <c r="G166" s="1363"/>
      <c r="H166" s="1363"/>
      <c r="I166" s="1360"/>
      <c r="J166" s="1360"/>
    </row>
    <row r="167" spans="3:12">
      <c r="C167" s="1345" t="s">
        <v>198</v>
      </c>
      <c r="D167" s="1345"/>
      <c r="E167" s="1459">
        <f t="shared" ref="E167:H168" si="71">+E162/D162-1</f>
        <v>-0.10472919911086265</v>
      </c>
      <c r="F167" s="1459">
        <f t="shared" si="71"/>
        <v>-6.0388604877732677E-2</v>
      </c>
      <c r="G167" s="1459">
        <f t="shared" si="71"/>
        <v>9.2946884837306065E-2</v>
      </c>
      <c r="H167" s="1459">
        <f t="shared" si="71"/>
        <v>-6.4382607572502026E-2</v>
      </c>
      <c r="I167" s="1360"/>
      <c r="J167" s="1360"/>
    </row>
    <row r="168" spans="3:12">
      <c r="C168" s="1337" t="s">
        <v>197</v>
      </c>
      <c r="E168" s="1451">
        <f t="shared" si="71"/>
        <v>-1.7230763739548571E-2</v>
      </c>
      <c r="F168" s="1451">
        <f t="shared" si="71"/>
        <v>-2.6618508065307189E-2</v>
      </c>
      <c r="G168" s="1451">
        <f t="shared" si="71"/>
        <v>0.10505184230059816</v>
      </c>
      <c r="H168" s="1451">
        <f t="shared" si="71"/>
        <v>-6.228879859895986E-2</v>
      </c>
      <c r="I168" s="1360"/>
      <c r="J168" s="1360"/>
    </row>
    <row r="169" spans="3:12">
      <c r="C169" s="1337" t="s">
        <v>110</v>
      </c>
      <c r="E169" s="1451">
        <f t="shared" ref="E169" si="72">+E164/D164-1</f>
        <v>-0.22866667381261185</v>
      </c>
      <c r="F169" s="1451">
        <f t="shared" ref="F169:H169" si="73">+F164/E164-1</f>
        <v>-0.12634991662034467</v>
      </c>
      <c r="G169" s="1451">
        <f t="shared" si="73"/>
        <v>5.6407136521513745E-2</v>
      </c>
      <c r="H169" s="1451">
        <f t="shared" si="73"/>
        <v>-0.12524043241065674</v>
      </c>
      <c r="I169" s="1360"/>
      <c r="J169" s="1360"/>
    </row>
    <row r="170" spans="3:12">
      <c r="C170" s="1337" t="s">
        <v>187</v>
      </c>
      <c r="E170" s="1451">
        <f t="shared" ref="E170" si="74">+E165/D165-1</f>
        <v>-0.242983269779106</v>
      </c>
      <c r="F170" s="1451">
        <f t="shared" ref="F170:H170" si="75">+F165/E165-1</f>
        <v>-0.12147116913776734</v>
      </c>
      <c r="G170" s="1451">
        <f t="shared" si="75"/>
        <v>8.5244311338696699E-2</v>
      </c>
      <c r="H170" s="1451">
        <f t="shared" si="75"/>
        <v>2.000108495714592E-2</v>
      </c>
      <c r="I170" s="1360"/>
      <c r="J170" s="1360"/>
    </row>
    <row r="171" spans="3:12">
      <c r="G171" s="1397"/>
      <c r="H171" s="1397"/>
    </row>
    <row r="173" spans="3:12">
      <c r="C173" s="1345" t="s">
        <v>188</v>
      </c>
      <c r="D173" s="1401">
        <f t="shared" ref="D173:J173" si="76">+D174+D175+D176+D177</f>
        <v>3335.4547090614669</v>
      </c>
      <c r="E173" s="1401">
        <f t="shared" si="76"/>
        <v>1810.1346153726217</v>
      </c>
      <c r="F173" s="1401">
        <f t="shared" si="76"/>
        <v>1619.4285276254675</v>
      </c>
      <c r="G173" s="1401">
        <f t="shared" si="76"/>
        <v>2747.3451548629887</v>
      </c>
      <c r="H173" s="1401">
        <f t="shared" si="76"/>
        <v>2700.8604940650766</v>
      </c>
      <c r="I173" s="1401">
        <f t="shared" si="76"/>
        <v>2367.7979400652807</v>
      </c>
      <c r="J173" s="1401">
        <f t="shared" si="76"/>
        <v>2303.907463025304</v>
      </c>
      <c r="K173" s="1451">
        <f>+I173/G173-1</f>
        <v>-0.13815053930369237</v>
      </c>
      <c r="L173" s="1451">
        <f>+J173/H173-1</f>
        <v>-0.14697280067298735</v>
      </c>
    </row>
    <row r="174" spans="3:12">
      <c r="C174" s="1337" t="s">
        <v>197</v>
      </c>
      <c r="D174" s="1461">
        <f t="shared" ref="D174:G176" si="77">+D181*D163</f>
        <v>2595.9583041955975</v>
      </c>
      <c r="E174" s="1461">
        <f t="shared" si="77"/>
        <v>1908.7490746456472</v>
      </c>
      <c r="F174" s="1461">
        <f t="shared" si="77"/>
        <v>2240.7423427972544</v>
      </c>
      <c r="G174" s="1461">
        <f t="shared" si="77"/>
        <v>2781.1395790574643</v>
      </c>
      <c r="H174" s="1461">
        <f t="shared" ref="H174" si="78">+H181*H163</f>
        <v>2849.0722877189019</v>
      </c>
      <c r="I174" s="1461">
        <f t="shared" ref="I174:J176" si="79">+I181*I163</f>
        <v>2781.1395790574643</v>
      </c>
      <c r="J174" s="1461">
        <f t="shared" si="79"/>
        <v>2849.0722877189019</v>
      </c>
    </row>
    <row r="175" spans="3:12">
      <c r="C175" s="1337" t="s">
        <v>110</v>
      </c>
      <c r="D175" s="1461">
        <f t="shared" si="77"/>
        <v>273.99640486586918</v>
      </c>
      <c r="E175" s="1461">
        <f t="shared" si="77"/>
        <v>-70.014459273025494</v>
      </c>
      <c r="F175" s="1461">
        <f t="shared" si="77"/>
        <v>-493.45218500000038</v>
      </c>
      <c r="G175" s="1461">
        <f t="shared" si="77"/>
        <v>-134.54163899218327</v>
      </c>
      <c r="H175" s="1461">
        <f t="shared" ref="H175" si="80">+H182*H164</f>
        <v>-401.76482469359769</v>
      </c>
      <c r="I175" s="1461">
        <f t="shared" si="79"/>
        <v>-134.54163899218327</v>
      </c>
      <c r="J175" s="1461">
        <f t="shared" si="79"/>
        <v>-401.76482469359769</v>
      </c>
    </row>
    <row r="176" spans="3:12">
      <c r="C176" s="1337" t="s">
        <v>187</v>
      </c>
      <c r="D176" s="1461">
        <f t="shared" si="77"/>
        <v>1024.5</v>
      </c>
      <c r="E176" s="1461">
        <f t="shared" si="77"/>
        <v>363.49999999999994</v>
      </c>
      <c r="F176" s="1461">
        <f t="shared" si="77"/>
        <v>195.36936982821342</v>
      </c>
      <c r="G176" s="1461">
        <f t="shared" si="77"/>
        <v>379.54721479770802</v>
      </c>
      <c r="H176" s="1461">
        <f t="shared" ref="H176" si="81">+H183*H165</f>
        <v>396.95303103977267</v>
      </c>
      <c r="I176" s="1461">
        <f t="shared" si="79"/>
        <v>0</v>
      </c>
      <c r="J176" s="1461">
        <f t="shared" si="79"/>
        <v>0</v>
      </c>
    </row>
    <row r="177" spans="3:30" ht="15">
      <c r="C177" s="1337" t="s">
        <v>199</v>
      </c>
      <c r="D177" s="1462">
        <f>+FAT!BL81</f>
        <v>-559</v>
      </c>
      <c r="E177" s="1462">
        <f>+FAT!BM81</f>
        <v>-392.1</v>
      </c>
      <c r="F177" s="1462">
        <f>+FAT!BN81</f>
        <v>-323.23099999999999</v>
      </c>
      <c r="G177" s="1462">
        <f>+FAT!BO81</f>
        <v>-278.8</v>
      </c>
      <c r="H177" s="1462">
        <f>+FAT!BP81</f>
        <v>-143.4</v>
      </c>
      <c r="I177" s="1462">
        <f>+G177</f>
        <v>-278.8</v>
      </c>
      <c r="J177" s="1462">
        <f>+H177</f>
        <v>-143.4</v>
      </c>
    </row>
    <row r="180" spans="3:30">
      <c r="C180" s="1345" t="s">
        <v>200</v>
      </c>
      <c r="D180" s="1459">
        <f t="shared" ref="D180:J180" si="82">+D173/D162</f>
        <v>8.8792735403411913E-2</v>
      </c>
      <c r="E180" s="1459">
        <f t="shared" si="82"/>
        <v>5.3824355802268832E-2</v>
      </c>
      <c r="F180" s="1459">
        <f t="shared" si="82"/>
        <v>5.1248537656660723E-2</v>
      </c>
      <c r="G180" s="1463">
        <f t="shared" si="82"/>
        <v>7.954884159401604E-2</v>
      </c>
      <c r="H180" s="1463">
        <f t="shared" si="82"/>
        <v>8.3584259939681521E-2</v>
      </c>
      <c r="I180" s="1463">
        <f t="shared" si="82"/>
        <v>7.8055814714175026E-2</v>
      </c>
      <c r="J180" s="1463">
        <f t="shared" si="82"/>
        <v>8.220290968643959E-2</v>
      </c>
    </row>
    <row r="181" spans="3:30">
      <c r="C181" s="1337" t="s">
        <v>197</v>
      </c>
      <c r="D181" s="1457">
        <f>+FAT!BL235</f>
        <v>0.11582170952178597</v>
      </c>
      <c r="E181" s="1457">
        <f>+FAT!BM235</f>
        <v>8.665418549092245E-2</v>
      </c>
      <c r="F181" s="1457">
        <f>+FAT!BN235</f>
        <v>0.1045080012283237</v>
      </c>
      <c r="G181" s="1464">
        <f>+FAT!BO$235</f>
        <v>0.11738098604030549</v>
      </c>
      <c r="H181" s="1464">
        <f>+FAT!BP$235</f>
        <v>0.12823581382697519</v>
      </c>
      <c r="I181" s="1464">
        <f>+FAT!BO$235</f>
        <v>0.11738098604030549</v>
      </c>
      <c r="J181" s="1464">
        <f>+FAT!BP$235</f>
        <v>0.12823581382697519</v>
      </c>
    </row>
    <row r="182" spans="3:30">
      <c r="C182" s="1337" t="s">
        <v>110</v>
      </c>
      <c r="D182" s="1457">
        <f>+FAT!BL500</f>
        <v>2.9369449462003493E-2</v>
      </c>
      <c r="E182" s="1457">
        <f>+FAT!BM500</f>
        <v>-9.729635807813438E-3</v>
      </c>
      <c r="F182" s="1457">
        <f>+FAT!BN500</f>
        <v>-7.8490374095762191E-2</v>
      </c>
      <c r="G182" s="1464">
        <f>+FAT!BO$500</f>
        <v>-2.0258006689050447E-2</v>
      </c>
      <c r="H182" s="1464">
        <f>+FAT!BP$500</f>
        <v>-6.9154939501744048E-2</v>
      </c>
      <c r="I182" s="1464">
        <f>+FAT!BO$500</f>
        <v>-2.0258006689050447E-2</v>
      </c>
      <c r="J182" s="1464">
        <f>+FAT!BP$500</f>
        <v>-6.9154939501744048E-2</v>
      </c>
    </row>
    <row r="183" spans="3:30">
      <c r="C183" s="1337" t="s">
        <v>187</v>
      </c>
      <c r="D183" s="1457">
        <f>+FAT!BL643</f>
        <v>0.17597650211274862</v>
      </c>
      <c r="E183" s="1457">
        <f>+FAT!BM643</f>
        <v>8.2478671265202363E-2</v>
      </c>
      <c r="F183" s="1457">
        <f>+FAT!BN643</f>
        <v>5.0458890613213271E-2</v>
      </c>
      <c r="G183" s="1464">
        <f>+FAT!BO$643</f>
        <v>9.0327400715054296E-2</v>
      </c>
      <c r="H183" s="1464">
        <f>+FAT!BP$643</f>
        <v>9.261731637257016E-2</v>
      </c>
      <c r="I183" s="1464"/>
      <c r="J183" s="1464"/>
    </row>
    <row r="185" spans="3:30">
      <c r="C185" s="1337" t="s">
        <v>201</v>
      </c>
      <c r="G185" s="1371"/>
      <c r="H185" s="1371"/>
      <c r="I185" s="1371">
        <f>+FAT!BO637</f>
        <v>665.04187402636717</v>
      </c>
      <c r="J185" s="1371">
        <f>+FAT!BP637</f>
        <v>662.96702038859178</v>
      </c>
    </row>
    <row r="186" spans="3:30" ht="15">
      <c r="C186" s="1337" t="s">
        <v>142</v>
      </c>
      <c r="D186" s="1465"/>
      <c r="E186" s="1465"/>
      <c r="F186" s="1465"/>
      <c r="G186" s="1465">
        <f>+O65</f>
        <v>-949</v>
      </c>
      <c r="H186" s="1465">
        <f>+P65</f>
        <v>-909.3</v>
      </c>
      <c r="I186" s="1458">
        <f>+G186+I185</f>
        <v>-283.95812597363283</v>
      </c>
      <c r="J186" s="1458">
        <f>+H186+J185</f>
        <v>-246.33297961140818</v>
      </c>
    </row>
    <row r="187" spans="3:30" ht="15">
      <c r="C187" s="1345" t="s">
        <v>126</v>
      </c>
      <c r="D187" s="1466"/>
      <c r="E187" s="1466"/>
      <c r="F187" s="1466"/>
      <c r="G187" s="1466">
        <f>+G173+G186</f>
        <v>1798.3451548629887</v>
      </c>
      <c r="H187" s="1466">
        <f>+H173+H186</f>
        <v>1791.5604940650767</v>
      </c>
      <c r="I187" s="1466">
        <f>+I173+I186</f>
        <v>2083.8398140916479</v>
      </c>
      <c r="J187" s="1466">
        <f>+J173+J186</f>
        <v>2057.5744834138959</v>
      </c>
    </row>
    <row r="188" spans="3:30">
      <c r="C188" s="1337" t="s">
        <v>191</v>
      </c>
      <c r="D188" s="1450"/>
      <c r="E188" s="1450"/>
      <c r="F188" s="1450"/>
      <c r="G188" s="1458">
        <f>+O28</f>
        <v>-711.42400000000009</v>
      </c>
      <c r="H188" s="1458">
        <f>+P28</f>
        <v>-886.40000000000009</v>
      </c>
      <c r="I188" s="1458">
        <f>+G188</f>
        <v>-711.42400000000009</v>
      </c>
      <c r="J188" s="1458">
        <f>+H188</f>
        <v>-886.40000000000009</v>
      </c>
      <c r="AB188" s="1337"/>
      <c r="AC188" s="1337"/>
      <c r="AD188" s="1337"/>
    </row>
    <row r="189" spans="3:30">
      <c r="C189" s="1337" t="s">
        <v>192</v>
      </c>
      <c r="D189" s="1458"/>
      <c r="E189" s="1458"/>
      <c r="F189" s="1458"/>
      <c r="G189" s="1458" t="e">
        <f>+O32*(G173+G186+G188)</f>
        <v>#REF!</v>
      </c>
      <c r="H189" s="1458" t="e">
        <f>+P32*(H173+H186+H188)</f>
        <v>#REF!</v>
      </c>
      <c r="I189" s="1458" t="e">
        <f>+O32*(I173+I186+I188)</f>
        <v>#REF!</v>
      </c>
      <c r="J189" s="1458" t="e">
        <f>+P32*(J173+J186+J188)</f>
        <v>#REF!</v>
      </c>
      <c r="V189" s="1452"/>
      <c r="W189" s="1452"/>
      <c r="X189" s="1452"/>
      <c r="Y189" s="1452"/>
      <c r="Z189" s="1452"/>
      <c r="AA189" s="1452"/>
      <c r="AB189" s="1337"/>
      <c r="AC189" s="1337"/>
      <c r="AD189" s="1337"/>
    </row>
    <row r="190" spans="3:30">
      <c r="C190" s="1337" t="s">
        <v>194</v>
      </c>
      <c r="D190" s="1450"/>
      <c r="E190" s="1450"/>
      <c r="F190" s="1450"/>
      <c r="G190" s="1450" t="e">
        <f>+G187+G188+G189</f>
        <v>#REF!</v>
      </c>
      <c r="H190" s="1450" t="e">
        <f>+H187+H188+H189</f>
        <v>#REF!</v>
      </c>
      <c r="I190" s="1450" t="e">
        <f>+I187+I188+I189</f>
        <v>#REF!</v>
      </c>
      <c r="J190" s="1450" t="e">
        <f>+J187+J188+J189</f>
        <v>#REF!</v>
      </c>
      <c r="K190" s="1451" t="e">
        <f>+I190/G190-1</f>
        <v>#REF!</v>
      </c>
      <c r="L190" s="1451" t="e">
        <f>+J190/H190-1</f>
        <v>#REF!</v>
      </c>
      <c r="V190" s="1452"/>
      <c r="W190" s="1452"/>
      <c r="X190" s="1452"/>
      <c r="Y190" s="1452"/>
      <c r="Z190" s="1452"/>
      <c r="AA190" s="1452"/>
      <c r="AB190" s="1337"/>
      <c r="AC190" s="1337"/>
      <c r="AD190" s="1337"/>
    </row>
    <row r="191" spans="3:30">
      <c r="C191" s="1398" t="s">
        <v>195</v>
      </c>
      <c r="D191" s="1398"/>
      <c r="E191" s="1398"/>
      <c r="F191" s="1398"/>
      <c r="G191" s="1467" t="e">
        <f ca="1">+VP!$C$24/Resumo!G$190</f>
        <v>#REF!</v>
      </c>
      <c r="H191" s="1467" t="e">
        <f ca="1">+VP!$C$24/Resumo!H$190</f>
        <v>#REF!</v>
      </c>
      <c r="I191" s="1467" t="e">
        <f ca="1">+VP!$C$24/Resumo!I$190</f>
        <v>#REF!</v>
      </c>
      <c r="J191" s="1467" t="e">
        <f ca="1">+VP!$C$24/Resumo!J$190</f>
        <v>#REF!</v>
      </c>
      <c r="K191" s="1451"/>
      <c r="L191" s="1451"/>
      <c r="AB191" s="1337"/>
      <c r="AC191" s="1337"/>
      <c r="AD191" s="1337"/>
    </row>
    <row r="192" spans="3:30">
      <c r="C192" s="1398" t="s">
        <v>158</v>
      </c>
      <c r="D192" s="1398"/>
      <c r="E192" s="1398"/>
      <c r="F192" s="1398"/>
      <c r="G192" s="1467">
        <f ca="1">+(VP!$C$24+Resumo!$G$211)/G173</f>
        <v>6.6702313386144203</v>
      </c>
      <c r="H192" s="1467">
        <f ca="1">+(VP!$C$24+Resumo!$G$211)/H173</f>
        <v>6.7850330626947395</v>
      </c>
      <c r="I192" s="1467">
        <f ca="1">+(VP!$C$24+Resumo!$H$211)/I173</f>
        <v>7.7394390120351053</v>
      </c>
      <c r="J192" s="1467">
        <f ca="1">+(VP!$C$24+Resumo!$H$211)/J173</f>
        <v>7.9540641471312101</v>
      </c>
      <c r="K192" s="1363"/>
      <c r="Q192" s="1445"/>
      <c r="R192" s="1445"/>
      <c r="S192" s="1445"/>
      <c r="T192" s="1445"/>
      <c r="U192" s="1445"/>
      <c r="AB192" s="1337"/>
      <c r="AC192" s="1337"/>
      <c r="AD192" s="1337"/>
    </row>
    <row r="193" spans="3:30">
      <c r="K193" s="1374"/>
      <c r="L193" s="1383"/>
      <c r="P193" s="1363"/>
      <c r="Q193" s="1445"/>
      <c r="R193" s="1445"/>
      <c r="S193" s="1445"/>
      <c r="T193" s="1445"/>
      <c r="U193" s="1445"/>
      <c r="AB193" s="1337"/>
      <c r="AC193" s="1337"/>
      <c r="AD193" s="1337"/>
    </row>
    <row r="194" spans="3:30">
      <c r="C194" s="1337" t="s">
        <v>158</v>
      </c>
      <c r="G194" s="1469">
        <v>17.600000000000001</v>
      </c>
      <c r="Q194" s="1445"/>
      <c r="R194" s="1445"/>
      <c r="S194" s="1445"/>
      <c r="T194" s="1445"/>
      <c r="U194" s="1445"/>
      <c r="V194" s="1363"/>
      <c r="W194" s="1363"/>
      <c r="X194" s="1363"/>
      <c r="Y194" s="1363"/>
      <c r="Z194" s="1363"/>
      <c r="AA194" s="1363"/>
      <c r="AB194" s="1337"/>
      <c r="AC194" s="1337"/>
      <c r="AD194" s="1337"/>
    </row>
    <row r="195" spans="3:30">
      <c r="C195" s="1337" t="s">
        <v>202</v>
      </c>
      <c r="G195" s="1470">
        <f>+FAT!BN573</f>
        <v>515.32838068530373</v>
      </c>
      <c r="AB195" s="1337"/>
      <c r="AC195" s="1337"/>
      <c r="AD195" s="1337"/>
    </row>
    <row r="196" spans="3:30">
      <c r="C196" s="1337" t="s">
        <v>47</v>
      </c>
      <c r="G196" s="1363">
        <f>+G194*G195</f>
        <v>9069.779500061346</v>
      </c>
      <c r="H196" s="1363">
        <f>+G196</f>
        <v>9069.779500061346</v>
      </c>
      <c r="I196" s="1360">
        <f>+G196-203</f>
        <v>8866.779500061346</v>
      </c>
      <c r="AB196" s="1337"/>
      <c r="AC196" s="1337"/>
      <c r="AD196" s="1337"/>
    </row>
    <row r="197" spans="3:30">
      <c r="C197" s="1337" t="s">
        <v>203</v>
      </c>
      <c r="G197" s="1349">
        <v>1</v>
      </c>
      <c r="I197" s="1337">
        <f>+I196*0.34</f>
        <v>3014.705030020858</v>
      </c>
      <c r="AB197" s="1337"/>
      <c r="AC197" s="1337"/>
      <c r="AD197" s="1337"/>
    </row>
    <row r="198" spans="3:30">
      <c r="C198" s="1337" t="s">
        <v>204</v>
      </c>
      <c r="G198" s="1363">
        <f>+(G196-203)*0.66+203</f>
        <v>6055.0744700404884</v>
      </c>
      <c r="H198" s="1360">
        <f>+G198</f>
        <v>6055.0744700404884</v>
      </c>
      <c r="I198" s="1360">
        <f>+G196-I197</f>
        <v>6055.0744700404884</v>
      </c>
      <c r="AB198" s="1337"/>
      <c r="AC198" s="1337"/>
      <c r="AD198" s="1337"/>
    </row>
    <row r="199" spans="3:30">
      <c r="G199" s="1397"/>
      <c r="H199" s="1397"/>
      <c r="AB199" s="1337"/>
      <c r="AC199" s="1337"/>
      <c r="AD199" s="1337"/>
    </row>
    <row r="200" spans="3:30">
      <c r="G200" s="1397"/>
      <c r="Q200" s="1374" t="e">
        <f>+Q201*G190</f>
        <v>#REF!</v>
      </c>
      <c r="R200" s="1374" t="e">
        <f>+R201*I190</f>
        <v>#REF!</v>
      </c>
      <c r="S200" s="1374" t="e">
        <f>+S201*J190</f>
        <v>#REF!</v>
      </c>
      <c r="T200" s="1374" t="e">
        <f>+T201*K190</f>
        <v>#REF!</v>
      </c>
      <c r="U200" s="1374" t="e">
        <f>+U201*L190</f>
        <v>#REF!</v>
      </c>
      <c r="V200" s="1451" t="e">
        <f ca="1">+R200/VP!C21-1</f>
        <v>#REF!</v>
      </c>
      <c r="W200" s="1451"/>
      <c r="X200" s="1451"/>
      <c r="Y200" s="1451"/>
      <c r="Z200" s="1451"/>
      <c r="AA200" s="1451"/>
      <c r="AB200" s="1337"/>
      <c r="AC200" s="1337"/>
      <c r="AD200" s="1337"/>
    </row>
    <row r="201" spans="3:30">
      <c r="G201" s="1363"/>
      <c r="Q201" s="1337">
        <v>14</v>
      </c>
      <c r="R201" s="1337">
        <v>14</v>
      </c>
      <c r="S201" s="1337">
        <v>14</v>
      </c>
      <c r="T201" s="1337">
        <v>14</v>
      </c>
      <c r="U201" s="1337">
        <v>14</v>
      </c>
      <c r="AB201" s="1337"/>
      <c r="AC201" s="1337"/>
      <c r="AD201" s="1337"/>
    </row>
    <row r="202" spans="3:30">
      <c r="C202" s="1337" t="s">
        <v>205</v>
      </c>
      <c r="G202" s="1471">
        <v>13328.121059998084</v>
      </c>
      <c r="H202" s="1471">
        <v>13328.121059998084</v>
      </c>
      <c r="P202" s="1337">
        <v>10</v>
      </c>
      <c r="Q202" s="1337">
        <v>16</v>
      </c>
      <c r="R202" s="1337">
        <v>16</v>
      </c>
      <c r="S202" s="1337">
        <v>16</v>
      </c>
      <c r="T202" s="1337">
        <v>16</v>
      </c>
      <c r="U202" s="1337">
        <v>16</v>
      </c>
      <c r="AB202" s="1337"/>
      <c r="AC202" s="1337"/>
      <c r="AD202" s="1337"/>
    </row>
    <row r="203" spans="3:30">
      <c r="C203" s="1337" t="s">
        <v>206</v>
      </c>
      <c r="G203" s="1360">
        <f>1.5*G173</f>
        <v>4121.0177322944828</v>
      </c>
      <c r="H203" s="1360">
        <f>1.5*I173</f>
        <v>3551.6969100979213</v>
      </c>
      <c r="P203" s="1374"/>
      <c r="AB203" s="1337"/>
      <c r="AC203" s="1337"/>
      <c r="AD203" s="1337"/>
    </row>
    <row r="204" spans="3:30">
      <c r="C204" s="1472" t="s">
        <v>207</v>
      </c>
      <c r="D204" s="1472"/>
      <c r="E204" s="1472"/>
      <c r="F204" s="1472"/>
      <c r="G204" s="1473">
        <f>+G203-G202</f>
        <v>-9207.1033277036004</v>
      </c>
      <c r="H204" s="1473">
        <f>+H203-H202</f>
        <v>-9776.4241499001619</v>
      </c>
    </row>
    <row r="205" spans="3:30">
      <c r="G205" s="1457"/>
    </row>
    <row r="206" spans="3:30">
      <c r="C206" s="1337" t="s">
        <v>208</v>
      </c>
      <c r="G206" s="1363">
        <f>+PROJ!BM98+PROJ!BM99</f>
        <v>3407.9690000000001</v>
      </c>
      <c r="H206" s="1363">
        <f>+G206</f>
        <v>3407.9690000000001</v>
      </c>
    </row>
    <row r="207" spans="3:30">
      <c r="C207" s="1337" t="s">
        <v>209</v>
      </c>
      <c r="G207" s="1363">
        <f>+G198+G204+G206</f>
        <v>255.94014233688813</v>
      </c>
      <c r="H207" s="1363">
        <f>+H198+H204+H206</f>
        <v>-313.38067985967336</v>
      </c>
    </row>
    <row r="208" spans="3:30">
      <c r="C208" s="1472" t="s">
        <v>207</v>
      </c>
      <c r="D208" s="1472"/>
      <c r="E208" s="1472"/>
      <c r="F208" s="1472"/>
      <c r="G208" s="1473">
        <f>+G207-G206</f>
        <v>-3152.0288576631119</v>
      </c>
      <c r="H208" s="1473">
        <f>+H207-H206</f>
        <v>-3721.3496798596734</v>
      </c>
    </row>
    <row r="210" spans="3:30">
      <c r="C210" s="1337" t="s">
        <v>210</v>
      </c>
      <c r="G210" s="1360">
        <f>+G202-G206</f>
        <v>9920.1520599980831</v>
      </c>
      <c r="H210" s="1360">
        <f>+H202-H206</f>
        <v>9920.1520599980831</v>
      </c>
    </row>
    <row r="211" spans="3:30">
      <c r="C211" s="1337" t="s">
        <v>211</v>
      </c>
      <c r="G211" s="1360">
        <f>+G203-G207</f>
        <v>3865.0775899575947</v>
      </c>
      <c r="H211" s="1360">
        <f>+H203-H207</f>
        <v>3865.0775899575947</v>
      </c>
      <c r="I211" s="1363"/>
    </row>
    <row r="213" spans="3:30" ht="12.75" hidden="1" customHeight="1">
      <c r="C213" s="1337" t="s">
        <v>212</v>
      </c>
      <c r="D213" s="1450" t="e">
        <f>+PROJ!BJ27</f>
        <v>#REF!</v>
      </c>
      <c r="E213" s="1450" t="e">
        <f>+PROJ!BK27</f>
        <v>#REF!</v>
      </c>
      <c r="F213" s="1450" t="e">
        <f>+PROJ!BL27</f>
        <v>#REF!</v>
      </c>
      <c r="G213" s="1450">
        <f>+PROJ!BM27</f>
        <v>341.48699999999997</v>
      </c>
      <c r="H213" s="1468">
        <f>+G213/G206</f>
        <v>0.1002024959734082</v>
      </c>
    </row>
    <row r="214" spans="3:30" ht="12.75" hidden="1" customHeight="1">
      <c r="C214" s="1337" t="s">
        <v>213</v>
      </c>
      <c r="D214" s="1450" t="e">
        <f>+PROJ!BJ28</f>
        <v>#REF!</v>
      </c>
      <c r="E214" s="1450" t="e">
        <f>+PROJ!BK28</f>
        <v>#REF!</v>
      </c>
      <c r="F214" s="1450" t="e">
        <f>+PROJ!BL28</f>
        <v>#REF!</v>
      </c>
      <c r="G214" s="1450">
        <f>+PROJ!BM28</f>
        <v>-581.21</v>
      </c>
      <c r="H214" s="1468">
        <f>+G214/G202</f>
        <v>-4.3607797181884511E-2</v>
      </c>
    </row>
    <row r="215" spans="3:30" ht="12.75" hidden="1" customHeight="1">
      <c r="C215" s="1337" t="s">
        <v>191</v>
      </c>
      <c r="D215" s="1450" t="e">
        <f t="shared" ref="D215:F215" si="83">+D213+D214</f>
        <v>#REF!</v>
      </c>
      <c r="E215" s="1450" t="e">
        <f t="shared" si="83"/>
        <v>#REF!</v>
      </c>
      <c r="F215" s="1450" t="e">
        <f t="shared" si="83"/>
        <v>#REF!</v>
      </c>
      <c r="G215" s="1450">
        <f>+G213+G214</f>
        <v>-239.72300000000007</v>
      </c>
    </row>
    <row r="216" spans="3:30" ht="12.75" hidden="1" customHeight="1">
      <c r="C216" s="1337" t="s">
        <v>214</v>
      </c>
      <c r="G216" s="1445">
        <f>+G215/G210</f>
        <v>-2.4165254579781754E-2</v>
      </c>
    </row>
    <row r="218" spans="3:30" s="1345" customFormat="1">
      <c r="C218" s="1345" t="s">
        <v>215</v>
      </c>
      <c r="G218" s="1401">
        <f>+G219+G220</f>
        <v>-626.09061866332183</v>
      </c>
      <c r="H218" s="1401">
        <f>+H219+H220</f>
        <v>-609.01099399742498</v>
      </c>
      <c r="AB218" s="1364"/>
      <c r="AC218" s="1364"/>
      <c r="AD218" s="1364"/>
    </row>
    <row r="219" spans="3:30">
      <c r="C219" s="1337" t="s">
        <v>216</v>
      </c>
      <c r="G219" s="1450">
        <f>+G207*13%</f>
        <v>33.272218503795457</v>
      </c>
      <c r="H219" s="1450">
        <f>+H207*13%</f>
        <v>-40.739488381757539</v>
      </c>
    </row>
    <row r="220" spans="3:30">
      <c r="C220" s="1337" t="s">
        <v>217</v>
      </c>
      <c r="G220" s="1450">
        <f>+G203*-16%</f>
        <v>-659.36283716711728</v>
      </c>
      <c r="H220" s="1450">
        <f>+H203*-16%</f>
        <v>-568.27150561566748</v>
      </c>
    </row>
    <row r="221" spans="3:30">
      <c r="G221" s="1450"/>
    </row>
    <row r="224" spans="3:30">
      <c r="G224" s="1337" t="s">
        <v>218</v>
      </c>
    </row>
    <row r="231" spans="3:9">
      <c r="E231" s="2678" t="s">
        <v>219</v>
      </c>
      <c r="F231" s="2678"/>
      <c r="G231" s="2678"/>
      <c r="H231" s="2678"/>
      <c r="I231" s="2678"/>
    </row>
    <row r="232" spans="3:9">
      <c r="E232" s="2678"/>
      <c r="F232" s="2678"/>
      <c r="G232" s="2678"/>
      <c r="H232" s="2678"/>
      <c r="I232" s="2678"/>
    </row>
    <row r="233" spans="3:9">
      <c r="E233" s="1455"/>
      <c r="F233" s="1456"/>
      <c r="G233" s="1456"/>
      <c r="H233" s="1456"/>
      <c r="I233" s="1456"/>
    </row>
    <row r="234" spans="3:9" ht="15">
      <c r="C234" s="2679" t="s">
        <v>220</v>
      </c>
      <c r="D234" s="1474" t="e">
        <f ca="1">+G191</f>
        <v>#REF!</v>
      </c>
      <c r="E234" s="1475">
        <v>17</v>
      </c>
      <c r="F234" s="1475">
        <f>+E234+2</f>
        <v>19</v>
      </c>
      <c r="G234" s="1475">
        <f>+F234+2</f>
        <v>21</v>
      </c>
      <c r="H234" s="1475">
        <f>+G234+2</f>
        <v>23</v>
      </c>
      <c r="I234" s="1475">
        <f>+H234+2</f>
        <v>25</v>
      </c>
    </row>
    <row r="235" spans="3:9">
      <c r="C235" s="2679"/>
      <c r="D235" s="1445">
        <v>0</v>
      </c>
      <c r="E235" s="1476" t="e">
        <f t="dataTable" ref="E235:I240" dt2D="1" dtr="1" r1="G194" r2="G197"/>
        <v>#REF!</v>
      </c>
      <c r="F235" s="1477" t="e">
        <v>#REF!</v>
      </c>
      <c r="G235" s="1477" t="e">
        <v>#REF!</v>
      </c>
      <c r="H235" s="1477" t="e">
        <v>#REF!</v>
      </c>
      <c r="I235" s="1478" t="e">
        <v>#REF!</v>
      </c>
    </row>
    <row r="236" spans="3:9">
      <c r="C236" s="2679"/>
      <c r="D236" s="1445">
        <v>0.2</v>
      </c>
      <c r="E236" s="1476" t="e">
        <v>#REF!</v>
      </c>
      <c r="F236" s="1477" t="e">
        <v>#REF!</v>
      </c>
      <c r="G236" s="1477" t="e">
        <v>#REF!</v>
      </c>
      <c r="H236" s="1477" t="e">
        <v>#REF!</v>
      </c>
      <c r="I236" s="1479" t="e">
        <v>#REF!</v>
      </c>
    </row>
    <row r="237" spans="3:9">
      <c r="C237" s="2679"/>
      <c r="D237" s="1445">
        <v>0.4</v>
      </c>
      <c r="E237" s="1476" t="e">
        <v>#REF!</v>
      </c>
      <c r="F237" s="1477" t="e">
        <v>#REF!</v>
      </c>
      <c r="G237" s="1477" t="e">
        <v>#REF!</v>
      </c>
      <c r="H237" s="1477" t="e">
        <v>#REF!</v>
      </c>
      <c r="I237" s="1479" t="e">
        <v>#REF!</v>
      </c>
    </row>
    <row r="238" spans="3:9">
      <c r="C238" s="2679"/>
      <c r="D238" s="1445">
        <v>0.6</v>
      </c>
      <c r="E238" s="1476" t="e">
        <v>#REF!</v>
      </c>
      <c r="F238" s="1477" t="e">
        <v>#REF!</v>
      </c>
      <c r="G238" s="1477" t="e">
        <v>#REF!</v>
      </c>
      <c r="H238" s="1477" t="e">
        <v>#REF!</v>
      </c>
      <c r="I238" s="1479" t="e">
        <v>#REF!</v>
      </c>
    </row>
    <row r="239" spans="3:9">
      <c r="C239" s="2679"/>
      <c r="D239" s="1445">
        <v>0.8</v>
      </c>
      <c r="E239" s="1476" t="e">
        <v>#REF!</v>
      </c>
      <c r="F239" s="1477" t="e">
        <v>#REF!</v>
      </c>
      <c r="G239" s="1477" t="e">
        <v>#REF!</v>
      </c>
      <c r="H239" s="1477" t="e">
        <v>#REF!</v>
      </c>
      <c r="I239" s="1479" t="e">
        <v>#REF!</v>
      </c>
    </row>
    <row r="240" spans="3:9">
      <c r="C240" s="2679"/>
      <c r="D240" s="1445">
        <v>1</v>
      </c>
      <c r="E240" s="1480" t="e">
        <v>#REF!</v>
      </c>
      <c r="F240" s="1481" t="e">
        <v>#REF!</v>
      </c>
      <c r="G240" s="1481" t="e">
        <v>#REF!</v>
      </c>
      <c r="H240" s="1482" t="e">
        <v>#REF!</v>
      </c>
      <c r="I240" s="1483" t="e">
        <v>#REF!</v>
      </c>
    </row>
  </sheetData>
  <mergeCells count="5">
    <mergeCell ref="E231:I232"/>
    <mergeCell ref="C234:C240"/>
    <mergeCell ref="K130:P130"/>
    <mergeCell ref="I131:I138"/>
    <mergeCell ref="I160:J160"/>
  </mergeCells>
  <conditionalFormatting sqref="K132:P138">
    <cfRule type="colorScale" priority="1">
      <colorScale>
        <cfvo type="min"/>
        <cfvo type="percentile" val="50"/>
        <cfvo type="max"/>
        <color rgb="FF63BE7B"/>
        <color rgb="FFFFEB84"/>
        <color rgb="FFF8696B"/>
      </colorScale>
    </cfRule>
  </conditionalFormatting>
  <dataValidations disablePrompts="1" count="1">
    <dataValidation allowBlank="1" showInputMessage="1" showErrorMessage="1" sqref="D234:I240" xr:uid="{00000000-0002-0000-0600-000000000000}"/>
  </dataValidations>
  <hyperlinks>
    <hyperlink ref="M112" r:id="rId1" xr:uid="{5BCEC933-0F74-43B0-8A2B-8386AF54C751}"/>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H714"/>
  <sheetViews>
    <sheetView showGridLines="0" zoomScaleNormal="100" workbookViewId="0">
      <pane xSplit="2" ySplit="31" topLeftCell="AX204" activePane="bottomRight" state="frozen"/>
      <selection pane="topRight" activeCell="C1" sqref="C1"/>
      <selection pane="bottomLeft" activeCell="A31" sqref="A31"/>
      <selection pane="bottomRight" activeCell="BQ214" activeCellId="1" sqref="BQ211 BQ214"/>
    </sheetView>
  </sheetViews>
  <sheetFormatPr defaultColWidth="9.140625" defaultRowHeight="12.75"/>
  <cols>
    <col min="1" max="1" width="3.140625" style="72" customWidth="1"/>
    <col min="2" max="2" width="45.42578125" style="72" bestFit="1" customWidth="1"/>
    <col min="3" max="14" width="8.140625" style="72" bestFit="1" customWidth="1"/>
    <col min="15" max="18" width="9" style="72" bestFit="1" customWidth="1"/>
    <col min="19" max="19" width="9" style="1802" bestFit="1" customWidth="1"/>
    <col min="20" max="20" width="9.28515625" style="72" bestFit="1" customWidth="1"/>
    <col min="21" max="22" width="9" style="72" bestFit="1" customWidth="1"/>
    <col min="23" max="23" width="9" style="1802" bestFit="1" customWidth="1"/>
    <col min="24" max="30" width="9" style="72" bestFit="1" customWidth="1"/>
    <col min="31" max="31" width="9.28515625" style="72" bestFit="1" customWidth="1"/>
    <col min="32" max="36" width="9" style="72" bestFit="1" customWidth="1"/>
    <col min="37" max="37" width="13.28515625" style="72" bestFit="1" customWidth="1"/>
    <col min="38" max="38" width="12.42578125" style="72" bestFit="1" customWidth="1"/>
    <col min="39" max="39" width="17.5703125" style="1802" bestFit="1" customWidth="1"/>
    <col min="40" max="40" width="9" style="72" bestFit="1" customWidth="1"/>
    <col min="41" max="41" width="29.7109375" style="72" bestFit="1" customWidth="1"/>
    <col min="42" max="50" width="9" style="72" bestFit="1" customWidth="1"/>
    <col min="51" max="51" width="9" style="72" customWidth="1"/>
    <col min="52" max="52" width="9.85546875" style="72" bestFit="1" customWidth="1"/>
    <col min="53" max="53" width="2" style="72" bestFit="1" customWidth="1"/>
    <col min="54" max="54" width="9" style="72" bestFit="1" customWidth="1"/>
    <col min="55" max="55" width="7.5703125" style="2189" bestFit="1" customWidth="1"/>
    <col min="56" max="56" width="4" style="72" bestFit="1" customWidth="1"/>
    <col min="57" max="59" width="9" style="72" bestFit="1" customWidth="1"/>
    <col min="60" max="60" width="9.5703125" style="72" bestFit="1" customWidth="1"/>
    <col min="61" max="61" width="9" style="72" bestFit="1" customWidth="1"/>
    <col min="62" max="62" width="14.7109375" style="2018" bestFit="1" customWidth="1"/>
    <col min="63" max="66" width="10" style="72" bestFit="1" customWidth="1"/>
    <col min="67" max="67" width="13.5703125" style="1802" customWidth="1"/>
    <col min="68" max="73" width="10" style="72" bestFit="1" customWidth="1"/>
    <col min="74" max="74" width="33.85546875" style="72" bestFit="1" customWidth="1"/>
    <col min="75" max="75" width="26.140625" style="72" bestFit="1" customWidth="1"/>
    <col min="76" max="16384" width="9.140625" style="72"/>
  </cols>
  <sheetData>
    <row r="1" spans="1:73">
      <c r="AM1" s="2445" t="s">
        <v>953</v>
      </c>
      <c r="BO1" s="2445" t="s">
        <v>953</v>
      </c>
    </row>
    <row r="2" spans="1:73" s="394" customFormat="1" ht="15.75">
      <c r="A2" s="392"/>
      <c r="B2" s="165" t="s">
        <v>221</v>
      </c>
      <c r="C2" s="393">
        <f>+MACRO!C8</f>
        <v>1.3475174441242466E-2</v>
      </c>
      <c r="D2" s="393">
        <f>+MACRO!D8</f>
        <v>1.3475174441242466E-2</v>
      </c>
      <c r="E2" s="393">
        <f>+MACRO!E8</f>
        <v>1.3475174441242466E-2</v>
      </c>
      <c r="F2" s="393">
        <f>+MACRO!F8</f>
        <v>1.3475174441242466E-2</v>
      </c>
      <c r="G2" s="393">
        <f>+MACRO!G8</f>
        <v>2.5999999999999999E-2</v>
      </c>
      <c r="H2" s="393">
        <f>+MACRO!H8</f>
        <v>1.7496396530000125E-2</v>
      </c>
      <c r="I2" s="393">
        <f>+MACRO!I8</f>
        <v>1.043057830399996E-2</v>
      </c>
      <c r="J2" s="393">
        <f>+MACRO!J8</f>
        <v>7.4178940399998172E-3</v>
      </c>
      <c r="K2" s="393">
        <f>+MACRO!K8</f>
        <v>9.6303213499999707E-3</v>
      </c>
      <c r="L2" s="393">
        <f>+MACRO!L8</f>
        <v>2.1939800180001967E-3</v>
      </c>
      <c r="M2" s="393">
        <f>+MACRO!M8</f>
        <v>5.9114472960000164E-3</v>
      </c>
      <c r="N2" s="393">
        <f>+MACRO!N8</f>
        <v>1.1442611743999853E-2</v>
      </c>
      <c r="O2" s="393">
        <f>+MACRO!O8</f>
        <v>7.0147783519998175E-3</v>
      </c>
      <c r="P2" s="393">
        <f>+MACRO!P8</f>
        <v>1.1239843999999888E-2</v>
      </c>
      <c r="Q2" s="393">
        <f>+MACRO!Q8</f>
        <v>8.1158400000000963E-3</v>
      </c>
      <c r="R2" s="393">
        <f>+MACRO!R8</f>
        <v>3.8999999999999998E-3</v>
      </c>
      <c r="S2" s="1789">
        <f>+MACRO!S8</f>
        <v>1.4999999999999999E-2</v>
      </c>
      <c r="T2" s="393">
        <f>+MACRO!T8</f>
        <v>7.1000000000000004E-3</v>
      </c>
      <c r="U2" s="393">
        <f>+MACRO!U8</f>
        <v>2.5999999999999999E-3</v>
      </c>
      <c r="V2" s="393">
        <f>+MACRO!V8</f>
        <v>1.7600000000000001E-2</v>
      </c>
      <c r="W2" s="1789">
        <f>+MACRO!W8</f>
        <v>5.4000000000000003E-3</v>
      </c>
      <c r="X2" s="393">
        <f>+MACRO!X8</f>
        <v>-4.3E-3</v>
      </c>
      <c r="Y2" s="393">
        <f>+MACRO!Y8</f>
        <v>1.24E-2</v>
      </c>
      <c r="Z2" s="393">
        <f>+MACRO!Z8</f>
        <v>3.1E-2</v>
      </c>
      <c r="AA2" s="393">
        <f>+MACRO!AA8</f>
        <v>2.0400000000000001E-2</v>
      </c>
      <c r="AB2" s="393">
        <f>+MACRO!AB8</f>
        <v>1.67E-2</v>
      </c>
      <c r="AC2" s="393">
        <f>+MACRO!AC8</f>
        <v>2.9900000000000003E-2</v>
      </c>
      <c r="AD2" s="393">
        <f>+MACRO!AD8</f>
        <v>2.9300000000000003E-2</v>
      </c>
      <c r="AE2" s="393">
        <f>+MACRO!AE8</f>
        <v>3.2199999999999999E-2</v>
      </c>
      <c r="AF2" s="393">
        <f>+MACRO!AF8</f>
        <v>2.2000000000000002E-2</v>
      </c>
      <c r="AG2" s="393">
        <f>+MACRO!AG8</f>
        <v>-1.3299999999999999E-2</v>
      </c>
      <c r="AH2" s="393">
        <f>+MACRO!AH8</f>
        <v>1.6200000000000003E-2</v>
      </c>
      <c r="AI2" s="393">
        <f>+MACRO!AI8</f>
        <v>2.0799999999999999E-2</v>
      </c>
      <c r="AJ2" s="393">
        <f>+MACRO!AJ8</f>
        <v>7.6E-3</v>
      </c>
      <c r="AK2" s="393">
        <f>+MACRO!AK8</f>
        <v>6.0999999999999995E-3</v>
      </c>
      <c r="AL2" s="393">
        <f>+MACRO!AL8</f>
        <v>1.2E-2</v>
      </c>
      <c r="AM2" s="1789">
        <f>+MACRO!AM8</f>
        <v>1.4154915775999921E-2</v>
      </c>
      <c r="AN2" s="393">
        <f>+MACRO!AN8</f>
        <v>1.0535156707999871E-2</v>
      </c>
      <c r="AO2" s="393">
        <f>+MACRO!AO8</f>
        <v>6.2002865600001567E-3</v>
      </c>
      <c r="AP2" s="393">
        <f>+MACRO!AP8</f>
        <v>1.4771353568000301E-2</v>
      </c>
      <c r="AQ2" s="393">
        <f>+MACRO!AQ8</f>
        <v>2.0403397376000054E-2</v>
      </c>
      <c r="AR2" s="393">
        <f>+MACRO!AR8</f>
        <v>9.327766831999762E-3</v>
      </c>
      <c r="AS2" s="393">
        <f>+MACRO!AS8</f>
        <v>6.3043262719999493E-3</v>
      </c>
      <c r="AT2" s="393">
        <f>+MACRO!AT8</f>
        <v>6.0105353459998234E-3</v>
      </c>
      <c r="AU2" s="393">
        <f>+MACRO!AU8</f>
        <v>1.4E-2</v>
      </c>
      <c r="AV2" s="393">
        <f>+MACRO!AV8</f>
        <v>7.4999999999999997E-3</v>
      </c>
      <c r="AW2" s="393">
        <f>+MACRO!AW8</f>
        <v>6.0000000000000001E-3</v>
      </c>
      <c r="AX2" s="393">
        <f>+MACRO!AX8</f>
        <v>1.15E-2</v>
      </c>
      <c r="AY2" s="2135"/>
      <c r="AZ2" s="2135"/>
      <c r="BA2" s="72"/>
      <c r="BB2" s="393">
        <v>6.0105353459998234E-3</v>
      </c>
      <c r="BC2" s="2177"/>
      <c r="BD2" s="72"/>
      <c r="BE2" s="393">
        <f>+MACRO!BD8</f>
        <v>0.1067</v>
      </c>
      <c r="BF2" s="393">
        <f>+MACRO!BE8</f>
        <v>6.2665012362475903E-2</v>
      </c>
      <c r="BG2" s="393">
        <f>+MACRO!BF8</f>
        <v>2.9473499083459087E-2</v>
      </c>
      <c r="BH2" s="2135">
        <f>+MACRO!BG8</f>
        <v>3.0601831439692972E-2</v>
      </c>
      <c r="BI2" s="2135"/>
      <c r="BJ2" s="2142">
        <f>+MACRO!BH8</f>
        <v>4.2901847469440035E-2</v>
      </c>
      <c r="BK2" s="393">
        <f>+MACRO!BI8</f>
        <v>4.4908326166231971E-2</v>
      </c>
      <c r="BL2" s="393">
        <f>+MACRO!BJ8</f>
        <v>9.9766038912527666E-2</v>
      </c>
      <c r="BM2" s="393">
        <f>+MACRO!BK8</f>
        <v>5.7740343796135907E-2</v>
      </c>
      <c r="BN2" s="393">
        <f>+MACRO!BL8</f>
        <v>4.7250271699456059E-2</v>
      </c>
      <c r="BO2" s="1789">
        <f>+MACRO!BM8</f>
        <v>4.6425617126184315E-2</v>
      </c>
      <c r="BP2" s="393">
        <f>+MACRO!BN8</f>
        <v>4.2643849045688853E-2</v>
      </c>
      <c r="BQ2" s="393">
        <f>+MACRO!BO8</f>
        <v>3.9553578245000276E-2</v>
      </c>
      <c r="BR2" s="393">
        <f>+MACRO!BP8</f>
        <v>4.2500000000000003E-2</v>
      </c>
      <c r="BS2" s="393">
        <f>+MACRO!BQ8</f>
        <v>0.04</v>
      </c>
      <c r="BT2" s="393">
        <f>+MACRO!BR8</f>
        <v>0.04</v>
      </c>
      <c r="BU2" s="393">
        <f>+MACRO!BS8</f>
        <v>0.04</v>
      </c>
    </row>
    <row r="3" spans="1:73" ht="12.75" customHeight="1">
      <c r="B3" s="73" t="s">
        <v>222</v>
      </c>
      <c r="C3" s="74" t="s">
        <v>223</v>
      </c>
      <c r="D3" s="74" t="s">
        <v>224</v>
      </c>
      <c r="E3" s="74" t="s">
        <v>225</v>
      </c>
      <c r="F3" s="74" t="s">
        <v>226</v>
      </c>
      <c r="G3" s="74" t="s">
        <v>6</v>
      </c>
      <c r="H3" s="74" t="s">
        <v>7</v>
      </c>
      <c r="I3" s="74" t="s">
        <v>8</v>
      </c>
      <c r="J3" s="74" t="s">
        <v>9</v>
      </c>
      <c r="K3" s="74" t="s">
        <v>227</v>
      </c>
      <c r="L3" s="74" t="s">
        <v>228</v>
      </c>
      <c r="M3" s="74" t="s">
        <v>229</v>
      </c>
      <c r="N3" s="74" t="s">
        <v>230</v>
      </c>
      <c r="O3" s="74" t="s">
        <v>231</v>
      </c>
      <c r="P3" s="74" t="s">
        <v>232</v>
      </c>
      <c r="Q3" s="74" t="s">
        <v>233</v>
      </c>
      <c r="R3" s="74" t="s">
        <v>234</v>
      </c>
      <c r="S3" s="1790" t="s">
        <v>235</v>
      </c>
      <c r="T3" s="74" t="s">
        <v>236</v>
      </c>
      <c r="U3" s="74" t="s">
        <v>237</v>
      </c>
      <c r="V3" s="74" t="s">
        <v>238</v>
      </c>
      <c r="W3" s="1790" t="s">
        <v>239</v>
      </c>
      <c r="X3" s="74" t="s">
        <v>240</v>
      </c>
      <c r="Y3" s="74" t="s">
        <v>241</v>
      </c>
      <c r="Z3" s="74" t="s">
        <v>242</v>
      </c>
      <c r="AA3" s="74" t="s">
        <v>243</v>
      </c>
      <c r="AB3" s="74" t="s">
        <v>244</v>
      </c>
      <c r="AC3" s="74" t="s">
        <v>245</v>
      </c>
      <c r="AD3" s="74" t="s">
        <v>246</v>
      </c>
      <c r="AE3" s="74" t="s">
        <v>247</v>
      </c>
      <c r="AF3" s="74" t="s">
        <v>248</v>
      </c>
      <c r="AG3" s="74" t="s">
        <v>249</v>
      </c>
      <c r="AH3" s="74" t="s">
        <v>250</v>
      </c>
      <c r="AI3" s="74" t="s">
        <v>251</v>
      </c>
      <c r="AJ3" s="74" t="s">
        <v>252</v>
      </c>
      <c r="AK3" s="74" t="s">
        <v>253</v>
      </c>
      <c r="AL3" s="74" t="s">
        <v>254</v>
      </c>
      <c r="AM3" s="1790" t="s">
        <v>255</v>
      </c>
      <c r="AN3" s="74" t="s">
        <v>256</v>
      </c>
      <c r="AO3" s="74" t="s">
        <v>257</v>
      </c>
      <c r="AP3" s="74" t="s">
        <v>258</v>
      </c>
      <c r="AQ3" s="74" t="s">
        <v>259</v>
      </c>
      <c r="AR3" s="74" t="s">
        <v>260</v>
      </c>
      <c r="AS3" s="74" t="s">
        <v>261</v>
      </c>
      <c r="AT3" s="74" t="s">
        <v>262</v>
      </c>
      <c r="AU3" s="74" t="s">
        <v>940</v>
      </c>
      <c r="AV3" s="74" t="s">
        <v>941</v>
      </c>
      <c r="AW3" s="74" t="s">
        <v>942</v>
      </c>
      <c r="AX3" s="74" t="s">
        <v>943</v>
      </c>
      <c r="AY3" s="74"/>
      <c r="AZ3" s="74"/>
      <c r="BA3" s="2252"/>
      <c r="BB3" s="74" t="s">
        <v>262</v>
      </c>
      <c r="BC3" s="2178"/>
      <c r="BE3" s="74">
        <v>2015</v>
      </c>
      <c r="BF3" s="74">
        <f>+BE3+1</f>
        <v>2016</v>
      </c>
      <c r="BG3" s="74">
        <f>+BF3+1</f>
        <v>2017</v>
      </c>
      <c r="BH3" s="74">
        <v>2018</v>
      </c>
      <c r="BI3" s="74">
        <v>2019</v>
      </c>
      <c r="BJ3" s="1997" t="s">
        <v>263</v>
      </c>
      <c r="BK3" s="74">
        <v>2020</v>
      </c>
      <c r="BL3" s="74">
        <f t="shared" ref="BL3:BQ3" si="0">+BK3+1</f>
        <v>2021</v>
      </c>
      <c r="BM3" s="74">
        <f t="shared" si="0"/>
        <v>2022</v>
      </c>
      <c r="BN3" s="74">
        <f t="shared" si="0"/>
        <v>2023</v>
      </c>
      <c r="BO3" s="1790">
        <f t="shared" si="0"/>
        <v>2024</v>
      </c>
      <c r="BP3" s="74">
        <f t="shared" si="0"/>
        <v>2025</v>
      </c>
      <c r="BQ3" s="74">
        <f t="shared" si="0"/>
        <v>2026</v>
      </c>
      <c r="BR3" s="74">
        <f t="shared" ref="BR3" si="1">+BQ3+1</f>
        <v>2027</v>
      </c>
      <c r="BS3" s="74">
        <f t="shared" ref="BS3" si="2">+BR3+1</f>
        <v>2028</v>
      </c>
      <c r="BT3" s="74">
        <f t="shared" ref="BT3" si="3">+BS3+1</f>
        <v>2029</v>
      </c>
      <c r="BU3" s="74">
        <f t="shared" ref="BU3" si="4">+BT3+1</f>
        <v>2030</v>
      </c>
    </row>
    <row r="4" spans="1:73" ht="15" hidden="1" customHeight="1">
      <c r="B4" s="75" t="s">
        <v>264</v>
      </c>
      <c r="C4" s="76">
        <v>1714.9</v>
      </c>
      <c r="D4" s="76">
        <v>1810.6</v>
      </c>
      <c r="E4" s="76">
        <v>1835</v>
      </c>
      <c r="F4" s="76">
        <v>1883</v>
      </c>
      <c r="G4" s="77">
        <v>1824.125</v>
      </c>
      <c r="H4" s="77">
        <v>1863.7990000000002</v>
      </c>
      <c r="I4" s="77">
        <v>1820.9</v>
      </c>
      <c r="J4" s="77">
        <v>1800.067</v>
      </c>
      <c r="K4" s="77">
        <v>1838.3200000000002</v>
      </c>
      <c r="L4" s="77">
        <v>1775.3720000000001</v>
      </c>
      <c r="M4" s="77">
        <v>1745.2090000000001</v>
      </c>
      <c r="N4" s="77">
        <v>1718.7560000000001</v>
      </c>
      <c r="O4" s="77">
        <v>1643.3420000000001</v>
      </c>
      <c r="P4" s="77">
        <v>1684.5230000000001</v>
      </c>
      <c r="Q4" s="77">
        <f>636.8+1082.1</f>
        <v>1718.8999999999999</v>
      </c>
      <c r="R4" s="77">
        <f>644.8+1058.7</f>
        <v>1703.5</v>
      </c>
      <c r="S4" s="1791">
        <f>634.4+1036.1</f>
        <v>1670.5</v>
      </c>
      <c r="T4" s="77">
        <f>1049.8+659.2</f>
        <v>1709</v>
      </c>
      <c r="U4" s="77">
        <f>628.1+1056.4</f>
        <v>1684.5</v>
      </c>
      <c r="V4" s="77" t="e">
        <f>+#REF!+V339</f>
        <v>#REF!</v>
      </c>
      <c r="W4" s="1791" t="e">
        <f>+#REF!+W339</f>
        <v>#REF!</v>
      </c>
      <c r="X4" s="77" t="e">
        <f>+#REF!+X339</f>
        <v>#REF!</v>
      </c>
      <c r="Y4" s="77" t="e">
        <f>+#REF!+Y339</f>
        <v>#REF!</v>
      </c>
      <c r="Z4" s="77" t="e">
        <f>+#REF!+Z339</f>
        <v>#REF!</v>
      </c>
      <c r="AA4" s="77" t="e">
        <f>+#REF!+AA339</f>
        <v>#REF!</v>
      </c>
      <c r="AB4" s="77" t="e">
        <f>+#REF!+AB339</f>
        <v>#REF!</v>
      </c>
      <c r="AC4" s="77" t="e">
        <f>+#REF!+AC339</f>
        <v>#REF!</v>
      </c>
      <c r="AD4" s="77" t="e">
        <f>+#REF!+AD339</f>
        <v>#REF!</v>
      </c>
      <c r="AE4" s="77" t="e">
        <f>+#REF!+AE339</f>
        <v>#REF!</v>
      </c>
      <c r="AF4" s="77" t="e">
        <f>+#REF!+AF339</f>
        <v>#REF!</v>
      </c>
      <c r="AG4" s="77" t="e">
        <f>+#REF!+AG339</f>
        <v>#REF!</v>
      </c>
      <c r="AH4" s="77" t="e">
        <f>+#REF!+AH339</f>
        <v>#REF!</v>
      </c>
      <c r="AI4" s="77" t="e">
        <f>+#REF!+AI339</f>
        <v>#REF!</v>
      </c>
      <c r="AJ4" s="77" t="e">
        <f>+#REF!+AJ339</f>
        <v>#REF!</v>
      </c>
      <c r="AK4" s="77" t="e">
        <f>+#REF!+AK339</f>
        <v>#REF!</v>
      </c>
      <c r="AL4" s="77" t="e">
        <f>+#REF!+AL339</f>
        <v>#REF!</v>
      </c>
      <c r="AM4" s="1791" t="e">
        <f>+#REF!+AM339</f>
        <v>#REF!</v>
      </c>
      <c r="AN4" s="77" t="e">
        <f>+#REF!+AN339</f>
        <v>#REF!</v>
      </c>
      <c r="AO4" s="77" t="e">
        <f>+#REF!+AO339</f>
        <v>#REF!</v>
      </c>
      <c r="AP4" s="77" t="e">
        <f>+#REF!+AP339</f>
        <v>#REF!</v>
      </c>
      <c r="AQ4" s="77" t="e">
        <f>+#REF!+AQ339</f>
        <v>#REF!</v>
      </c>
      <c r="AR4" s="77" t="e">
        <f>+#REF!+AR339</f>
        <v>#REF!</v>
      </c>
      <c r="AS4" s="77" t="e">
        <f>+#REF!+AS339</f>
        <v>#REF!</v>
      </c>
      <c r="AT4" s="77" t="e">
        <f>+#REF!+AT339</f>
        <v>#REF!</v>
      </c>
      <c r="AU4" s="77" t="e">
        <f>+#REF!+AU339</f>
        <v>#REF!</v>
      </c>
      <c r="AV4" s="77" t="e">
        <f>+#REF!+AV339</f>
        <v>#REF!</v>
      </c>
      <c r="AW4" s="77" t="e">
        <f>+#REF!+AW339</f>
        <v>#REF!</v>
      </c>
      <c r="AX4" s="77" t="e">
        <f>+#REF!+AX339</f>
        <v>#REF!</v>
      </c>
      <c r="AY4" s="77"/>
      <c r="AZ4" s="77"/>
      <c r="BA4" s="77"/>
      <c r="BB4" s="77" t="e">
        <v>#REF!</v>
      </c>
      <c r="BC4" s="2179"/>
      <c r="BE4" s="76">
        <f>+F4</f>
        <v>1883</v>
      </c>
      <c r="BF4" s="77">
        <f>+J4</f>
        <v>1800.067</v>
      </c>
      <c r="BG4" s="77">
        <f>+N4</f>
        <v>1718.7560000000001</v>
      </c>
      <c r="BH4" s="77">
        <f>+R4</f>
        <v>1703.5</v>
      </c>
      <c r="BI4" s="77"/>
      <c r="BJ4" s="1998" t="e">
        <f>+V4</f>
        <v>#REF!</v>
      </c>
      <c r="BK4" s="77" t="e">
        <f>+Z4</f>
        <v>#REF!</v>
      </c>
      <c r="BL4" s="77" t="e">
        <f>+AA4</f>
        <v>#REF!</v>
      </c>
      <c r="BM4" s="77" t="e">
        <f>+AH4</f>
        <v>#REF!</v>
      </c>
      <c r="BN4" s="77" t="e">
        <f>+AI4</f>
        <v>#REF!</v>
      </c>
      <c r="BO4" s="1791" t="e">
        <f>+AM4</f>
        <v>#REF!</v>
      </c>
      <c r="BP4" s="77" t="e">
        <f>+AQ4</f>
        <v>#REF!</v>
      </c>
      <c r="BQ4" s="77" t="e">
        <f>+AU4</f>
        <v>#REF!</v>
      </c>
      <c r="BR4" s="98" t="e">
        <f>+#REF!+BR339</f>
        <v>#REF!</v>
      </c>
      <c r="BS4" s="98" t="e">
        <f>+#REF!+BS339</f>
        <v>#REF!</v>
      </c>
      <c r="BT4" s="98" t="e">
        <f>+#REF!+BT339</f>
        <v>#REF!</v>
      </c>
      <c r="BU4" s="98" t="e">
        <f>+#REF!+BU339</f>
        <v>#REF!</v>
      </c>
    </row>
    <row r="5" spans="1:73" ht="15" hidden="1" customHeight="1">
      <c r="B5" s="75" t="s">
        <v>11</v>
      </c>
      <c r="C5" s="76">
        <v>1713</v>
      </c>
      <c r="D5" s="76">
        <v>1781.4</v>
      </c>
      <c r="E5" s="76">
        <v>1825.9</v>
      </c>
      <c r="F5" s="76">
        <v>1871.4</v>
      </c>
      <c r="G5" s="77">
        <v>1848.0495000000001</v>
      </c>
      <c r="H5" s="77">
        <v>1855.3599166666665</v>
      </c>
      <c r="I5" s="77">
        <v>1832.6</v>
      </c>
      <c r="J5" s="77">
        <v>1812.5381499999999</v>
      </c>
      <c r="K5" s="77">
        <v>1822.9274166666667</v>
      </c>
      <c r="L5" s="77">
        <v>1794.3739333333333</v>
      </c>
      <c r="M5" s="77">
        <v>1747.69625</v>
      </c>
      <c r="N5" s="77">
        <v>1734.5326</v>
      </c>
      <c r="O5" s="77">
        <v>1633.1827499999999</v>
      </c>
      <c r="P5" s="77">
        <v>1666.20075</v>
      </c>
      <c r="Q5" s="77">
        <f>633.8+1061.9</f>
        <v>1695.7</v>
      </c>
      <c r="R5" s="77">
        <f>644.4+1068.4</f>
        <v>1712.8000000000002</v>
      </c>
      <c r="S5" s="1791">
        <f>636.6+1018.2</f>
        <v>1654.8000000000002</v>
      </c>
      <c r="T5" s="77">
        <f>1039.1+650.2</f>
        <v>1689.3</v>
      </c>
      <c r="U5" s="77" t="e">
        <f>+#REF!+U342</f>
        <v>#REF!</v>
      </c>
      <c r="V5" s="77" t="e">
        <f>+#REF!+V342</f>
        <v>#REF!</v>
      </c>
      <c r="W5" s="1791" t="e">
        <f>+#REF!+W342</f>
        <v>#REF!</v>
      </c>
      <c r="X5" s="77" t="e">
        <f>+#REF!+X342</f>
        <v>#REF!</v>
      </c>
      <c r="Y5" s="77" t="e">
        <f>+#REF!+Y342</f>
        <v>#REF!</v>
      </c>
      <c r="Z5" s="77" t="e">
        <f>+#REF!+Z342</f>
        <v>#REF!</v>
      </c>
      <c r="AA5" s="77" t="e">
        <f>+#REF!+AA342</f>
        <v>#REF!</v>
      </c>
      <c r="AB5" s="77" t="e">
        <f>+#REF!+AB342</f>
        <v>#REF!</v>
      </c>
      <c r="AC5" s="77" t="e">
        <f>+#REF!+AC342</f>
        <v>#REF!</v>
      </c>
      <c r="AD5" s="77" t="e">
        <f>+#REF!+AD342</f>
        <v>#REF!</v>
      </c>
      <c r="AE5" s="77" t="e">
        <f>+#REF!+AE342</f>
        <v>#REF!</v>
      </c>
      <c r="AF5" s="77" t="e">
        <f>+#REF!+AF342</f>
        <v>#REF!</v>
      </c>
      <c r="AG5" s="77" t="e">
        <f>+#REF!+AG342</f>
        <v>#REF!</v>
      </c>
      <c r="AH5" s="77" t="e">
        <f>+#REF!+AH342</f>
        <v>#REF!</v>
      </c>
      <c r="AI5" s="77" t="e">
        <f>+#REF!+AI342</f>
        <v>#REF!</v>
      </c>
      <c r="AJ5" s="77" t="e">
        <f>+#REF!+AJ342</f>
        <v>#REF!</v>
      </c>
      <c r="AK5" s="77" t="e">
        <f>+#REF!+AK342</f>
        <v>#REF!</v>
      </c>
      <c r="AL5" s="77" t="e">
        <f>+#REF!+AL342</f>
        <v>#REF!</v>
      </c>
      <c r="AM5" s="1791" t="e">
        <f>+#REF!+AM342</f>
        <v>#REF!</v>
      </c>
      <c r="AN5" s="77" t="e">
        <f>+#REF!+AN342</f>
        <v>#REF!</v>
      </c>
      <c r="AO5" s="77" t="e">
        <f>+#REF!+AO342</f>
        <v>#REF!</v>
      </c>
      <c r="AP5" s="77" t="e">
        <f>+#REF!+AP342</f>
        <v>#REF!</v>
      </c>
      <c r="AQ5" s="77" t="e">
        <f>+#REF!+AQ342</f>
        <v>#REF!</v>
      </c>
      <c r="AR5" s="77" t="e">
        <f>+#REF!+AR342</f>
        <v>#REF!</v>
      </c>
      <c r="AS5" s="77" t="e">
        <f>+#REF!+AS342</f>
        <v>#REF!</v>
      </c>
      <c r="AT5" s="77" t="e">
        <f>+#REF!+AT342</f>
        <v>#REF!</v>
      </c>
      <c r="AU5" s="77" t="e">
        <f>+#REF!+AU342</f>
        <v>#REF!</v>
      </c>
      <c r="AV5" s="77" t="e">
        <f>+#REF!+AV342</f>
        <v>#REF!</v>
      </c>
      <c r="AW5" s="77" t="e">
        <f>+#REF!+AW342</f>
        <v>#REF!</v>
      </c>
      <c r="AX5" s="77" t="e">
        <f>+#REF!+AX342</f>
        <v>#REF!</v>
      </c>
      <c r="AY5" s="77"/>
      <c r="AZ5" s="77"/>
      <c r="BA5" s="77"/>
      <c r="BB5" s="77" t="e">
        <v>#REF!</v>
      </c>
      <c r="BC5" s="2179"/>
      <c r="BE5" s="76">
        <f>+F5</f>
        <v>1871.4</v>
      </c>
      <c r="BF5" s="77">
        <f>+J5</f>
        <v>1812.5381499999999</v>
      </c>
      <c r="BG5" s="77">
        <f>+N5</f>
        <v>1734.5326</v>
      </c>
      <c r="BH5" s="77">
        <f>+R5</f>
        <v>1712.8000000000002</v>
      </c>
      <c r="BI5" s="77"/>
      <c r="BJ5" s="1998" t="e">
        <f>+V5</f>
        <v>#REF!</v>
      </c>
      <c r="BK5" s="77" t="e">
        <f>+Z5</f>
        <v>#REF!</v>
      </c>
      <c r="BL5" s="77" t="e">
        <f>+AA5</f>
        <v>#REF!</v>
      </c>
      <c r="BM5" s="77" t="e">
        <f>+AH5</f>
        <v>#REF!</v>
      </c>
      <c r="BN5" s="77" t="e">
        <f>+AI5</f>
        <v>#REF!</v>
      </c>
      <c r="BO5" s="1791" t="e">
        <f>+AM5</f>
        <v>#REF!</v>
      </c>
      <c r="BP5" s="77" t="e">
        <f>+AQ5</f>
        <v>#REF!</v>
      </c>
      <c r="BQ5" s="77" t="e">
        <f>+AU5</f>
        <v>#REF!</v>
      </c>
      <c r="BR5" s="98" t="e">
        <f>+#REF!+BR342</f>
        <v>#REF!</v>
      </c>
      <c r="BS5" s="98" t="e">
        <f>+#REF!+BS342</f>
        <v>#REF!</v>
      </c>
      <c r="BT5" s="98" t="e">
        <f>+#REF!+BT342</f>
        <v>#REF!</v>
      </c>
      <c r="BU5" s="98" t="e">
        <f>+#REF!+BU342</f>
        <v>#REF!</v>
      </c>
    </row>
    <row r="6" spans="1:73" ht="15" hidden="1" customHeight="1">
      <c r="B6" s="75" t="s">
        <v>12</v>
      </c>
      <c r="C6" s="76">
        <v>114.81</v>
      </c>
      <c r="D6" s="76">
        <v>120.42</v>
      </c>
      <c r="E6" s="76">
        <v>129.66</v>
      </c>
      <c r="F6" s="76">
        <v>139.62</v>
      </c>
      <c r="G6" s="77">
        <v>109.18610424538134</v>
      </c>
      <c r="H6" s="77">
        <v>116.89729032795019</v>
      </c>
      <c r="I6" s="77">
        <v>112.8</v>
      </c>
      <c r="J6" s="77">
        <v>128.46676851828022</v>
      </c>
      <c r="K6" s="77">
        <v>101.83593982667506</v>
      </c>
      <c r="L6" s="77">
        <v>107.58112244723198</v>
      </c>
      <c r="M6" s="77">
        <v>116.21644267197655</v>
      </c>
      <c r="N6" s="77">
        <v>134.05380944546189</v>
      </c>
      <c r="O6" s="77">
        <v>104.67395</v>
      </c>
      <c r="P6" s="77">
        <v>122.16680869617574</v>
      </c>
      <c r="Q6" s="77">
        <f>35.4+89.6</f>
        <v>125</v>
      </c>
      <c r="R6" s="77">
        <f>40.4+99.4</f>
        <v>139.80000000000001</v>
      </c>
      <c r="S6" s="1791">
        <f>33.5+73.4</f>
        <v>106.9</v>
      </c>
      <c r="T6" s="77">
        <f>81.8+38.5</f>
        <v>120.3</v>
      </c>
      <c r="U6" s="77" t="e">
        <f>+#REF!+U344</f>
        <v>#REF!</v>
      </c>
      <c r="V6" s="77" t="e">
        <f>+#REF!+V344</f>
        <v>#REF!</v>
      </c>
      <c r="W6" s="1791" t="e">
        <f>+#REF!+W344</f>
        <v>#REF!</v>
      </c>
      <c r="X6" s="77" t="e">
        <f>+#REF!+X344</f>
        <v>#REF!</v>
      </c>
      <c r="Y6" s="77" t="e">
        <f>+#REF!+Y344</f>
        <v>#REF!</v>
      </c>
      <c r="Z6" s="77" t="e">
        <f>+#REF!+Z344</f>
        <v>#REF!</v>
      </c>
      <c r="AA6" s="77" t="e">
        <f>+#REF!+AA344</f>
        <v>#REF!</v>
      </c>
      <c r="AB6" s="77" t="e">
        <f>+#REF!+AB344</f>
        <v>#REF!</v>
      </c>
      <c r="AC6" s="77" t="e">
        <f>+#REF!+AC344</f>
        <v>#REF!</v>
      </c>
      <c r="AD6" s="77" t="e">
        <f>+#REF!+AD344</f>
        <v>#REF!</v>
      </c>
      <c r="AE6" s="77" t="e">
        <f>+#REF!+AE344</f>
        <v>#REF!</v>
      </c>
      <c r="AF6" s="77" t="e">
        <f>+#REF!+AF344</f>
        <v>#REF!</v>
      </c>
      <c r="AG6" s="77" t="e">
        <f>+#REF!+AG344</f>
        <v>#REF!</v>
      </c>
      <c r="AH6" s="77" t="e">
        <f>+#REF!+AH344</f>
        <v>#REF!</v>
      </c>
      <c r="AI6" s="77" t="e">
        <f>+#REF!+AI344</f>
        <v>#REF!</v>
      </c>
      <c r="AJ6" s="77" t="e">
        <f>+#REF!+AJ344</f>
        <v>#REF!</v>
      </c>
      <c r="AK6" s="77" t="e">
        <f>+#REF!+AK344</f>
        <v>#REF!</v>
      </c>
      <c r="AL6" s="77" t="e">
        <f>+#REF!+AL344</f>
        <v>#REF!</v>
      </c>
      <c r="AM6" s="1791" t="e">
        <f>+#REF!+AM344</f>
        <v>#REF!</v>
      </c>
      <c r="AN6" s="77" t="e">
        <f>+#REF!+AN344</f>
        <v>#REF!</v>
      </c>
      <c r="AO6" s="77" t="e">
        <f>+#REF!+AO344</f>
        <v>#REF!</v>
      </c>
      <c r="AP6" s="77" t="e">
        <f>+#REF!+AP344</f>
        <v>#REF!</v>
      </c>
      <c r="AQ6" s="77" t="e">
        <f>+#REF!+AQ344</f>
        <v>#REF!</v>
      </c>
      <c r="AR6" s="77" t="e">
        <f>+#REF!+AR344</f>
        <v>#REF!</v>
      </c>
      <c r="AS6" s="77" t="e">
        <f>+#REF!+AS344</f>
        <v>#REF!</v>
      </c>
      <c r="AT6" s="77" t="e">
        <f>+#REF!+AT344</f>
        <v>#REF!</v>
      </c>
      <c r="AU6" s="77" t="e">
        <f>+#REF!+AU344</f>
        <v>#REF!</v>
      </c>
      <c r="AV6" s="77" t="e">
        <f>+#REF!+AV344</f>
        <v>#REF!</v>
      </c>
      <c r="AW6" s="77" t="e">
        <f>+#REF!+AW344</f>
        <v>#REF!</v>
      </c>
      <c r="AX6" s="77" t="e">
        <f>+#REF!+AX344</f>
        <v>#REF!</v>
      </c>
      <c r="AY6" s="77"/>
      <c r="AZ6" s="77"/>
      <c r="BA6" s="77"/>
      <c r="BB6" s="77" t="e">
        <v>#REF!</v>
      </c>
      <c r="BC6" s="2179"/>
      <c r="BE6" s="76">
        <f>+SUM(C6:F6)</f>
        <v>504.51</v>
      </c>
      <c r="BF6" s="77">
        <f>+SUM(G6:J6)</f>
        <v>467.35016309161176</v>
      </c>
      <c r="BG6" s="77">
        <f>+SUM(K6:N6)</f>
        <v>459.68731439134547</v>
      </c>
      <c r="BH6" s="77">
        <f>+SUM(O6:R6)</f>
        <v>491.64075869617574</v>
      </c>
      <c r="BI6" s="77"/>
      <c r="BJ6" s="1998" t="e">
        <f>+SUM(S6:V6)</f>
        <v>#REF!</v>
      </c>
      <c r="BK6" s="77" t="e">
        <f>+SUM(W6:Z6)</f>
        <v>#REF!</v>
      </c>
      <c r="BL6" s="77" t="e">
        <f>+SUM(AA6:AD6)</f>
        <v>#REF!</v>
      </c>
      <c r="BM6" s="77" t="e">
        <f>+SUM(AE6:AH6)</f>
        <v>#REF!</v>
      </c>
      <c r="BN6" s="77" t="e">
        <f>+SUM(AI6:AL6)</f>
        <v>#REF!</v>
      </c>
      <c r="BO6" s="1791" t="e">
        <f>+SUM(AM6:AP6)</f>
        <v>#REF!</v>
      </c>
      <c r="BP6" s="77" t="e">
        <f>+SUM(AQ6:AT6)</f>
        <v>#REF!</v>
      </c>
      <c r="BQ6" s="77" t="e">
        <f>+SUM(AU6:AX6)</f>
        <v>#REF!</v>
      </c>
      <c r="BR6" s="98" t="e">
        <f>+#REF!+BR344</f>
        <v>#REF!</v>
      </c>
      <c r="BS6" s="98" t="e">
        <f>+#REF!+BS344</f>
        <v>#REF!</v>
      </c>
      <c r="BT6" s="98" t="e">
        <f>+#REF!+BT344</f>
        <v>#REF!</v>
      </c>
      <c r="BU6" s="98" t="e">
        <f>+#REF!+BU344</f>
        <v>#REF!</v>
      </c>
    </row>
    <row r="7" spans="1:73" hidden="1">
      <c r="B7" s="75"/>
      <c r="C7" s="76"/>
      <c r="D7" s="76"/>
      <c r="E7" s="76"/>
      <c r="F7" s="76"/>
      <c r="G7" s="77"/>
      <c r="H7" s="77"/>
      <c r="I7" s="77"/>
      <c r="J7" s="77"/>
      <c r="K7" s="77"/>
      <c r="L7" s="77"/>
      <c r="M7" s="77"/>
      <c r="N7" s="77"/>
      <c r="O7" s="77"/>
      <c r="P7" s="77"/>
      <c r="Q7" s="77"/>
      <c r="R7" s="77"/>
      <c r="S7" s="1791"/>
      <c r="T7" s="77"/>
      <c r="U7" s="77"/>
      <c r="V7" s="77"/>
      <c r="W7" s="1791"/>
      <c r="X7" s="77"/>
      <c r="Y7" s="77"/>
      <c r="Z7" s="77"/>
      <c r="AA7" s="77"/>
      <c r="AB7" s="77"/>
      <c r="AC7" s="77"/>
      <c r="AD7" s="77"/>
      <c r="AE7" s="77"/>
      <c r="AF7" s="77"/>
      <c r="AG7" s="77"/>
      <c r="AH7" s="77"/>
      <c r="AI7" s="77"/>
      <c r="AJ7" s="77"/>
      <c r="AK7" s="77"/>
      <c r="AL7" s="77"/>
      <c r="AM7" s="1791"/>
      <c r="AN7" s="77"/>
      <c r="AO7" s="77"/>
      <c r="AP7" s="77"/>
      <c r="AQ7" s="77"/>
      <c r="AR7" s="77"/>
      <c r="AS7" s="77"/>
      <c r="AT7" s="77"/>
      <c r="AU7" s="77"/>
      <c r="AV7" s="77"/>
      <c r="AW7" s="77"/>
      <c r="AX7" s="77"/>
      <c r="AY7" s="77"/>
      <c r="AZ7" s="77"/>
      <c r="BA7" s="77"/>
      <c r="BB7" s="77"/>
      <c r="BC7" s="2179"/>
      <c r="BE7" s="76"/>
      <c r="BF7" s="77"/>
      <c r="BG7" s="77"/>
      <c r="BH7" s="77"/>
      <c r="BI7" s="77"/>
      <c r="BJ7" s="1998"/>
      <c r="BK7" s="77"/>
      <c r="BL7" s="77"/>
      <c r="BM7" s="77"/>
      <c r="BN7" s="77"/>
      <c r="BO7" s="1791"/>
      <c r="BP7" s="77"/>
      <c r="BQ7" s="77"/>
      <c r="BR7" s="98"/>
      <c r="BS7" s="98"/>
      <c r="BT7" s="98"/>
      <c r="BU7" s="98"/>
    </row>
    <row r="8" spans="1:73" s="354" customFormat="1" ht="13.5" hidden="1" customHeight="1" thickBot="1">
      <c r="A8" s="349"/>
      <c r="B8" s="350" t="s">
        <v>13</v>
      </c>
      <c r="C8" s="351">
        <v>2205.8399258293916</v>
      </c>
      <c r="D8" s="351">
        <v>2637.309977278423</v>
      </c>
      <c r="E8" s="351">
        <v>2763.0573708089132</v>
      </c>
      <c r="F8" s="351">
        <v>3200.232814272551</v>
      </c>
      <c r="G8" s="351">
        <v>2320.0279951656412</v>
      </c>
      <c r="H8" s="351">
        <v>2815.4641341387064</v>
      </c>
      <c r="I8" s="351">
        <v>2656.2</v>
      </c>
      <c r="J8" s="351">
        <v>3198.6641059527201</v>
      </c>
      <c r="K8" s="351">
        <v>2395.9488136445721</v>
      </c>
      <c r="L8" s="351">
        <v>2801.6005717910075</v>
      </c>
      <c r="M8" s="351">
        <v>3203.2068470318013</v>
      </c>
      <c r="N8" s="351">
        <v>5350.1</v>
      </c>
      <c r="O8" s="351">
        <v>3708.4433950359853</v>
      </c>
      <c r="P8" s="351">
        <v>4301.12092691623</v>
      </c>
      <c r="Q8" s="351">
        <v>4392.9386057147303</v>
      </c>
      <c r="R8" s="351">
        <v>6111.9652618866303</v>
      </c>
      <c r="S8" s="1953">
        <v>3940.6</v>
      </c>
      <c r="T8" s="351">
        <v>4629.8999999999996</v>
      </c>
      <c r="U8" s="351">
        <v>4705</v>
      </c>
      <c r="V8" s="351">
        <v>6432.6</v>
      </c>
      <c r="W8" s="1792">
        <f>+W36+W40+W44+W48</f>
        <v>9719.1</v>
      </c>
      <c r="X8" s="352">
        <f t="shared" ref="X8:AD8" si="5">+X36+X40+X44+X48</f>
        <v>9115.7999999999993</v>
      </c>
      <c r="Y8" s="352">
        <f t="shared" si="5"/>
        <v>13601.3</v>
      </c>
      <c r="Z8" s="352">
        <f t="shared" si="5"/>
        <v>15260.800000000003</v>
      </c>
      <c r="AA8" s="352">
        <f t="shared" si="5"/>
        <v>12059.1</v>
      </c>
      <c r="AB8" s="352">
        <f t="shared" si="5"/>
        <v>12232.999999999998</v>
      </c>
      <c r="AC8" s="352">
        <f t="shared" si="5"/>
        <v>12329.1</v>
      </c>
      <c r="AD8" s="352">
        <f t="shared" si="5"/>
        <v>15023</v>
      </c>
      <c r="AE8" s="352">
        <f t="shared" ref="AE8:AH8" si="6">+AE36+AE40+AE44+AE48</f>
        <v>10642.000000000002</v>
      </c>
      <c r="AF8" s="352">
        <f t="shared" si="6"/>
        <v>11271.699999999999</v>
      </c>
      <c r="AG8" s="352">
        <f t="shared" si="6"/>
        <v>11693.3</v>
      </c>
      <c r="AH8" s="352">
        <f t="shared" si="6"/>
        <v>13501.6</v>
      </c>
      <c r="AI8" s="352">
        <f t="shared" ref="AI8:AL8" si="7">+AI36+AI40+AI44+AI48</f>
        <v>9557.4</v>
      </c>
      <c r="AJ8" s="352">
        <f t="shared" si="7"/>
        <v>10185.730080933539</v>
      </c>
      <c r="AK8" s="352">
        <f t="shared" si="7"/>
        <v>9822.4360000000015</v>
      </c>
      <c r="AL8" s="352">
        <f t="shared" si="7"/>
        <v>8609.9</v>
      </c>
      <c r="AM8" s="2391">
        <f t="shared" ref="AM8:AP8" si="8">+AM36+AM40+AM44+AM48</f>
        <v>6371.9</v>
      </c>
      <c r="AN8" s="352">
        <f t="shared" si="8"/>
        <v>7944.6426255093893</v>
      </c>
      <c r="AO8" s="352">
        <f t="shared" si="8"/>
        <v>7900.680268365295</v>
      </c>
      <c r="AP8" s="352">
        <f t="shared" si="8"/>
        <v>9369.6</v>
      </c>
      <c r="AQ8" s="352">
        <f t="shared" ref="AQ8:AT8" si="9">+AQ36+AQ40+AQ44+AQ48</f>
        <v>6819.9</v>
      </c>
      <c r="AR8" s="352">
        <f t="shared" si="9"/>
        <v>7545.9</v>
      </c>
      <c r="AS8" s="352">
        <f t="shared" si="9"/>
        <v>6867</v>
      </c>
      <c r="AT8" s="352">
        <f t="shared" si="9"/>
        <v>8262</v>
      </c>
      <c r="AU8" s="352">
        <f t="shared" ref="AU8:AX8" si="10">+AU36+AU40+AU44+AU48</f>
        <v>6020.787034060736</v>
      </c>
      <c r="AV8" s="352">
        <f t="shared" si="10"/>
        <v>7623.58275398361</v>
      </c>
      <c r="AW8" s="352">
        <f t="shared" si="10"/>
        <v>7377.6226592810299</v>
      </c>
      <c r="AX8" s="352">
        <f t="shared" si="10"/>
        <v>9319.950296166111</v>
      </c>
      <c r="AY8" s="156"/>
      <c r="AZ8" s="156"/>
      <c r="BA8" s="80"/>
      <c r="BB8" s="352">
        <v>8402.5252371742245</v>
      </c>
      <c r="BC8" s="2180">
        <f>+AT8/BB8-1</f>
        <v>-1.6724167224457354E-2</v>
      </c>
      <c r="BD8" s="978"/>
      <c r="BE8" s="353">
        <f>+SUM(C8:F8)</f>
        <v>10806.44008818928</v>
      </c>
      <c r="BF8" s="353">
        <f>+SUM(G8:J8)</f>
        <v>10990.356235257068</v>
      </c>
      <c r="BG8" s="353">
        <f>+SUM(K8:N8)</f>
        <v>13750.85623246738</v>
      </c>
      <c r="BH8" s="80">
        <f>+SUM(O8:R8)</f>
        <v>18514.468189553576</v>
      </c>
      <c r="BI8" s="80"/>
      <c r="BJ8" s="2000">
        <f>+SUM(S8:V8)</f>
        <v>19708.099999999999</v>
      </c>
      <c r="BK8" s="353">
        <f>+SUM(W8:Z8)</f>
        <v>47697</v>
      </c>
      <c r="BL8" s="353">
        <f>+SUM(AA8:AD8)</f>
        <v>51644.2</v>
      </c>
      <c r="BM8" s="353">
        <f>+SUM(AE8:AH8)</f>
        <v>47108.6</v>
      </c>
      <c r="BN8" s="353">
        <f>+SUM(AI8:AL8)</f>
        <v>38175.46608093354</v>
      </c>
      <c r="BO8" s="1792">
        <f>+SUM(AM8:AP8)</f>
        <v>31586.822893874683</v>
      </c>
      <c r="BP8" s="353">
        <f>+SUM(AQ8:AT8)</f>
        <v>29494.799999999999</v>
      </c>
      <c r="BQ8" s="353">
        <f>+SUM(AU8:AX8)</f>
        <v>30341.942743491491</v>
      </c>
      <c r="BR8" s="352">
        <f t="shared" ref="BR8" si="11">+BR36+BR40+BR44+BR48</f>
        <v>31698.982389548346</v>
      </c>
      <c r="BS8" s="352">
        <f t="shared" ref="BS8:BU8" si="12">+BS36+BS40+BS44+BS48</f>
        <v>32921.72228114141</v>
      </c>
      <c r="BT8" s="352">
        <f t="shared" si="12"/>
        <v>34175.413649736605</v>
      </c>
      <c r="BU8" s="352">
        <f t="shared" si="12"/>
        <v>35383.327713027356</v>
      </c>
    </row>
    <row r="9" spans="1:73" ht="13.5" hidden="1" customHeight="1">
      <c r="B9" s="78"/>
      <c r="C9" s="92"/>
      <c r="D9" s="92"/>
      <c r="E9" s="92"/>
      <c r="F9" s="92"/>
      <c r="G9" s="131">
        <f t="shared" ref="G9:S9" si="13">+G8/C8-1</f>
        <v>5.1766253751760916E-2</v>
      </c>
      <c r="H9" s="131">
        <f t="shared" si="13"/>
        <v>6.7551466606185606E-2</v>
      </c>
      <c r="I9" s="131">
        <f t="shared" si="13"/>
        <v>-3.8673598289285516E-2</v>
      </c>
      <c r="J9" s="131">
        <f t="shared" si="13"/>
        <v>-4.9018568675207597E-4</v>
      </c>
      <c r="K9" s="131">
        <f t="shared" si="13"/>
        <v>3.2724095845882317E-2</v>
      </c>
      <c r="L9" s="131">
        <f t="shared" si="13"/>
        <v>-4.9240770569929371E-3</v>
      </c>
      <c r="M9" s="131">
        <f t="shared" si="13"/>
        <v>0.20593586591062474</v>
      </c>
      <c r="N9" s="131">
        <f t="shared" si="13"/>
        <v>0.67260450700136154</v>
      </c>
      <c r="O9" s="131">
        <f t="shared" si="13"/>
        <v>0.54779742117901353</v>
      </c>
      <c r="P9" s="131">
        <f t="shared" si="13"/>
        <v>0.53523702494342684</v>
      </c>
      <c r="Q9" s="131">
        <f t="shared" si="13"/>
        <v>0.37141896090331294</v>
      </c>
      <c r="R9" s="131">
        <f t="shared" si="13"/>
        <v>0.14240206012721823</v>
      </c>
      <c r="S9" s="1095">
        <f t="shared" si="13"/>
        <v>6.260217030001658E-2</v>
      </c>
      <c r="T9" s="131">
        <f t="shared" ref="T9:AD9" si="14">+T8/P8-1</f>
        <v>7.6440323039113967E-2</v>
      </c>
      <c r="U9" s="131">
        <f t="shared" si="14"/>
        <v>7.1037048839997841E-2</v>
      </c>
      <c r="V9" s="131">
        <f t="shared" si="14"/>
        <v>5.2460170235718362E-2</v>
      </c>
      <c r="W9" s="1095">
        <f t="shared" si="14"/>
        <v>1.4664010556768008</v>
      </c>
      <c r="X9" s="131">
        <f t="shared" si="14"/>
        <v>0.96889781636752415</v>
      </c>
      <c r="Y9" s="131">
        <f t="shared" si="14"/>
        <v>1.8908182784272047</v>
      </c>
      <c r="Z9" s="131">
        <f t="shared" si="14"/>
        <v>1.3724155085035603</v>
      </c>
      <c r="AA9" s="131">
        <f t="shared" si="14"/>
        <v>0.24076303361422347</v>
      </c>
      <c r="AB9" s="131">
        <f t="shared" si="14"/>
        <v>0.3419557252243357</v>
      </c>
      <c r="AC9" s="131">
        <f t="shared" si="14"/>
        <v>-9.3535176784572016E-2</v>
      </c>
      <c r="AD9" s="131">
        <f t="shared" si="14"/>
        <v>-1.5582407213252436E-2</v>
      </c>
      <c r="AE9" s="131">
        <f t="shared" ref="AE9" si="15">+AE8/AA8-1</f>
        <v>-0.11751291555754562</v>
      </c>
      <c r="AF9" s="131">
        <f t="shared" ref="AF9" si="16">+AF8/AB8-1</f>
        <v>-7.85825226845418E-2</v>
      </c>
      <c r="AG9" s="131">
        <f t="shared" ref="AG9" si="17">+AG8/AC8-1</f>
        <v>-5.1569052080038369E-2</v>
      </c>
      <c r="AH9" s="131">
        <f t="shared" ref="AH9" si="18">+AH8/AD8-1</f>
        <v>-0.10127138387805368</v>
      </c>
      <c r="AI9" s="131">
        <f t="shared" ref="AI9" si="19">+AI8/AE8-1</f>
        <v>-0.10191693290734838</v>
      </c>
      <c r="AJ9" s="131">
        <f t="shared" ref="AJ9" si="20">+AJ8/AF8-1</f>
        <v>-9.6344821017810944E-2</v>
      </c>
      <c r="AK9" s="131">
        <f t="shared" ref="AK9" si="21">+AK8/AG8-1</f>
        <v>-0.1599945267802928</v>
      </c>
      <c r="AL9" s="131">
        <f t="shared" ref="AL9" si="22">+AL8/AH8-1</f>
        <v>-0.36230520827161228</v>
      </c>
      <c r="AM9" s="1095">
        <f t="shared" ref="AM9" si="23">+AM8/AI8-1</f>
        <v>-0.33330194404335911</v>
      </c>
      <c r="AN9" s="131">
        <f t="shared" ref="AN9" si="24">+AN8/AJ8-1</f>
        <v>-0.22002227013841613</v>
      </c>
      <c r="AO9" s="131">
        <f t="shared" ref="AO9" si="25">+AO8/AK8-1</f>
        <v>-0.19564960582432978</v>
      </c>
      <c r="AP9" s="131">
        <f t="shared" ref="AP9" si="26">+AP8/AL8-1</f>
        <v>8.823563572166937E-2</v>
      </c>
      <c r="AQ9" s="131">
        <f t="shared" ref="AQ9" si="27">+AQ8/AM8-1</f>
        <v>7.0308699132126895E-2</v>
      </c>
      <c r="AR9" s="131">
        <f t="shared" ref="AR9" si="28">+AR8/AN8-1</f>
        <v>-5.0190127398439532E-2</v>
      </c>
      <c r="AS9" s="131">
        <f t="shared" ref="AS9" si="29">+AS8/AO8-1</f>
        <v>-0.13083433745625683</v>
      </c>
      <c r="AT9" s="131">
        <f t="shared" ref="AT9" si="30">+AT8/AP8-1</f>
        <v>-0.11821209016393441</v>
      </c>
      <c r="AU9" s="131">
        <f t="shared" ref="AU9" si="31">+AU8/AQ8-1</f>
        <v>-0.11717370723020337</v>
      </c>
      <c r="AV9" s="131">
        <f t="shared" ref="AV9" si="32">+AV8/AR8-1</f>
        <v>1.0294696985596152E-2</v>
      </c>
      <c r="AW9" s="131">
        <f t="shared" ref="AW9" si="33">+AW8/AS8-1</f>
        <v>7.4358913540269356E-2</v>
      </c>
      <c r="AX9" s="131">
        <f t="shared" ref="AX9" si="34">+AX8/AT8-1</f>
        <v>0.1280501447792437</v>
      </c>
      <c r="AY9" s="131"/>
      <c r="AZ9" s="131"/>
      <c r="BA9" s="80"/>
      <c r="BB9" s="131">
        <v>-0.10321409268546955</v>
      </c>
      <c r="BC9" s="2181"/>
      <c r="BE9" s="80"/>
      <c r="BF9" s="84">
        <f t="shared" ref="BF9:BQ9" si="35">+BF8/BE8-1</f>
        <v>1.7019124296890009E-2</v>
      </c>
      <c r="BG9" s="84">
        <f t="shared" si="35"/>
        <v>0.25117475158399571</v>
      </c>
      <c r="BH9" s="84">
        <f t="shared" si="35"/>
        <v>0.34642293371075694</v>
      </c>
      <c r="BI9" s="84"/>
      <c r="BJ9" s="1999">
        <f>+BJ8/BH8-1</f>
        <v>6.4470218546158753E-2</v>
      </c>
      <c r="BK9" s="84">
        <f>+BK8/BJ8-1</f>
        <v>1.4201724164176155</v>
      </c>
      <c r="BL9" s="84">
        <f t="shared" si="35"/>
        <v>8.2755728871836798E-2</v>
      </c>
      <c r="BM9" s="84">
        <f t="shared" si="35"/>
        <v>-8.782399572459243E-2</v>
      </c>
      <c r="BN9" s="84">
        <f t="shared" si="35"/>
        <v>-0.18962851621713361</v>
      </c>
      <c r="BO9" s="1801">
        <f t="shared" si="35"/>
        <v>-0.17258841511170198</v>
      </c>
      <c r="BP9" s="84">
        <f t="shared" si="35"/>
        <v>-6.6230874213068391E-2</v>
      </c>
      <c r="BQ9" s="84">
        <f t="shared" si="35"/>
        <v>2.8721765988970693E-2</v>
      </c>
      <c r="BR9" s="84">
        <f t="shared" ref="BR9" si="36">+BR8/BQ8-1</f>
        <v>4.4724876634603339E-2</v>
      </c>
      <c r="BS9" s="84">
        <f t="shared" ref="BS9" si="37">+BS8/BR8-1</f>
        <v>3.8573474585613887E-2</v>
      </c>
      <c r="BT9" s="84">
        <f t="shared" ref="BT9" si="38">+BT8/BS8-1</f>
        <v>3.8080977595553955E-2</v>
      </c>
      <c r="BU9" s="84">
        <f t="shared" ref="BU9" si="39">+BU8/BT8-1</f>
        <v>3.5344533812250223E-2</v>
      </c>
    </row>
    <row r="10" spans="1:73" ht="13.5" hidden="1" customHeight="1">
      <c r="B10" s="78"/>
      <c r="C10" s="92"/>
      <c r="D10" s="92"/>
      <c r="E10" s="92"/>
      <c r="F10" s="92"/>
      <c r="G10" s="131"/>
      <c r="H10" s="131"/>
      <c r="I10" s="131"/>
      <c r="J10" s="131"/>
      <c r="K10" s="131"/>
      <c r="L10" s="131"/>
      <c r="M10" s="131"/>
      <c r="N10" s="131"/>
      <c r="O10" s="131"/>
      <c r="P10" s="131"/>
      <c r="Q10" s="131"/>
      <c r="R10" s="131"/>
      <c r="S10" s="1095"/>
      <c r="T10" s="131"/>
      <c r="U10" s="131"/>
      <c r="V10" s="131"/>
      <c r="W10" s="1793"/>
      <c r="X10" s="156"/>
      <c r="Y10" s="156"/>
      <c r="Z10" s="156"/>
      <c r="AA10" s="156"/>
      <c r="AB10" s="156"/>
      <c r="AC10" s="156"/>
      <c r="AD10" s="156"/>
      <c r="AE10" s="156"/>
      <c r="AF10" s="156"/>
      <c r="AG10" s="156"/>
      <c r="AH10" s="156"/>
      <c r="AI10" s="156"/>
      <c r="AJ10" s="156"/>
      <c r="AK10" s="156"/>
      <c r="AL10" s="156"/>
      <c r="AM10" s="1793"/>
      <c r="AN10" s="156"/>
      <c r="AO10" s="156"/>
      <c r="AP10" s="156"/>
      <c r="AQ10" s="156"/>
      <c r="AR10" s="156"/>
      <c r="AS10" s="156"/>
      <c r="AT10" s="156"/>
      <c r="AU10" s="156"/>
      <c r="AV10" s="156"/>
      <c r="AW10" s="156"/>
      <c r="AX10" s="156"/>
      <c r="AY10" s="156"/>
      <c r="AZ10" s="156"/>
      <c r="BA10" s="80"/>
      <c r="BB10" s="156"/>
      <c r="BC10" s="2181"/>
      <c r="BE10" s="80"/>
      <c r="BF10" s="80"/>
      <c r="BG10" s="80"/>
      <c r="BH10" s="80"/>
      <c r="BI10" s="80"/>
      <c r="BJ10" s="2000"/>
      <c r="BK10" s="80"/>
      <c r="BL10" s="80"/>
      <c r="BM10" s="80"/>
      <c r="BN10" s="80"/>
      <c r="BO10" s="1795"/>
      <c r="BP10" s="80"/>
      <c r="BQ10" s="80"/>
      <c r="BR10" s="156"/>
      <c r="BS10" s="156"/>
      <c r="BT10" s="156"/>
      <c r="BU10" s="156"/>
    </row>
    <row r="11" spans="1:73" ht="13.5" hidden="1" customHeight="1">
      <c r="B11" s="355" t="s">
        <v>265</v>
      </c>
      <c r="C11" s="573">
        <v>1703.7</v>
      </c>
      <c r="D11" s="573">
        <v>1979.2</v>
      </c>
      <c r="E11" s="573">
        <v>1952.8</v>
      </c>
      <c r="F11" s="573">
        <v>2256.3000000000002</v>
      </c>
      <c r="G11" s="573">
        <v>1611.7</v>
      </c>
      <c r="H11" s="573">
        <v>2003.5</v>
      </c>
      <c r="I11" s="573">
        <v>1849.5</v>
      </c>
      <c r="J11" s="573">
        <v>2293.1</v>
      </c>
      <c r="K11" s="573">
        <v>1682.7651381199994</v>
      </c>
      <c r="L11" s="573">
        <v>1943.7478135600006</v>
      </c>
      <c r="M11" s="573">
        <v>1931.4178995000011</v>
      </c>
      <c r="N11" s="573">
        <v>2389.5056353099985</v>
      </c>
      <c r="O11" s="573">
        <v>1663.65435118</v>
      </c>
      <c r="P11" s="573">
        <v>2045.3235021399998</v>
      </c>
      <c r="Q11" s="573">
        <v>2158.1</v>
      </c>
      <c r="R11" s="573">
        <v>2673.7</v>
      </c>
      <c r="S11" s="1954">
        <v>1686.9</v>
      </c>
      <c r="T11" s="573">
        <v>2224.5</v>
      </c>
      <c r="U11" s="573">
        <v>2219.5</v>
      </c>
      <c r="V11" s="573">
        <v>2734</v>
      </c>
      <c r="W11" s="1794"/>
      <c r="X11" s="98"/>
      <c r="Y11" s="98"/>
      <c r="Z11" s="98"/>
      <c r="AA11" s="98"/>
      <c r="AB11" s="98"/>
      <c r="AC11" s="98"/>
      <c r="AD11" s="98"/>
      <c r="AE11" s="98"/>
      <c r="AF11" s="98"/>
      <c r="AG11" s="98"/>
      <c r="AH11" s="98"/>
      <c r="AI11" s="98"/>
      <c r="AJ11" s="98"/>
      <c r="AK11" s="98"/>
      <c r="AL11" s="98"/>
      <c r="AM11" s="1794"/>
      <c r="AN11" s="98"/>
      <c r="AO11" s="98"/>
      <c r="AP11" s="98"/>
      <c r="AQ11" s="98"/>
      <c r="AR11" s="98"/>
      <c r="AS11" s="98"/>
      <c r="AT11" s="98"/>
      <c r="AU11" s="98"/>
      <c r="AV11" s="98"/>
      <c r="AW11" s="98"/>
      <c r="AX11" s="98"/>
      <c r="AY11" s="98"/>
      <c r="AZ11" s="98"/>
      <c r="BA11" s="77"/>
      <c r="BB11" s="98"/>
      <c r="BC11" s="2179"/>
      <c r="BD11" s="978"/>
      <c r="BE11" s="77">
        <f>+SUM(C11:F11)</f>
        <v>7892</v>
      </c>
      <c r="BF11" s="77">
        <f>+SUM(G11:J11)</f>
        <v>7757.7999999999993</v>
      </c>
      <c r="BG11" s="77">
        <f>+SUM(K11:N11)</f>
        <v>7947.4364864899999</v>
      </c>
      <c r="BH11" s="77">
        <f>+SUM(O11:R11)</f>
        <v>8540.7778533199998</v>
      </c>
      <c r="BI11" s="77"/>
      <c r="BJ11" s="1998">
        <f>+SUM(S11:V11)</f>
        <v>8864.9</v>
      </c>
      <c r="BK11" s="77"/>
      <c r="BL11" s="77"/>
      <c r="BM11" s="77"/>
      <c r="BN11" s="77"/>
      <c r="BO11" s="1791"/>
      <c r="BP11" s="77"/>
      <c r="BQ11" s="77"/>
      <c r="BR11" s="98"/>
      <c r="BS11" s="98"/>
      <c r="BT11" s="98"/>
      <c r="BU11" s="98"/>
    </row>
    <row r="12" spans="1:73" ht="13.5" hidden="1" customHeight="1">
      <c r="B12" s="355" t="s">
        <v>266</v>
      </c>
      <c r="C12" s="574">
        <v>0.77235260640618608</v>
      </c>
      <c r="D12" s="574">
        <v>0.75047225180536514</v>
      </c>
      <c r="E12" s="574">
        <v>0.70677003730915322</v>
      </c>
      <c r="F12" s="574">
        <v>0.70505201612184709</v>
      </c>
      <c r="G12" s="574">
        <v>0.69468418069883309</v>
      </c>
      <c r="H12" s="574">
        <v>0.71160403924765325</v>
      </c>
      <c r="I12" s="574">
        <v>0.69629545967924111</v>
      </c>
      <c r="J12" s="574">
        <v>0.7168888828003418</v>
      </c>
      <c r="K12" s="574">
        <v>0.70233768289910969</v>
      </c>
      <c r="L12" s="574">
        <v>0.69379904941888315</v>
      </c>
      <c r="M12" s="574">
        <v>0.60296383959397359</v>
      </c>
      <c r="N12" s="574">
        <v>0.44662821915665096</v>
      </c>
      <c r="O12" s="574">
        <v>0.44862488725781297</v>
      </c>
      <c r="P12" s="574">
        <v>0.47552720203717136</v>
      </c>
      <c r="Q12" s="574">
        <v>0.49126568652531338</v>
      </c>
      <c r="R12" s="574">
        <v>0.43745340253695864</v>
      </c>
      <c r="S12" s="1097">
        <v>0.42808201796680712</v>
      </c>
      <c r="T12" s="574">
        <v>0.48046394090585115</v>
      </c>
      <c r="U12" s="574">
        <f>+U11/U$8</f>
        <v>0.47173219978746017</v>
      </c>
      <c r="V12" s="574">
        <f>+V11/V$8</f>
        <v>0.425022541429593</v>
      </c>
      <c r="W12" s="1095"/>
      <c r="X12" s="131"/>
      <c r="Y12" s="131"/>
      <c r="Z12" s="131"/>
      <c r="AA12" s="131"/>
      <c r="AB12" s="131"/>
      <c r="AC12" s="131"/>
      <c r="AD12" s="131"/>
      <c r="AE12" s="131"/>
      <c r="AF12" s="131"/>
      <c r="AG12" s="131"/>
      <c r="AH12" s="131"/>
      <c r="AI12" s="131"/>
      <c r="AJ12" s="131"/>
      <c r="AK12" s="131"/>
      <c r="AL12" s="131"/>
      <c r="AM12" s="1095"/>
      <c r="AN12" s="131"/>
      <c r="AO12" s="131"/>
      <c r="AP12" s="131"/>
      <c r="AQ12" s="131"/>
      <c r="AR12" s="131"/>
      <c r="AS12" s="131"/>
      <c r="AT12" s="131"/>
      <c r="AU12" s="131"/>
      <c r="AV12" s="131"/>
      <c r="AW12" s="131"/>
      <c r="AX12" s="131"/>
      <c r="AY12" s="131"/>
      <c r="AZ12" s="131"/>
      <c r="BA12" s="77"/>
      <c r="BB12" s="131"/>
      <c r="BC12" s="2179"/>
      <c r="BD12" s="703"/>
      <c r="BE12" s="131">
        <f t="shared" ref="BE12:BJ12" si="40">+BE11/BE$8</f>
        <v>0.7303052564577146</v>
      </c>
      <c r="BF12" s="131">
        <f t="shared" si="40"/>
        <v>0.70587338880908823</v>
      </c>
      <c r="BG12" s="131">
        <f t="shared" si="40"/>
        <v>0.57795939046509504</v>
      </c>
      <c r="BH12" s="131">
        <f t="shared" si="40"/>
        <v>0.46130289921797296</v>
      </c>
      <c r="BI12" s="131"/>
      <c r="BJ12" s="2001">
        <f t="shared" si="40"/>
        <v>0.44980997660860256</v>
      </c>
      <c r="BK12" s="131"/>
      <c r="BL12" s="131"/>
      <c r="BM12" s="131"/>
      <c r="BN12" s="131"/>
      <c r="BO12" s="1095"/>
      <c r="BP12" s="131"/>
      <c r="BQ12" s="131"/>
      <c r="BR12" s="131"/>
      <c r="BS12" s="131"/>
      <c r="BT12" s="131"/>
      <c r="BU12" s="131"/>
    </row>
    <row r="13" spans="1:73" ht="13.5" hidden="1" customHeight="1">
      <c r="B13" s="356" t="s">
        <v>108</v>
      </c>
      <c r="C13" s="575"/>
      <c r="D13" s="575"/>
      <c r="E13" s="575"/>
      <c r="F13" s="575"/>
      <c r="G13" s="574">
        <v>-5.4000242617203043E-2</v>
      </c>
      <c r="H13" s="574">
        <v>1.2261191422090256E-2</v>
      </c>
      <c r="I13" s="574">
        <v>-5.2920789724762884E-2</v>
      </c>
      <c r="J13" s="574">
        <v>1.629022787897294E-2</v>
      </c>
      <c r="K13" s="574">
        <v>4.4101864851481265E-2</v>
      </c>
      <c r="L13" s="574">
        <v>-2.9821795042947574E-2</v>
      </c>
      <c r="M13" s="574">
        <v>4.4291916463909731E-2</v>
      </c>
      <c r="N13" s="574">
        <v>4.204764537192518E-2</v>
      </c>
      <c r="O13" s="574">
        <v>-1.1329648854800478E-2</v>
      </c>
      <c r="P13" s="574">
        <v>5.2245556615703626E-2</v>
      </c>
      <c r="Q13" s="574">
        <v>0.11736564135533878</v>
      </c>
      <c r="R13" s="574">
        <v>0.11893437725796852</v>
      </c>
      <c r="S13" s="1097">
        <v>1.3944821782773342E-2</v>
      </c>
      <c r="T13" s="574">
        <v>8.7615508727326041E-2</v>
      </c>
      <c r="U13" s="574">
        <f>+U11/Q11-1</f>
        <v>2.8450952226495518E-2</v>
      </c>
      <c r="V13" s="574">
        <f>+V11/R11-1</f>
        <v>2.2553016419194494E-2</v>
      </c>
      <c r="W13" s="1095"/>
      <c r="X13" s="131"/>
      <c r="Y13" s="131"/>
      <c r="Z13" s="131"/>
      <c r="AA13" s="131"/>
      <c r="AB13" s="131"/>
      <c r="AC13" s="131"/>
      <c r="AD13" s="131"/>
      <c r="AE13" s="131"/>
      <c r="AF13" s="131"/>
      <c r="AG13" s="131"/>
      <c r="AH13" s="131"/>
      <c r="AI13" s="131"/>
      <c r="AJ13" s="131"/>
      <c r="AK13" s="131"/>
      <c r="AL13" s="131"/>
      <c r="AM13" s="1095"/>
      <c r="AN13" s="131"/>
      <c r="AO13" s="131"/>
      <c r="AP13" s="131"/>
      <c r="AQ13" s="131"/>
      <c r="AR13" s="131"/>
      <c r="AS13" s="131"/>
      <c r="AT13" s="131"/>
      <c r="AU13" s="131"/>
      <c r="AV13" s="131"/>
      <c r="AW13" s="131"/>
      <c r="AX13" s="131"/>
      <c r="AY13" s="131"/>
      <c r="AZ13" s="131"/>
      <c r="BA13" s="80"/>
      <c r="BB13" s="131"/>
      <c r="BC13" s="2181"/>
      <c r="BD13" s="703"/>
      <c r="BE13" s="80"/>
      <c r="BF13" s="84">
        <f t="shared" ref="BF13:BH13" si="41">+BF11/BE11-1</f>
        <v>-1.7004561581348332E-2</v>
      </c>
      <c r="BG13" s="84">
        <f t="shared" si="41"/>
        <v>2.4444621734254657E-2</v>
      </c>
      <c r="BH13" s="84">
        <f t="shared" si="41"/>
        <v>7.4658208069813714E-2</v>
      </c>
      <c r="BI13" s="84"/>
      <c r="BJ13" s="1999">
        <f>+BJ11/BH11-1</f>
        <v>3.7949956344316638E-2</v>
      </c>
      <c r="BK13" s="84"/>
      <c r="BL13" s="84"/>
      <c r="BM13" s="84"/>
      <c r="BN13" s="84"/>
      <c r="BO13" s="1801"/>
      <c r="BP13" s="84"/>
      <c r="BQ13" s="84"/>
      <c r="BR13" s="84"/>
      <c r="BS13" s="84"/>
      <c r="BT13" s="84"/>
      <c r="BU13" s="84"/>
    </row>
    <row r="14" spans="1:73" ht="13.5" hidden="1" customHeight="1">
      <c r="B14" s="356"/>
      <c r="C14" s="575"/>
      <c r="D14" s="575"/>
      <c r="E14" s="575"/>
      <c r="F14" s="575"/>
      <c r="G14" s="574"/>
      <c r="H14" s="574"/>
      <c r="I14" s="574"/>
      <c r="J14" s="574"/>
      <c r="K14" s="574"/>
      <c r="L14" s="574"/>
      <c r="M14" s="574"/>
      <c r="N14" s="574"/>
      <c r="O14" s="574"/>
      <c r="P14" s="574"/>
      <c r="Q14" s="574"/>
      <c r="R14" s="574"/>
      <c r="S14" s="1097"/>
      <c r="T14" s="574"/>
      <c r="U14" s="574"/>
      <c r="V14" s="574"/>
      <c r="W14" s="1095"/>
      <c r="X14" s="131"/>
      <c r="Y14" s="131"/>
      <c r="Z14" s="131"/>
      <c r="AA14" s="131"/>
      <c r="AB14" s="131"/>
      <c r="AC14" s="131"/>
      <c r="AD14" s="131"/>
      <c r="AE14" s="131"/>
      <c r="AF14" s="131"/>
      <c r="AG14" s="131"/>
      <c r="AH14" s="131"/>
      <c r="AI14" s="131"/>
      <c r="AJ14" s="131"/>
      <c r="AK14" s="131"/>
      <c r="AL14" s="131"/>
      <c r="AM14" s="1095"/>
      <c r="AN14" s="131"/>
      <c r="AO14" s="131"/>
      <c r="AP14" s="131"/>
      <c r="AQ14" s="131"/>
      <c r="AR14" s="131"/>
      <c r="AS14" s="131"/>
      <c r="AT14" s="131"/>
      <c r="AU14" s="131"/>
      <c r="AV14" s="131"/>
      <c r="AW14" s="131"/>
      <c r="AX14" s="131"/>
      <c r="AY14" s="131"/>
      <c r="AZ14" s="131"/>
      <c r="BA14" s="80"/>
      <c r="BB14" s="131"/>
      <c r="BC14" s="2181"/>
      <c r="BD14" s="703"/>
      <c r="BE14" s="80"/>
      <c r="BF14" s="80"/>
      <c r="BG14" s="80"/>
      <c r="BH14" s="80"/>
      <c r="BI14" s="80"/>
      <c r="BJ14" s="2000"/>
      <c r="BK14" s="80"/>
      <c r="BL14" s="80"/>
      <c r="BM14" s="80"/>
      <c r="BN14" s="80"/>
      <c r="BO14" s="1795"/>
      <c r="BP14" s="80"/>
      <c r="BQ14" s="80"/>
      <c r="BR14" s="131"/>
      <c r="BS14" s="131"/>
      <c r="BT14" s="131"/>
      <c r="BU14" s="131"/>
    </row>
    <row r="15" spans="1:73" ht="13.5" hidden="1" customHeight="1">
      <c r="B15" s="355" t="s">
        <v>267</v>
      </c>
      <c r="C15" s="573">
        <v>425.6</v>
      </c>
      <c r="D15" s="573">
        <v>561.6</v>
      </c>
      <c r="E15" s="573">
        <v>686.9</v>
      </c>
      <c r="F15" s="573">
        <v>750.5</v>
      </c>
      <c r="G15" s="573">
        <v>560.79999999999995</v>
      </c>
      <c r="H15" s="573">
        <v>668.2</v>
      </c>
      <c r="I15" s="573">
        <v>658.6</v>
      </c>
      <c r="J15" s="573">
        <v>687.7</v>
      </c>
      <c r="K15" s="573">
        <v>551.79425926833073</v>
      </c>
      <c r="L15" s="573">
        <v>688.29958319859179</v>
      </c>
      <c r="M15" s="573">
        <v>738.92013744630879</v>
      </c>
      <c r="N15" s="573">
        <v>782.04328223708376</v>
      </c>
      <c r="O15" s="573">
        <v>661.76526766766324</v>
      </c>
      <c r="P15" s="573">
        <v>802.82207746580991</v>
      </c>
      <c r="Q15" s="573">
        <v>629.6</v>
      </c>
      <c r="R15" s="573">
        <v>954</v>
      </c>
      <c r="S15" s="1954">
        <v>720.2</v>
      </c>
      <c r="T15" s="573">
        <v>880.4</v>
      </c>
      <c r="U15" s="573">
        <v>863.2</v>
      </c>
      <c r="V15" s="573">
        <v>1048.5</v>
      </c>
      <c r="W15" s="1794"/>
      <c r="X15" s="98"/>
      <c r="Y15" s="98"/>
      <c r="Z15" s="98"/>
      <c r="AA15" s="98"/>
      <c r="AB15" s="98"/>
      <c r="AC15" s="98"/>
      <c r="AD15" s="98"/>
      <c r="AE15" s="98"/>
      <c r="AF15" s="98"/>
      <c r="AG15" s="98"/>
      <c r="AH15" s="98"/>
      <c r="AI15" s="98"/>
      <c r="AJ15" s="98"/>
      <c r="AK15" s="98"/>
      <c r="AL15" s="98"/>
      <c r="AM15" s="1794"/>
      <c r="AN15" s="98"/>
      <c r="AO15" s="98"/>
      <c r="AP15" s="98"/>
      <c r="AQ15" s="98"/>
      <c r="AR15" s="98"/>
      <c r="AS15" s="98"/>
      <c r="AT15" s="98"/>
      <c r="AU15" s="98"/>
      <c r="AV15" s="98"/>
      <c r="AW15" s="98"/>
      <c r="AX15" s="98"/>
      <c r="AY15" s="98"/>
      <c r="AZ15" s="98"/>
      <c r="BA15" s="77"/>
      <c r="BB15" s="98"/>
      <c r="BC15" s="2179"/>
      <c r="BD15" s="978"/>
      <c r="BE15" s="77">
        <f>+SUM(C15:F15)</f>
        <v>2424.6</v>
      </c>
      <c r="BF15" s="77">
        <f>+SUM(G15:J15)</f>
        <v>2575.3000000000002</v>
      </c>
      <c r="BG15" s="77">
        <f>+SUM(K15:N15)</f>
        <v>2761.0572621503152</v>
      </c>
      <c r="BH15" s="77">
        <f>+SUM(O15:R15)</f>
        <v>3048.1873451334732</v>
      </c>
      <c r="BI15" s="77"/>
      <c r="BJ15" s="1998">
        <f>+SUM(S15:V15)</f>
        <v>3512.3</v>
      </c>
      <c r="BK15" s="77"/>
      <c r="BL15" s="77"/>
      <c r="BM15" s="77"/>
      <c r="BN15" s="77"/>
      <c r="BO15" s="1791"/>
      <c r="BP15" s="77"/>
      <c r="BQ15" s="77"/>
      <c r="BR15" s="98"/>
      <c r="BS15" s="98"/>
      <c r="BT15" s="98"/>
      <c r="BU15" s="98"/>
    </row>
    <row r="16" spans="1:73" ht="13.5" hidden="1" customHeight="1">
      <c r="B16" s="355" t="s">
        <v>266</v>
      </c>
      <c r="C16" s="574">
        <v>0.19292939717491972</v>
      </c>
      <c r="D16" s="574">
        <v>0.21296181544871709</v>
      </c>
      <c r="E16" s="574">
        <v>0.24859978363418958</v>
      </c>
      <c r="F16" s="574">
        <v>0.23452909354524704</v>
      </c>
      <c r="G16" s="574">
        <v>0.24170145153038225</v>
      </c>
      <c r="H16" s="574">
        <v>0.2373440471653768</v>
      </c>
      <c r="I16" s="574">
        <v>0.24794819667193738</v>
      </c>
      <c r="J16" s="574">
        <v>0.21499415283133846</v>
      </c>
      <c r="K16" s="574">
        <v>0.23030302489182761</v>
      </c>
      <c r="L16" s="574">
        <v>0.24568084049132513</v>
      </c>
      <c r="M16" s="574">
        <v>0.23068136799564379</v>
      </c>
      <c r="N16" s="574">
        <v>0.14617358222034799</v>
      </c>
      <c r="O16" s="574">
        <v>0.17845762480448435</v>
      </c>
      <c r="P16" s="574">
        <v>0.18664901862584518</v>
      </c>
      <c r="Q16" s="574">
        <v>0.1433209194366977</v>
      </c>
      <c r="R16" s="574">
        <v>0.15608727457091617</v>
      </c>
      <c r="S16" s="1097">
        <v>0.18276404608435265</v>
      </c>
      <c r="T16" s="574">
        <v>0.19015529493077604</v>
      </c>
      <c r="U16" s="574">
        <f>+U15/U$8</f>
        <v>0.18346439957492031</v>
      </c>
      <c r="V16" s="574">
        <f>+V15/V$8</f>
        <v>0.16299785467773528</v>
      </c>
      <c r="W16" s="1095"/>
      <c r="X16" s="131"/>
      <c r="Y16" s="131"/>
      <c r="Z16" s="131"/>
      <c r="AA16" s="131"/>
      <c r="AB16" s="131"/>
      <c r="AC16" s="131"/>
      <c r="AD16" s="131"/>
      <c r="AE16" s="131"/>
      <c r="AF16" s="131"/>
      <c r="AG16" s="131"/>
      <c r="AH16" s="131"/>
      <c r="AI16" s="131"/>
      <c r="AJ16" s="131"/>
      <c r="AK16" s="131"/>
      <c r="AL16" s="131"/>
      <c r="AM16" s="1095"/>
      <c r="AN16" s="131"/>
      <c r="AO16" s="131"/>
      <c r="AP16" s="131"/>
      <c r="AQ16" s="131"/>
      <c r="AR16" s="131"/>
      <c r="AS16" s="131"/>
      <c r="AT16" s="131"/>
      <c r="AU16" s="131"/>
      <c r="AV16" s="131"/>
      <c r="AW16" s="131"/>
      <c r="AX16" s="131"/>
      <c r="AY16" s="131"/>
      <c r="AZ16" s="131"/>
      <c r="BA16" s="77"/>
      <c r="BB16" s="131"/>
      <c r="BC16" s="2179"/>
      <c r="BE16" s="131">
        <f t="shared" ref="BE16:BJ16" si="42">+BE15/BE$8</f>
        <v>0.22436620942820257</v>
      </c>
      <c r="BF16" s="131">
        <f t="shared" si="42"/>
        <v>0.23432361471036184</v>
      </c>
      <c r="BG16" s="131">
        <f t="shared" si="42"/>
        <v>0.20079166093171244</v>
      </c>
      <c r="BH16" s="131">
        <f t="shared" si="42"/>
        <v>0.16463812591999552</v>
      </c>
      <c r="BI16" s="131"/>
      <c r="BJ16" s="2001">
        <f t="shared" si="42"/>
        <v>0.1782160634459943</v>
      </c>
      <c r="BK16" s="131"/>
      <c r="BL16" s="131"/>
      <c r="BM16" s="131"/>
      <c r="BN16" s="131"/>
      <c r="BO16" s="1095"/>
      <c r="BP16" s="131"/>
      <c r="BQ16" s="131"/>
      <c r="BR16" s="131"/>
      <c r="BS16" s="131"/>
      <c r="BT16" s="131"/>
      <c r="BU16" s="131"/>
    </row>
    <row r="17" spans="2:73" ht="13.5" hidden="1" customHeight="1">
      <c r="B17" s="356" t="s">
        <v>108</v>
      </c>
      <c r="C17" s="575"/>
      <c r="D17" s="575"/>
      <c r="E17" s="575"/>
      <c r="F17" s="575"/>
      <c r="G17" s="574">
        <v>0.31765005190987017</v>
      </c>
      <c r="H17" s="574">
        <v>0.18977660435403676</v>
      </c>
      <c r="I17" s="574">
        <v>-4.1193261583704288E-2</v>
      </c>
      <c r="J17" s="574">
        <v>-8.3743673219684012E-2</v>
      </c>
      <c r="K17" s="574">
        <v>-1.5978258938641021E-2</v>
      </c>
      <c r="L17" s="574">
        <v>3.002831552365115E-2</v>
      </c>
      <c r="M17" s="574">
        <v>0.12195587222336579</v>
      </c>
      <c r="N17" s="574">
        <v>0.13719647351567477</v>
      </c>
      <c r="O17" s="574">
        <v>0.19936006742356271</v>
      </c>
      <c r="P17" s="574">
        <v>0.16635258773412898</v>
      </c>
      <c r="Q17" s="574">
        <v>-0.14794580889907361</v>
      </c>
      <c r="R17" s="574">
        <v>0.21988133095526785</v>
      </c>
      <c r="S17" s="1097">
        <v>8.8244182532487336E-2</v>
      </c>
      <c r="T17" s="574">
        <v>9.6661684105630252E-2</v>
      </c>
      <c r="U17" s="574">
        <f>+U15/Q15-1</f>
        <v>0.37102922490470136</v>
      </c>
      <c r="V17" s="574">
        <f>+V15/R15-1</f>
        <v>9.9056603773584939E-2</v>
      </c>
      <c r="W17" s="1095"/>
      <c r="X17" s="131"/>
      <c r="Y17" s="131"/>
      <c r="Z17" s="131"/>
      <c r="AA17" s="131"/>
      <c r="AB17" s="131"/>
      <c r="AC17" s="131"/>
      <c r="AD17" s="131"/>
      <c r="AE17" s="131"/>
      <c r="AF17" s="131"/>
      <c r="AG17" s="131"/>
      <c r="AH17" s="131"/>
      <c r="AI17" s="131"/>
      <c r="AJ17" s="131"/>
      <c r="AK17" s="131"/>
      <c r="AL17" s="131"/>
      <c r="AM17" s="1095"/>
      <c r="AN17" s="131"/>
      <c r="AO17" s="131"/>
      <c r="AP17" s="131"/>
      <c r="AQ17" s="131"/>
      <c r="AR17" s="131"/>
      <c r="AS17" s="131"/>
      <c r="AT17" s="131"/>
      <c r="AU17" s="131"/>
      <c r="AV17" s="131"/>
      <c r="AW17" s="131"/>
      <c r="AX17" s="131"/>
      <c r="AY17" s="131"/>
      <c r="AZ17" s="131"/>
      <c r="BA17" s="80"/>
      <c r="BB17" s="131"/>
      <c r="BC17" s="2181"/>
      <c r="BE17" s="80"/>
      <c r="BF17" s="84">
        <f t="shared" ref="BF17:BH17" si="43">+BF15/BE15-1</f>
        <v>6.2154582199125841E-2</v>
      </c>
      <c r="BG17" s="84">
        <f t="shared" si="43"/>
        <v>7.2130339048000147E-2</v>
      </c>
      <c r="BH17" s="84">
        <f t="shared" si="43"/>
        <v>0.10399280265543664</v>
      </c>
      <c r="BI17" s="84"/>
      <c r="BJ17" s="1999">
        <f>+BJ15/BH15-1</f>
        <v>0.15225857282279498</v>
      </c>
      <c r="BK17" s="84"/>
      <c r="BL17" s="84"/>
      <c r="BM17" s="84"/>
      <c r="BN17" s="84"/>
      <c r="BO17" s="1801"/>
      <c r="BP17" s="84"/>
      <c r="BQ17" s="84"/>
      <c r="BR17" s="84"/>
      <c r="BS17" s="84"/>
      <c r="BT17" s="84"/>
      <c r="BU17" s="84"/>
    </row>
    <row r="18" spans="2:73" ht="13.5" hidden="1" customHeight="1">
      <c r="B18" s="356"/>
      <c r="C18" s="575"/>
      <c r="D18" s="575"/>
      <c r="E18" s="575"/>
      <c r="F18" s="575"/>
      <c r="G18" s="574"/>
      <c r="H18" s="574"/>
      <c r="I18" s="574"/>
      <c r="J18" s="574"/>
      <c r="K18" s="574"/>
      <c r="L18" s="574"/>
      <c r="M18" s="574"/>
      <c r="N18" s="574"/>
      <c r="O18" s="574"/>
      <c r="P18" s="574"/>
      <c r="Q18" s="574"/>
      <c r="R18" s="574"/>
      <c r="S18" s="1097"/>
      <c r="T18" s="574"/>
      <c r="U18" s="574"/>
      <c r="V18" s="574"/>
      <c r="W18" s="1095"/>
      <c r="X18" s="131"/>
      <c r="Y18" s="131"/>
      <c r="Z18" s="131"/>
      <c r="AA18" s="131"/>
      <c r="AB18" s="131"/>
      <c r="AC18" s="131"/>
      <c r="AD18" s="131"/>
      <c r="AE18" s="131"/>
      <c r="AF18" s="131"/>
      <c r="AG18" s="131"/>
      <c r="AH18" s="131"/>
      <c r="AI18" s="131"/>
      <c r="AJ18" s="131"/>
      <c r="AK18" s="131"/>
      <c r="AL18" s="131"/>
      <c r="AM18" s="1095"/>
      <c r="AN18" s="131"/>
      <c r="AO18" s="131"/>
      <c r="AP18" s="131"/>
      <c r="AQ18" s="131"/>
      <c r="AR18" s="131"/>
      <c r="AS18" s="131"/>
      <c r="AT18" s="131"/>
      <c r="AU18" s="131"/>
      <c r="AV18" s="131"/>
      <c r="AW18" s="131"/>
      <c r="AX18" s="131"/>
      <c r="AY18" s="131"/>
      <c r="AZ18" s="131"/>
      <c r="BA18" s="80"/>
      <c r="BB18" s="131"/>
      <c r="BC18" s="2181"/>
      <c r="BE18" s="80"/>
      <c r="BF18" s="80"/>
      <c r="BG18" s="80"/>
      <c r="BH18" s="80"/>
      <c r="BI18" s="80"/>
      <c r="BJ18" s="2000"/>
      <c r="BK18" s="80"/>
      <c r="BL18" s="80"/>
      <c r="BM18" s="80"/>
      <c r="BN18" s="80"/>
      <c r="BO18" s="1795"/>
      <c r="BP18" s="80"/>
      <c r="BQ18" s="80"/>
      <c r="BR18" s="131"/>
      <c r="BS18" s="131"/>
      <c r="BT18" s="131"/>
      <c r="BU18" s="131"/>
    </row>
    <row r="19" spans="2:73" ht="13.5" hidden="1" customHeight="1">
      <c r="B19" s="355" t="s">
        <v>5</v>
      </c>
      <c r="C19" s="573">
        <v>73.053873572322601</v>
      </c>
      <c r="D19" s="573">
        <v>91.8</v>
      </c>
      <c r="E19" s="573">
        <v>119.7</v>
      </c>
      <c r="F19" s="573">
        <v>187.5</v>
      </c>
      <c r="G19" s="573">
        <v>143.51321065348512</v>
      </c>
      <c r="H19" s="573">
        <v>139.15890138753508</v>
      </c>
      <c r="I19" s="573">
        <v>144.9</v>
      </c>
      <c r="J19" s="573">
        <v>212.29091915035195</v>
      </c>
      <c r="K19" s="573">
        <v>159.43453876779927</v>
      </c>
      <c r="L19" s="573">
        <v>167.45169859282123</v>
      </c>
      <c r="M19" s="573">
        <v>176.69237617170734</v>
      </c>
      <c r="N19" s="573">
        <v>276.16211663584869</v>
      </c>
      <c r="O19" s="573">
        <v>221.99707653545636</v>
      </c>
      <c r="P19" s="573">
        <v>259.95248870902844</v>
      </c>
      <c r="Q19" s="573">
        <v>295.12287751354609</v>
      </c>
      <c r="R19" s="573">
        <v>397.36756034472182</v>
      </c>
      <c r="S19" s="1954">
        <v>297.79249448123619</v>
      </c>
      <c r="T19" s="573">
        <v>313.79690949227376</v>
      </c>
      <c r="U19" s="573">
        <v>331.5</v>
      </c>
      <c r="V19" s="573">
        <v>501.4</v>
      </c>
      <c r="W19" s="1794"/>
      <c r="X19" s="98"/>
      <c r="Y19" s="98"/>
      <c r="Z19" s="98"/>
      <c r="AA19" s="98"/>
      <c r="AB19" s="98"/>
      <c r="AC19" s="98"/>
      <c r="AD19" s="98"/>
      <c r="AE19" s="98"/>
      <c r="AF19" s="98"/>
      <c r="AG19" s="98"/>
      <c r="AH19" s="98"/>
      <c r="AI19" s="98"/>
      <c r="AJ19" s="98"/>
      <c r="AK19" s="98"/>
      <c r="AL19" s="98"/>
      <c r="AM19" s="1794"/>
      <c r="AN19" s="98"/>
      <c r="AO19" s="98"/>
      <c r="AP19" s="98"/>
      <c r="AQ19" s="98"/>
      <c r="AR19" s="98"/>
      <c r="AS19" s="98"/>
      <c r="AT19" s="98"/>
      <c r="AU19" s="98"/>
      <c r="AV19" s="98"/>
      <c r="AW19" s="98"/>
      <c r="AX19" s="98"/>
      <c r="AY19" s="98"/>
      <c r="AZ19" s="98"/>
      <c r="BA19" s="77"/>
      <c r="BB19" s="98"/>
      <c r="BC19" s="2179"/>
      <c r="BD19" s="978"/>
      <c r="BE19" s="77">
        <f>+SUM(C19:F19)</f>
        <v>472.05387357232257</v>
      </c>
      <c r="BF19" s="77">
        <f>+SUM(G19:J19)</f>
        <v>639.8630311913721</v>
      </c>
      <c r="BG19" s="77">
        <f>+SUM(K19:N19)</f>
        <v>779.74073016817647</v>
      </c>
      <c r="BH19" s="77">
        <f>+SUM(O19:R19)</f>
        <v>1174.4400031027526</v>
      </c>
      <c r="BI19" s="77"/>
      <c r="BJ19" s="1998">
        <f>+SUM(S19:V19)</f>
        <v>1444.48940397351</v>
      </c>
      <c r="BK19" s="77"/>
      <c r="BL19" s="77"/>
      <c r="BM19" s="77"/>
      <c r="BN19" s="77"/>
      <c r="BO19" s="1791"/>
      <c r="BP19" s="77"/>
      <c r="BQ19" s="77"/>
      <c r="BR19" s="98"/>
      <c r="BS19" s="98"/>
      <c r="BT19" s="98"/>
      <c r="BU19" s="98"/>
    </row>
    <row r="20" spans="2:73" ht="13.5" hidden="1" customHeight="1">
      <c r="B20" s="355" t="s">
        <v>266</v>
      </c>
      <c r="C20" s="574">
        <v>3.3118393006171781E-2</v>
      </c>
      <c r="D20" s="574">
        <v>3.4808195013440617E-2</v>
      </c>
      <c r="E20" s="574">
        <v>4.332157604275752E-2</v>
      </c>
      <c r="F20" s="574">
        <v>5.8589487353475835E-2</v>
      </c>
      <c r="G20" s="574">
        <v>6.1858396085103629E-2</v>
      </c>
      <c r="H20" s="574">
        <v>4.9426629059192727E-2</v>
      </c>
      <c r="I20" s="574">
        <v>5.4551615089225215E-2</v>
      </c>
      <c r="J20" s="574">
        <v>6.6368618935410614E-2</v>
      </c>
      <c r="K20" s="574">
        <v>6.6543382671550952E-2</v>
      </c>
      <c r="L20" s="574">
        <v>5.9770011570840269E-2</v>
      </c>
      <c r="M20" s="574">
        <v>5.516108843718176E-2</v>
      </c>
      <c r="N20" s="574">
        <v>5.1618122396936257E-2</v>
      </c>
      <c r="O20" s="574">
        <v>5.9862603493588497E-2</v>
      </c>
      <c r="P20" s="574">
        <v>6.0438312041462709E-2</v>
      </c>
      <c r="Q20" s="574">
        <v>6.718119782726388E-2</v>
      </c>
      <c r="R20" s="574">
        <v>6.5014695489624422E-2</v>
      </c>
      <c r="S20" s="1097">
        <v>7.5570343217082725E-2</v>
      </c>
      <c r="T20" s="574">
        <v>6.7776174321750746E-2</v>
      </c>
      <c r="U20" s="574">
        <f>+U19/U$8</f>
        <v>7.0456960680127523E-2</v>
      </c>
      <c r="V20" s="574">
        <f>+V19/V$8</f>
        <v>7.7946708951279406E-2</v>
      </c>
      <c r="W20" s="1095"/>
      <c r="X20" s="131"/>
      <c r="Y20" s="131"/>
      <c r="Z20" s="131"/>
      <c r="AA20" s="131"/>
      <c r="AB20" s="131"/>
      <c r="AC20" s="131"/>
      <c r="AD20" s="131"/>
      <c r="AE20" s="131"/>
      <c r="AF20" s="131"/>
      <c r="AG20" s="131"/>
      <c r="AH20" s="131"/>
      <c r="AI20" s="131"/>
      <c r="AJ20" s="131"/>
      <c r="AK20" s="131"/>
      <c r="AL20" s="131"/>
      <c r="AM20" s="1095"/>
      <c r="AN20" s="131"/>
      <c r="AO20" s="131"/>
      <c r="AP20" s="131"/>
      <c r="AQ20" s="131"/>
      <c r="AR20" s="131"/>
      <c r="AS20" s="131"/>
      <c r="AT20" s="131"/>
      <c r="AU20" s="131"/>
      <c r="AV20" s="131"/>
      <c r="AW20" s="131"/>
      <c r="AX20" s="131"/>
      <c r="AY20" s="131"/>
      <c r="AZ20" s="131"/>
      <c r="BA20" s="77"/>
      <c r="BB20" s="131"/>
      <c r="BC20" s="2179"/>
      <c r="BE20" s="131">
        <f t="shared" ref="BE20:BJ20" si="44">+BE19/BE$8</f>
        <v>4.3682643842003627E-2</v>
      </c>
      <c r="BF20" s="131">
        <f t="shared" si="44"/>
        <v>5.8220408646872716E-2</v>
      </c>
      <c r="BG20" s="131">
        <f t="shared" si="44"/>
        <v>5.6704885643929386E-2</v>
      </c>
      <c r="BH20" s="131">
        <f t="shared" si="44"/>
        <v>6.3433634230196642E-2</v>
      </c>
      <c r="BI20" s="131"/>
      <c r="BJ20" s="2001">
        <f t="shared" si="44"/>
        <v>7.329419903357047E-2</v>
      </c>
      <c r="BK20" s="131"/>
      <c r="BL20" s="131"/>
      <c r="BM20" s="131"/>
      <c r="BN20" s="131"/>
      <c r="BO20" s="1095"/>
      <c r="BP20" s="131"/>
      <c r="BQ20" s="131"/>
      <c r="BR20" s="131"/>
      <c r="BS20" s="131"/>
      <c r="BT20" s="131"/>
      <c r="BU20" s="131"/>
    </row>
    <row r="21" spans="2:73" ht="13.5" hidden="1" customHeight="1">
      <c r="B21" s="356" t="s">
        <v>108</v>
      </c>
      <c r="C21" s="575"/>
      <c r="D21" s="575"/>
      <c r="E21" s="575"/>
      <c r="F21" s="575"/>
      <c r="G21" s="574">
        <v>0.96448461437720323</v>
      </c>
      <c r="H21" s="574">
        <v>0.51589217197750648</v>
      </c>
      <c r="I21" s="574">
        <v>0.21052631578947367</v>
      </c>
      <c r="J21" s="574">
        <v>0.13221823546854372</v>
      </c>
      <c r="K21" s="574">
        <v>0.11093980855014407</v>
      </c>
      <c r="L21" s="574">
        <v>0.20331288134055669</v>
      </c>
      <c r="M21" s="574">
        <v>0.21940908331060949</v>
      </c>
      <c r="N21" s="574">
        <v>0.30086636649898768</v>
      </c>
      <c r="O21" s="574">
        <v>0.3924026641352365</v>
      </c>
      <c r="P21" s="574">
        <v>0.5524028176097151</v>
      </c>
      <c r="Q21" s="574">
        <v>0.67026378787701368</v>
      </c>
      <c r="R21" s="574">
        <v>0.43889236215804495</v>
      </c>
      <c r="S21" s="1097">
        <v>0.34142529770509888</v>
      </c>
      <c r="T21" s="574">
        <v>0.20713177646671732</v>
      </c>
      <c r="U21" s="574">
        <f>+U19/Q19-1</f>
        <v>0.12326093725073628</v>
      </c>
      <c r="V21" s="574">
        <f>+V19/R19-1</f>
        <v>0.26180405759601655</v>
      </c>
      <c r="W21" s="1095"/>
      <c r="X21" s="131"/>
      <c r="Y21" s="131"/>
      <c r="Z21" s="131"/>
      <c r="AA21" s="131"/>
      <c r="AB21" s="131"/>
      <c r="AC21" s="131"/>
      <c r="AD21" s="131"/>
      <c r="AE21" s="131"/>
      <c r="AF21" s="131"/>
      <c r="AG21" s="131"/>
      <c r="AH21" s="131"/>
      <c r="AI21" s="131"/>
      <c r="AJ21" s="131"/>
      <c r="AK21" s="131"/>
      <c r="AL21" s="131"/>
      <c r="AM21" s="1095"/>
      <c r="AN21" s="131"/>
      <c r="AO21" s="131"/>
      <c r="AP21" s="131"/>
      <c r="AQ21" s="131"/>
      <c r="AR21" s="131"/>
      <c r="AS21" s="131"/>
      <c r="AT21" s="131"/>
      <c r="AU21" s="131"/>
      <c r="AV21" s="131"/>
      <c r="AW21" s="131"/>
      <c r="AX21" s="131"/>
      <c r="AY21" s="131"/>
      <c r="AZ21" s="131"/>
      <c r="BA21" s="80"/>
      <c r="BB21" s="131"/>
      <c r="BC21" s="2181"/>
      <c r="BE21" s="80"/>
      <c r="BF21" s="84">
        <f t="shared" ref="BF21:BH21" si="45">+BF19/BE19-1</f>
        <v>0.35548730137332463</v>
      </c>
      <c r="BG21" s="84">
        <f t="shared" si="45"/>
        <v>0.21860568927753743</v>
      </c>
      <c r="BH21" s="84">
        <f t="shared" si="45"/>
        <v>0.50619296602531771</v>
      </c>
      <c r="BI21" s="84"/>
      <c r="BJ21" s="1999">
        <f>+BJ19/BH19-1</f>
        <v>0.22993886461404078</v>
      </c>
      <c r="BK21" s="84"/>
      <c r="BL21" s="84"/>
      <c r="BM21" s="84"/>
      <c r="BN21" s="84"/>
      <c r="BO21" s="1801"/>
      <c r="BP21" s="84"/>
      <c r="BQ21" s="84"/>
      <c r="BR21" s="84"/>
      <c r="BS21" s="84"/>
      <c r="BT21" s="84"/>
      <c r="BU21" s="84"/>
    </row>
    <row r="22" spans="2:73" ht="13.5" hidden="1" customHeight="1">
      <c r="B22" s="356"/>
      <c r="C22" s="575"/>
      <c r="D22" s="575"/>
      <c r="E22" s="575"/>
      <c r="F22" s="575"/>
      <c r="G22" s="574"/>
      <c r="H22" s="574"/>
      <c r="I22" s="574"/>
      <c r="J22" s="574"/>
      <c r="K22" s="574"/>
      <c r="L22" s="574"/>
      <c r="M22" s="574"/>
      <c r="N22" s="574"/>
      <c r="O22" s="574"/>
      <c r="P22" s="574"/>
      <c r="Q22" s="574"/>
      <c r="R22" s="574"/>
      <c r="S22" s="1097"/>
      <c r="T22" s="574"/>
      <c r="U22" s="574"/>
      <c r="V22" s="574"/>
      <c r="W22" s="1095"/>
      <c r="X22" s="131"/>
      <c r="Y22" s="131"/>
      <c r="Z22" s="131"/>
      <c r="AA22" s="131"/>
      <c r="AB22" s="131"/>
      <c r="AC22" s="131"/>
      <c r="AD22" s="131"/>
      <c r="AE22" s="131"/>
      <c r="AF22" s="131"/>
      <c r="AG22" s="131"/>
      <c r="AH22" s="131"/>
      <c r="AI22" s="131"/>
      <c r="AJ22" s="131"/>
      <c r="AK22" s="131"/>
      <c r="AL22" s="131"/>
      <c r="AM22" s="1095"/>
      <c r="AN22" s="131"/>
      <c r="AO22" s="131"/>
      <c r="AP22" s="131"/>
      <c r="AQ22" s="131"/>
      <c r="AR22" s="131"/>
      <c r="AS22" s="131"/>
      <c r="AT22" s="131"/>
      <c r="AU22" s="131"/>
      <c r="AV22" s="131"/>
      <c r="AW22" s="131"/>
      <c r="AX22" s="131"/>
      <c r="AY22" s="131"/>
      <c r="AZ22" s="131"/>
      <c r="BA22" s="80"/>
      <c r="BB22" s="131"/>
      <c r="BC22" s="2181"/>
      <c r="BE22" s="80"/>
      <c r="BF22" s="84"/>
      <c r="BG22" s="84"/>
      <c r="BH22" s="84"/>
      <c r="BI22" s="84"/>
      <c r="BJ22" s="1999"/>
      <c r="BK22" s="84"/>
      <c r="BL22" s="84"/>
      <c r="BM22" s="84"/>
      <c r="BN22" s="84"/>
      <c r="BO22" s="1801"/>
      <c r="BP22" s="84"/>
      <c r="BQ22" s="84"/>
      <c r="BR22" s="84"/>
      <c r="BS22" s="84"/>
      <c r="BT22" s="84"/>
      <c r="BU22" s="84"/>
    </row>
    <row r="23" spans="2:73" ht="13.5" hidden="1" customHeight="1">
      <c r="B23" s="356"/>
      <c r="C23" s="575"/>
      <c r="D23" s="575"/>
      <c r="E23" s="575"/>
      <c r="F23" s="575"/>
      <c r="G23" s="574"/>
      <c r="H23" s="574"/>
      <c r="I23" s="574"/>
      <c r="J23" s="574"/>
      <c r="K23" s="574"/>
      <c r="L23" s="574"/>
      <c r="M23" s="574"/>
      <c r="N23" s="574"/>
      <c r="O23" s="574"/>
      <c r="P23" s="574"/>
      <c r="Q23" s="574"/>
      <c r="R23" s="574"/>
      <c r="S23" s="1097"/>
      <c r="T23" s="574"/>
      <c r="U23" s="574"/>
      <c r="V23" s="574"/>
      <c r="W23" s="1793"/>
      <c r="X23" s="156"/>
      <c r="Y23" s="156"/>
      <c r="Z23" s="156"/>
      <c r="AA23" s="156"/>
      <c r="AB23" s="156"/>
      <c r="AC23" s="156"/>
      <c r="AD23" s="156"/>
      <c r="AE23" s="156"/>
      <c r="AF23" s="156"/>
      <c r="AG23" s="156"/>
      <c r="AH23" s="156"/>
      <c r="AI23" s="156"/>
      <c r="AJ23" s="156"/>
      <c r="AK23" s="156"/>
      <c r="AL23" s="156"/>
      <c r="AM23" s="1793"/>
      <c r="AN23" s="156"/>
      <c r="AO23" s="156"/>
      <c r="AP23" s="156"/>
      <c r="AQ23" s="156"/>
      <c r="AR23" s="156"/>
      <c r="AS23" s="156"/>
      <c r="AT23" s="156"/>
      <c r="AU23" s="156"/>
      <c r="AV23" s="156"/>
      <c r="AW23" s="156"/>
      <c r="AX23" s="156"/>
      <c r="AY23" s="156"/>
      <c r="AZ23" s="156"/>
      <c r="BA23" s="80"/>
      <c r="BB23" s="156"/>
      <c r="BC23" s="2181"/>
      <c r="BE23" s="80"/>
      <c r="BF23" s="80"/>
      <c r="BG23" s="80"/>
      <c r="BH23" s="80"/>
      <c r="BI23" s="80"/>
      <c r="BJ23" s="2000"/>
      <c r="BK23" s="80"/>
      <c r="BL23" s="80"/>
      <c r="BM23" s="80"/>
      <c r="BN23" s="80"/>
      <c r="BO23" s="1795"/>
      <c r="BP23" s="80"/>
      <c r="BQ23" s="80"/>
      <c r="BR23" s="156"/>
      <c r="BS23" s="156"/>
      <c r="BT23" s="156"/>
      <c r="BU23" s="156"/>
    </row>
    <row r="24" spans="2:73" ht="13.5" hidden="1" customHeight="1">
      <c r="B24" s="355" t="s">
        <v>268</v>
      </c>
      <c r="C24" s="573"/>
      <c r="D24" s="573"/>
      <c r="E24" s="573"/>
      <c r="F24" s="573"/>
      <c r="G24" s="573"/>
      <c r="H24" s="573"/>
      <c r="I24" s="573"/>
      <c r="J24" s="573"/>
      <c r="K24" s="573"/>
      <c r="L24" s="573"/>
      <c r="M24" s="573">
        <v>354.87262084677081</v>
      </c>
      <c r="N24" s="573">
        <v>1900.0621026089452</v>
      </c>
      <c r="O24" s="573">
        <v>1158.8732423141253</v>
      </c>
      <c r="P24" s="573">
        <v>1190.6804043588693</v>
      </c>
      <c r="Q24" s="573">
        <v>1307.7313064963259</v>
      </c>
      <c r="R24" s="573">
        <v>2082.9564581279346</v>
      </c>
      <c r="S24" s="1954">
        <v>1231.7174515235456</v>
      </c>
      <c r="T24" s="573">
        <v>1208.2880434782608</v>
      </c>
      <c r="U24" s="573">
        <v>1288.5999999999999</v>
      </c>
      <c r="V24" s="573">
        <v>2145.4</v>
      </c>
      <c r="W24" s="1794"/>
      <c r="X24" s="98"/>
      <c r="Y24" s="98"/>
      <c r="Z24" s="98"/>
      <c r="AA24" s="98"/>
      <c r="AB24" s="98"/>
      <c r="AC24" s="98"/>
      <c r="AD24" s="98"/>
      <c r="AE24" s="98"/>
      <c r="AF24" s="98"/>
      <c r="AG24" s="98"/>
      <c r="AH24" s="98"/>
      <c r="AI24" s="98"/>
      <c r="AJ24" s="98"/>
      <c r="AK24" s="98"/>
      <c r="AL24" s="98"/>
      <c r="AM24" s="1794"/>
      <c r="AN24" s="98"/>
      <c r="AO24" s="98"/>
      <c r="AP24" s="98"/>
      <c r="AQ24" s="98"/>
      <c r="AR24" s="98"/>
      <c r="AS24" s="98"/>
      <c r="AT24" s="98"/>
      <c r="AU24" s="98"/>
      <c r="AV24" s="98"/>
      <c r="AW24" s="98"/>
      <c r="AX24" s="98"/>
      <c r="AY24" s="98"/>
      <c r="AZ24" s="98"/>
      <c r="BA24" s="77"/>
      <c r="BB24" s="98"/>
      <c r="BC24" s="2179"/>
      <c r="BD24" s="978"/>
      <c r="BE24" s="77">
        <f>+SUM(C24:F24)</f>
        <v>0</v>
      </c>
      <c r="BF24" s="77">
        <f>+SUM(G24:J24)</f>
        <v>0</v>
      </c>
      <c r="BG24" s="77">
        <f>+SUM(K24:N24)</f>
        <v>2254.9347234557163</v>
      </c>
      <c r="BH24" s="77">
        <f>+SUM(O24:R24)</f>
        <v>5740.2414112972547</v>
      </c>
      <c r="BI24" s="77"/>
      <c r="BJ24" s="1998">
        <f>+SUM(S24:V24)</f>
        <v>5874.0054950018066</v>
      </c>
      <c r="BK24" s="77"/>
      <c r="BL24" s="77"/>
      <c r="BM24" s="77"/>
      <c r="BN24" s="77"/>
      <c r="BO24" s="1791"/>
      <c r="BP24" s="77"/>
      <c r="BQ24" s="77"/>
      <c r="BR24" s="98"/>
      <c r="BS24" s="98"/>
      <c r="BT24" s="98"/>
      <c r="BU24" s="98"/>
    </row>
    <row r="25" spans="2:73" ht="13.5" hidden="1" customHeight="1">
      <c r="B25" s="355" t="s">
        <v>266</v>
      </c>
      <c r="C25" s="574"/>
      <c r="D25" s="574"/>
      <c r="E25" s="574"/>
      <c r="F25" s="574"/>
      <c r="G25" s="574"/>
      <c r="H25" s="574"/>
      <c r="I25" s="574"/>
      <c r="J25" s="574"/>
      <c r="K25" s="574"/>
      <c r="L25" s="574"/>
      <c r="M25" s="574">
        <v>0.11078667029436692</v>
      </c>
      <c r="N25" s="574">
        <v>0.35514515665294949</v>
      </c>
      <c r="O25" s="574">
        <v>0.31249586925483597</v>
      </c>
      <c r="P25" s="574">
        <v>0.27683025531964062</v>
      </c>
      <c r="Q25" s="574">
        <v>0.29768941109149832</v>
      </c>
      <c r="R25" s="574">
        <v>0.34079978679148637</v>
      </c>
      <c r="S25" s="1097">
        <v>0.31257104286746834</v>
      </c>
      <c r="T25" s="574">
        <v>0.26097497645267953</v>
      </c>
      <c r="U25" s="574">
        <f>+U24/U$8</f>
        <v>0.27387885228480341</v>
      </c>
      <c r="V25" s="574">
        <f>+V24/V$8</f>
        <v>0.33351988309548236</v>
      </c>
      <c r="W25" s="1095"/>
      <c r="X25" s="131"/>
      <c r="Y25" s="131"/>
      <c r="Z25" s="131"/>
      <c r="AA25" s="131"/>
      <c r="AB25" s="131"/>
      <c r="AC25" s="131"/>
      <c r="AD25" s="131"/>
      <c r="AE25" s="131"/>
      <c r="AF25" s="131"/>
      <c r="AG25" s="131"/>
      <c r="AH25" s="131"/>
      <c r="AI25" s="131"/>
      <c r="AJ25" s="131"/>
      <c r="AK25" s="131"/>
      <c r="AL25" s="131"/>
      <c r="AM25" s="1095"/>
      <c r="AN25" s="131"/>
      <c r="AO25" s="131"/>
      <c r="AP25" s="131"/>
      <c r="AQ25" s="131"/>
      <c r="AR25" s="131"/>
      <c r="AS25" s="131"/>
      <c r="AT25" s="131"/>
      <c r="AU25" s="131"/>
      <c r="AV25" s="131"/>
      <c r="AW25" s="131"/>
      <c r="AX25" s="131"/>
      <c r="AY25" s="131"/>
      <c r="AZ25" s="131"/>
      <c r="BA25" s="77"/>
      <c r="BB25" s="131"/>
      <c r="BC25" s="2179"/>
      <c r="BE25" s="131">
        <f t="shared" ref="BE25:BJ25" si="46">+BE24/BE$8</f>
        <v>0</v>
      </c>
      <c r="BF25" s="131">
        <f t="shared" si="46"/>
        <v>0</v>
      </c>
      <c r="BG25" s="131">
        <f t="shared" si="46"/>
        <v>0.16398504102832168</v>
      </c>
      <c r="BH25" s="131">
        <f t="shared" si="46"/>
        <v>0.31004084765103179</v>
      </c>
      <c r="BI25" s="131"/>
      <c r="BJ25" s="2001">
        <f t="shared" si="46"/>
        <v>0.29805031915820435</v>
      </c>
      <c r="BK25" s="131"/>
      <c r="BL25" s="131"/>
      <c r="BM25" s="131"/>
      <c r="BN25" s="131"/>
      <c r="BO25" s="1095"/>
      <c r="BP25" s="131"/>
      <c r="BQ25" s="131"/>
      <c r="BR25" s="131"/>
      <c r="BS25" s="131"/>
      <c r="BT25" s="131"/>
      <c r="BU25" s="131"/>
    </row>
    <row r="26" spans="2:73" ht="13.5" hidden="1" customHeight="1">
      <c r="B26" s="356" t="s">
        <v>108</v>
      </c>
      <c r="C26" s="575"/>
      <c r="D26" s="575"/>
      <c r="E26" s="575"/>
      <c r="F26" s="575"/>
      <c r="G26" s="574"/>
      <c r="H26" s="574"/>
      <c r="I26" s="574"/>
      <c r="J26" s="574"/>
      <c r="K26" s="574"/>
      <c r="L26" s="574"/>
      <c r="M26" s="574"/>
      <c r="N26" s="574"/>
      <c r="O26" s="574"/>
      <c r="P26" s="574"/>
      <c r="Q26" s="574">
        <v>2.6850724166206854</v>
      </c>
      <c r="R26" s="574">
        <v>9.6257040897694823E-2</v>
      </c>
      <c r="S26" s="1097">
        <v>6.2857788539460557E-2</v>
      </c>
      <c r="T26" s="574">
        <v>1.478788015233401E-2</v>
      </c>
      <c r="U26" s="574">
        <f>+U24/Q24-1</f>
        <v>-1.4629386328283811E-2</v>
      </c>
      <c r="V26" s="574">
        <f>+V24/R24-1</f>
        <v>2.9978323180210431E-2</v>
      </c>
      <c r="W26" s="1095"/>
      <c r="X26" s="131"/>
      <c r="Y26" s="131"/>
      <c r="Z26" s="131"/>
      <c r="AA26" s="131"/>
      <c r="AB26" s="131"/>
      <c r="AC26" s="131"/>
      <c r="AD26" s="131"/>
      <c r="AE26" s="131"/>
      <c r="AF26" s="131"/>
      <c r="AG26" s="131"/>
      <c r="AH26" s="131"/>
      <c r="AI26" s="131"/>
      <c r="AJ26" s="131"/>
      <c r="AK26" s="131"/>
      <c r="AL26" s="131"/>
      <c r="AM26" s="1095"/>
      <c r="AN26" s="131"/>
      <c r="AO26" s="131"/>
      <c r="AP26" s="131"/>
      <c r="AQ26" s="131"/>
      <c r="AR26" s="131"/>
      <c r="AS26" s="131"/>
      <c r="AT26" s="131"/>
      <c r="AU26" s="131"/>
      <c r="AV26" s="131"/>
      <c r="AW26" s="131"/>
      <c r="AX26" s="131"/>
      <c r="AY26" s="131"/>
      <c r="AZ26" s="131"/>
      <c r="BA26" s="80"/>
      <c r="BB26" s="131"/>
      <c r="BC26" s="2181"/>
      <c r="BE26" s="80"/>
      <c r="BF26" s="84"/>
      <c r="BG26" s="84"/>
      <c r="BH26" s="84">
        <f t="shared" ref="BH26" si="47">+BH24/BG24-1</f>
        <v>1.54563529116278</v>
      </c>
      <c r="BI26" s="84"/>
      <c r="BJ26" s="1999">
        <f>+BJ24/BH24-1</f>
        <v>2.3302867269884064E-2</v>
      </c>
      <c r="BK26" s="84"/>
      <c r="BL26" s="84"/>
      <c r="BM26" s="84"/>
      <c r="BN26" s="84"/>
      <c r="BO26" s="1801"/>
      <c r="BP26" s="84"/>
      <c r="BQ26" s="84"/>
      <c r="BR26" s="84"/>
      <c r="BS26" s="84"/>
      <c r="BT26" s="84"/>
      <c r="BU26" s="84"/>
    </row>
    <row r="27" spans="2:73" hidden="1">
      <c r="B27" s="356"/>
      <c r="C27" s="575"/>
      <c r="D27" s="575"/>
      <c r="E27" s="575"/>
      <c r="F27" s="575"/>
      <c r="G27" s="574"/>
      <c r="H27" s="574"/>
      <c r="I27" s="574"/>
      <c r="J27" s="574"/>
      <c r="K27" s="574"/>
      <c r="L27" s="574"/>
      <c r="M27" s="574"/>
      <c r="N27" s="574"/>
      <c r="O27" s="574"/>
      <c r="P27" s="574"/>
      <c r="Q27" s="574"/>
      <c r="R27" s="574"/>
      <c r="S27" s="1097"/>
      <c r="T27" s="574"/>
      <c r="U27" s="574"/>
      <c r="V27" s="574"/>
      <c r="W27" s="1095"/>
      <c r="X27" s="131"/>
      <c r="Y27" s="131"/>
      <c r="Z27" s="131"/>
      <c r="AA27" s="131"/>
      <c r="AB27" s="131"/>
      <c r="AC27" s="131"/>
      <c r="AD27" s="131"/>
      <c r="AE27" s="131"/>
      <c r="AF27" s="131"/>
      <c r="AG27" s="131"/>
      <c r="AH27" s="131"/>
      <c r="AI27" s="131"/>
      <c r="AJ27" s="131"/>
      <c r="AK27" s="131"/>
      <c r="AL27" s="131"/>
      <c r="AM27" s="1095"/>
      <c r="AN27" s="131"/>
      <c r="AO27" s="131"/>
      <c r="AP27" s="131"/>
      <c r="AQ27" s="131"/>
      <c r="AR27" s="131"/>
      <c r="AS27" s="131"/>
      <c r="AT27" s="131"/>
      <c r="AU27" s="131"/>
      <c r="AV27" s="131"/>
      <c r="AW27" s="131"/>
      <c r="AX27" s="131"/>
      <c r="AY27" s="131"/>
      <c r="AZ27" s="131"/>
      <c r="BA27" s="80"/>
      <c r="BB27" s="131"/>
      <c r="BC27" s="2181"/>
      <c r="BE27" s="80"/>
      <c r="BF27" s="84"/>
      <c r="BG27" s="84"/>
      <c r="BH27" s="84"/>
      <c r="BI27" s="84"/>
      <c r="BJ27" s="1999"/>
      <c r="BK27" s="84"/>
      <c r="BL27" s="84"/>
      <c r="BM27" s="84"/>
      <c r="BN27" s="84"/>
      <c r="BO27" s="1801"/>
      <c r="BP27" s="84"/>
      <c r="BQ27" s="84"/>
      <c r="BR27" s="84"/>
      <c r="BS27" s="84"/>
      <c r="BT27" s="84"/>
      <c r="BU27" s="84"/>
    </row>
    <row r="28" spans="2:73" hidden="1">
      <c r="B28" s="356"/>
      <c r="C28" s="575"/>
      <c r="D28" s="575"/>
      <c r="E28" s="575"/>
      <c r="F28" s="575"/>
      <c r="G28" s="574"/>
      <c r="H28" s="574"/>
      <c r="I28" s="574"/>
      <c r="J28" s="574"/>
      <c r="K28" s="574"/>
      <c r="L28" s="574"/>
      <c r="M28" s="574"/>
      <c r="N28" s="574"/>
      <c r="O28" s="574"/>
      <c r="P28" s="574"/>
      <c r="Q28" s="574"/>
      <c r="R28" s="574"/>
      <c r="S28" s="1097"/>
      <c r="T28" s="574"/>
      <c r="U28" s="574"/>
      <c r="V28" s="80"/>
      <c r="W28" s="1795"/>
      <c r="X28" s="80"/>
      <c r="Y28" s="80"/>
      <c r="Z28" s="80"/>
      <c r="AA28" s="80"/>
      <c r="AB28" s="80"/>
      <c r="AC28" s="80"/>
      <c r="AD28" s="80"/>
      <c r="AE28" s="80"/>
      <c r="AF28" s="80"/>
      <c r="AG28" s="80"/>
      <c r="AH28" s="80"/>
      <c r="AI28" s="80"/>
      <c r="AJ28" s="80"/>
      <c r="AK28" s="80"/>
      <c r="AL28" s="80"/>
      <c r="AM28" s="1795"/>
      <c r="AN28" s="80"/>
      <c r="AO28" s="80"/>
      <c r="AP28" s="80"/>
      <c r="AQ28" s="80"/>
      <c r="AR28" s="80"/>
      <c r="AS28" s="80"/>
      <c r="AT28" s="80"/>
      <c r="AU28" s="80"/>
      <c r="AV28" s="80"/>
      <c r="AW28" s="80"/>
      <c r="AX28" s="80"/>
      <c r="AY28" s="80"/>
      <c r="AZ28" s="80"/>
      <c r="BA28" s="80"/>
      <c r="BB28" s="80"/>
      <c r="BC28" s="2181"/>
      <c r="BE28" s="80"/>
      <c r="BF28" s="84"/>
      <c r="BG28" s="84"/>
      <c r="BH28" s="84"/>
      <c r="BI28" s="84"/>
      <c r="BJ28" s="1999"/>
      <c r="BK28" s="84"/>
      <c r="BL28" s="84"/>
      <c r="BM28" s="84"/>
      <c r="BN28" s="84"/>
      <c r="BO28" s="1801"/>
      <c r="BP28" s="84"/>
      <c r="BQ28" s="84"/>
      <c r="BR28" s="80"/>
      <c r="BS28" s="80"/>
      <c r="BT28" s="80"/>
      <c r="BU28" s="80"/>
    </row>
    <row r="29" spans="2:73" hidden="1">
      <c r="B29" s="83" t="s">
        <v>269</v>
      </c>
      <c r="C29" s="698">
        <v>3.5284690732759429</v>
      </c>
      <c r="D29" s="698">
        <v>4.6356992593005799</v>
      </c>
      <c r="E29" s="698">
        <v>3.6157452030183066</v>
      </c>
      <c r="F29" s="698">
        <v>5.8545154452998531</v>
      </c>
      <c r="G29" s="698">
        <v>4.0739034694981626</v>
      </c>
      <c r="H29" s="698">
        <v>4.5759302957273462</v>
      </c>
      <c r="I29" s="698">
        <v>3.1999999999997897</v>
      </c>
      <c r="J29" s="698">
        <v>5.5923697810525823</v>
      </c>
      <c r="K29" s="698">
        <v>1.9548774884426621</v>
      </c>
      <c r="L29" s="698">
        <v>2.1014764395938528</v>
      </c>
      <c r="M29" s="698">
        <v>1.3038130670132659</v>
      </c>
      <c r="N29" s="698">
        <v>2.3268632081244505</v>
      </c>
      <c r="O29" s="698">
        <v>2.0730761864035685</v>
      </c>
      <c r="P29" s="698">
        <v>2.3880338483320429</v>
      </c>
      <c r="Q29" s="698">
        <v>2.3844217048585961</v>
      </c>
      <c r="R29" s="698">
        <v>3.9412434139740071</v>
      </c>
      <c r="S29" s="1955">
        <v>3.990053995217977</v>
      </c>
      <c r="T29" s="698">
        <v>2.9150470294650859</v>
      </c>
      <c r="U29" s="698">
        <f>+U8-U11-U15-U19-U24</f>
        <v>2.2000000000000455</v>
      </c>
      <c r="V29" s="698">
        <f>+V8-V11-V15-V19-V24</f>
        <v>3.3000000000001819</v>
      </c>
      <c r="W29" s="1796"/>
      <c r="X29" s="101"/>
      <c r="Y29" s="101"/>
      <c r="Z29" s="101"/>
      <c r="AA29" s="101"/>
      <c r="AB29" s="101"/>
      <c r="AC29" s="101"/>
      <c r="AD29" s="101"/>
      <c r="AE29" s="101"/>
      <c r="AF29" s="101"/>
      <c r="AG29" s="101"/>
      <c r="AH29" s="101"/>
      <c r="AI29" s="101"/>
      <c r="AJ29" s="101"/>
      <c r="AK29" s="101"/>
      <c r="AL29" s="101"/>
      <c r="AM29" s="1796"/>
      <c r="AN29" s="101"/>
      <c r="AO29" s="101"/>
      <c r="AP29" s="101"/>
      <c r="AQ29" s="101"/>
      <c r="AR29" s="101"/>
      <c r="AS29" s="101"/>
      <c r="AT29" s="101"/>
      <c r="AU29" s="101"/>
      <c r="AV29" s="101"/>
      <c r="AW29" s="101"/>
      <c r="AX29" s="101"/>
      <c r="AY29" s="101"/>
      <c r="AZ29" s="101"/>
      <c r="BA29" s="80"/>
      <c r="BB29" s="101"/>
      <c r="BC29" s="2181"/>
      <c r="BD29" s="979"/>
      <c r="BE29" s="77">
        <f>+SUM(C29:F29)</f>
        <v>17.634428980894683</v>
      </c>
      <c r="BF29" s="77">
        <f>+SUM(G29:J29)</f>
        <v>17.442203546277881</v>
      </c>
      <c r="BG29" s="77">
        <f>+SUM(K29:N29)</f>
        <v>7.6870302031742312</v>
      </c>
      <c r="BH29" s="77">
        <f>+SUM(O29:R29)</f>
        <v>10.786775153568215</v>
      </c>
      <c r="BI29" s="77"/>
      <c r="BJ29" s="1998">
        <f>+SUM(S29:V29)</f>
        <v>12.40510102468329</v>
      </c>
      <c r="BK29" s="77"/>
      <c r="BL29" s="77"/>
      <c r="BM29" s="77"/>
      <c r="BN29" s="77"/>
      <c r="BO29" s="1791"/>
      <c r="BP29" s="77"/>
      <c r="BQ29" s="77"/>
      <c r="BR29" s="101"/>
      <c r="BS29" s="101"/>
      <c r="BT29" s="101"/>
      <c r="BU29" s="101"/>
    </row>
    <row r="30" spans="2:73" hidden="1">
      <c r="B30" s="355" t="s">
        <v>266</v>
      </c>
      <c r="C30" s="574">
        <v>1.5996034127223648E-3</v>
      </c>
      <c r="D30" s="574">
        <v>1.7577377324770895E-3</v>
      </c>
      <c r="E30" s="574">
        <v>1.3086030138996934E-3</v>
      </c>
      <c r="F30" s="574">
        <v>1.8294029794299982E-3</v>
      </c>
      <c r="G30" s="574">
        <v>1.7559716856810177E-3</v>
      </c>
      <c r="H30" s="574">
        <v>1.6252845277772267E-3</v>
      </c>
      <c r="I30" s="574">
        <v>1.2047285595963369E-3</v>
      </c>
      <c r="J30" s="574">
        <v>1.7483454329090607E-3</v>
      </c>
      <c r="K30" s="574">
        <v>8.1590953751178885E-4</v>
      </c>
      <c r="L30" s="574">
        <v>7.5009851895140804E-4</v>
      </c>
      <c r="M30" s="574">
        <v>4.0703367883389199E-4</v>
      </c>
      <c r="N30" s="574">
        <v>4.3491957311535306E-4</v>
      </c>
      <c r="O30" s="574">
        <v>5.5901518927820981E-4</v>
      </c>
      <c r="P30" s="574">
        <v>5.5521197588001526E-4</v>
      </c>
      <c r="Q30" s="574">
        <v>5.4278511922673477E-4</v>
      </c>
      <c r="R30" s="574">
        <v>6.4484061101444015E-4</v>
      </c>
      <c r="S30" s="1097">
        <v>1.0125498642891888E-3</v>
      </c>
      <c r="T30" s="574">
        <v>6.296133889425443E-4</v>
      </c>
      <c r="U30" s="574">
        <f>+U29/U$8</f>
        <v>4.6758767268863878E-4</v>
      </c>
      <c r="V30" s="131">
        <f>+V29/V$8</f>
        <v>5.1301184590992475E-4</v>
      </c>
      <c r="W30" s="1095"/>
      <c r="X30" s="131"/>
      <c r="Y30" s="131"/>
      <c r="Z30" s="131"/>
      <c r="AA30" s="131"/>
      <c r="AB30" s="131"/>
      <c r="AC30" s="131"/>
      <c r="AD30" s="131"/>
      <c r="AE30" s="131"/>
      <c r="AF30" s="131"/>
      <c r="AG30" s="131"/>
      <c r="AH30" s="131"/>
      <c r="AI30" s="131"/>
      <c r="AJ30" s="131"/>
      <c r="AK30" s="131"/>
      <c r="AL30" s="131"/>
      <c r="AM30" s="1095"/>
      <c r="AN30" s="131"/>
      <c r="AO30" s="131"/>
      <c r="AP30" s="131"/>
      <c r="AQ30" s="131"/>
      <c r="AR30" s="131"/>
      <c r="AS30" s="131"/>
      <c r="AT30" s="131"/>
      <c r="AU30" s="131"/>
      <c r="AV30" s="131"/>
      <c r="AW30" s="131"/>
      <c r="AX30" s="131"/>
      <c r="AY30" s="131"/>
      <c r="AZ30" s="131"/>
      <c r="BA30" s="80"/>
      <c r="BB30" s="131"/>
      <c r="BC30" s="2181"/>
      <c r="BE30" s="131">
        <f t="shared" ref="BE30:BJ30" si="48">+BE29/BE$8</f>
        <v>1.6318444221208371E-3</v>
      </c>
      <c r="BF30" s="131">
        <f t="shared" si="48"/>
        <v>1.5870462406235098E-3</v>
      </c>
      <c r="BG30" s="131">
        <f t="shared" si="48"/>
        <v>5.590219309415987E-4</v>
      </c>
      <c r="BH30" s="131">
        <f t="shared" si="48"/>
        <v>5.8261328616797327E-4</v>
      </c>
      <c r="BI30" s="131"/>
      <c r="BJ30" s="2001">
        <f t="shared" si="48"/>
        <v>6.2944175362837065E-4</v>
      </c>
      <c r="BK30" s="131"/>
      <c r="BL30" s="131"/>
      <c r="BM30" s="131"/>
      <c r="BN30" s="131"/>
      <c r="BO30" s="1095"/>
      <c r="BP30" s="131"/>
      <c r="BQ30" s="131"/>
      <c r="BR30" s="131"/>
      <c r="BS30" s="131"/>
      <c r="BT30" s="131"/>
      <c r="BU30" s="131"/>
    </row>
    <row r="31" spans="2:73" hidden="1">
      <c r="B31" s="356" t="s">
        <v>108</v>
      </c>
      <c r="C31" s="575"/>
      <c r="D31" s="575"/>
      <c r="E31" s="575"/>
      <c r="F31" s="575"/>
      <c r="G31" s="574">
        <v>0.15458103355737252</v>
      </c>
      <c r="H31" s="574">
        <v>-1.28931926404241E-2</v>
      </c>
      <c r="I31" s="574">
        <v>-0.11498188607744442</v>
      </c>
      <c r="J31" s="574">
        <v>-4.4776662850505855E-2</v>
      </c>
      <c r="K31" s="574">
        <v>-0.52014634046214392</v>
      </c>
      <c r="L31" s="574">
        <v>-0.54075427207533067</v>
      </c>
      <c r="M31" s="574">
        <v>-0.59255841655832764</v>
      </c>
      <c r="N31" s="574">
        <v>-0.58392179000607969</v>
      </c>
      <c r="O31" s="574">
        <v>6.0463481041499234E-2</v>
      </c>
      <c r="P31" s="574">
        <v>0.13636003875140879</v>
      </c>
      <c r="Q31" s="574">
        <v>0.82880641802490485</v>
      </c>
      <c r="R31" s="574">
        <v>0.69380107958766302</v>
      </c>
      <c r="S31" s="1097">
        <v>0.92470205455402787</v>
      </c>
      <c r="T31" s="574">
        <v>0.22068915878271289</v>
      </c>
      <c r="U31" s="574">
        <f>+U29/Q29-1</f>
        <v>-7.7344416251020287E-2</v>
      </c>
      <c r="V31" s="131">
        <f>+V29/R29-1</f>
        <v>-0.16270078922307696</v>
      </c>
      <c r="W31" s="1095"/>
      <c r="X31" s="131"/>
      <c r="Y31" s="131"/>
      <c r="Z31" s="131"/>
      <c r="AA31" s="131"/>
      <c r="AB31" s="131"/>
      <c r="AC31" s="131"/>
      <c r="AD31" s="131"/>
      <c r="AE31" s="131"/>
      <c r="AF31" s="131"/>
      <c r="AG31" s="131"/>
      <c r="AH31" s="131"/>
      <c r="AI31" s="131"/>
      <c r="AJ31" s="131"/>
      <c r="AK31" s="131"/>
      <c r="AL31" s="131"/>
      <c r="AM31" s="1095"/>
      <c r="AN31" s="131"/>
      <c r="AO31" s="131"/>
      <c r="AP31" s="131"/>
      <c r="AQ31" s="131"/>
      <c r="AR31" s="131"/>
      <c r="AS31" s="131"/>
      <c r="AT31" s="131"/>
      <c r="AU31" s="131"/>
      <c r="AV31" s="131"/>
      <c r="AW31" s="131"/>
      <c r="AX31" s="131"/>
      <c r="AY31" s="131"/>
      <c r="AZ31" s="131"/>
      <c r="BA31" s="80"/>
      <c r="BB31" s="131"/>
      <c r="BC31" s="2181"/>
      <c r="BE31" s="80"/>
      <c r="BF31" s="84">
        <f t="shared" ref="BF31:BH31" si="49">+BF29/BE29-1</f>
        <v>-1.0900576073376689E-2</v>
      </c>
      <c r="BG31" s="84">
        <f t="shared" si="49"/>
        <v>-0.5592856038642765</v>
      </c>
      <c r="BH31" s="84">
        <f t="shared" si="49"/>
        <v>0.40324349826464778</v>
      </c>
      <c r="BI31" s="84"/>
      <c r="BJ31" s="1999">
        <f>+BJ29/BH29-1</f>
        <v>0.15002870163468107</v>
      </c>
      <c r="BK31" s="84"/>
      <c r="BL31" s="84"/>
      <c r="BM31" s="84"/>
      <c r="BN31" s="84"/>
      <c r="BO31" s="1801"/>
      <c r="BP31" s="84"/>
      <c r="BQ31" s="84"/>
      <c r="BR31" s="84"/>
      <c r="BS31" s="84"/>
      <c r="BT31" s="84"/>
      <c r="BU31" s="84"/>
    </row>
    <row r="32" spans="2:73" s="965" customFormat="1" ht="13.5" thickBot="1">
      <c r="B32" s="959"/>
      <c r="C32" s="960"/>
      <c r="D32" s="960"/>
      <c r="E32" s="960"/>
      <c r="F32" s="960"/>
      <c r="G32" s="961"/>
      <c r="H32" s="961"/>
      <c r="I32" s="961"/>
      <c r="J32" s="961"/>
      <c r="K32" s="961"/>
      <c r="L32" s="961"/>
      <c r="M32" s="961"/>
      <c r="N32" s="961"/>
      <c r="O32" s="961"/>
      <c r="P32" s="961"/>
      <c r="Q32" s="961"/>
      <c r="R32" s="961"/>
      <c r="S32" s="1956"/>
      <c r="T32" s="961"/>
      <c r="U32" s="961"/>
      <c r="V32" s="962"/>
      <c r="W32" s="1797"/>
      <c r="X32" s="962"/>
      <c r="Y32" s="962"/>
      <c r="Z32" s="962"/>
      <c r="AA32" s="962"/>
      <c r="AB32" s="962"/>
      <c r="AC32" s="962"/>
      <c r="AD32" s="962"/>
      <c r="AE32" s="962"/>
      <c r="AF32" s="962"/>
      <c r="AG32" s="962"/>
      <c r="AH32" s="962"/>
      <c r="AI32" s="962"/>
      <c r="AJ32" s="962"/>
      <c r="AK32" s="962"/>
      <c r="AL32" s="962"/>
      <c r="AM32" s="1797"/>
      <c r="AN32" s="962"/>
      <c r="AO32" s="962"/>
      <c r="AP32" s="962"/>
      <c r="AQ32" s="962"/>
      <c r="AR32" s="962"/>
      <c r="AS32" s="962"/>
      <c r="AT32" s="962"/>
      <c r="AU32" s="962"/>
      <c r="AV32" s="962"/>
      <c r="AW32" s="962"/>
      <c r="AX32" s="962"/>
      <c r="AY32" s="131"/>
      <c r="AZ32" s="131"/>
      <c r="BA32" s="80"/>
      <c r="BB32" s="962"/>
      <c r="BC32" s="2182"/>
      <c r="BD32" s="72"/>
      <c r="BE32" s="963"/>
      <c r="BF32" s="964"/>
      <c r="BG32" s="964"/>
      <c r="BH32" s="84"/>
      <c r="BI32" s="84"/>
      <c r="BJ32" s="1999"/>
      <c r="BK32" s="964"/>
      <c r="BL32" s="964"/>
      <c r="BM32" s="964"/>
      <c r="BN32" s="964"/>
      <c r="BO32" s="2446"/>
      <c r="BP32" s="964"/>
      <c r="BQ32" s="964"/>
      <c r="BR32" s="964"/>
      <c r="BS32" s="964"/>
      <c r="BT32" s="964"/>
      <c r="BU32" s="964"/>
    </row>
    <row r="33" spans="1:74" s="354" customFormat="1" ht="13.5" thickBot="1">
      <c r="A33" s="349"/>
      <c r="B33" s="350" t="s">
        <v>13</v>
      </c>
      <c r="C33" s="351"/>
      <c r="D33" s="351"/>
      <c r="E33" s="351"/>
      <c r="F33" s="351"/>
      <c r="G33" s="351"/>
      <c r="H33" s="351"/>
      <c r="I33" s="351"/>
      <c r="J33" s="351"/>
      <c r="K33" s="351"/>
      <c r="L33" s="351"/>
      <c r="M33" s="351"/>
      <c r="N33" s="351"/>
      <c r="O33" s="351"/>
      <c r="P33" s="351"/>
      <c r="Q33" s="351"/>
      <c r="R33" s="351"/>
      <c r="S33" s="1093">
        <f t="shared" ref="S33:Z33" si="50">+S36+S40+S44+S48</f>
        <v>9683.3099460047815</v>
      </c>
      <c r="T33" s="1094">
        <f t="shared" si="50"/>
        <v>10531.184952970534</v>
      </c>
      <c r="U33" s="1094">
        <f t="shared" si="50"/>
        <v>10458.9</v>
      </c>
      <c r="V33" s="1094">
        <f t="shared" si="50"/>
        <v>12915.3</v>
      </c>
      <c r="W33" s="1792">
        <f t="shared" si="50"/>
        <v>9719.1</v>
      </c>
      <c r="X33" s="353">
        <f t="shared" si="50"/>
        <v>9115.7999999999993</v>
      </c>
      <c r="Y33" s="353">
        <f t="shared" ref="Y33" si="51">+Y36+Y40+Y44+Y48</f>
        <v>13601.3</v>
      </c>
      <c r="Z33" s="353">
        <f t="shared" si="50"/>
        <v>15260.800000000003</v>
      </c>
      <c r="AA33" s="353">
        <f t="shared" ref="AA33:AB33" si="52">+AA36+AA40+AA44+AA48</f>
        <v>12059.1</v>
      </c>
      <c r="AB33" s="353">
        <f t="shared" si="52"/>
        <v>12232.999999999998</v>
      </c>
      <c r="AC33" s="353">
        <f t="shared" ref="AC33:AD33" si="53">+AC36+AC40+AC44+AC48</f>
        <v>12329.1</v>
      </c>
      <c r="AD33" s="353">
        <f t="shared" si="53"/>
        <v>15023</v>
      </c>
      <c r="AE33" s="353">
        <f t="shared" ref="AE33:AH33" si="54">+AE36+AE40+AE44+AE48</f>
        <v>10642.000000000002</v>
      </c>
      <c r="AF33" s="353">
        <f t="shared" si="54"/>
        <v>11271.699999999999</v>
      </c>
      <c r="AG33" s="353">
        <f t="shared" ref="AG33" si="55">+AG36+AG40+AG44+AG48</f>
        <v>11693.3</v>
      </c>
      <c r="AH33" s="353">
        <f t="shared" si="54"/>
        <v>13501.6</v>
      </c>
      <c r="AI33" s="353">
        <f t="shared" ref="AI33:AK33" si="56">+AI36+AI40+AI44+AI48</f>
        <v>9557.4</v>
      </c>
      <c r="AJ33" s="353">
        <f t="shared" ref="AJ33" si="57">+AJ36+AJ40+AJ44+AJ48</f>
        <v>10185.730080933539</v>
      </c>
      <c r="AK33" s="353">
        <f t="shared" si="56"/>
        <v>9822.4360000000015</v>
      </c>
      <c r="AL33" s="353">
        <f t="shared" ref="AL33" si="58">+AL36+AL40+AL44+AL48</f>
        <v>8609.9</v>
      </c>
      <c r="AM33" s="1953">
        <v>6231.4999999999991</v>
      </c>
      <c r="AN33" s="351">
        <v>7778.8</v>
      </c>
      <c r="AO33" s="351">
        <v>7900.7339160365073</v>
      </c>
      <c r="AP33" s="351">
        <v>9369.6</v>
      </c>
      <c r="AQ33" s="351">
        <v>6819.9</v>
      </c>
      <c r="AR33" s="351">
        <v>7545.9</v>
      </c>
      <c r="AS33" s="351">
        <v>6866.6</v>
      </c>
      <c r="AT33" s="351">
        <f>+AT36</f>
        <v>8262</v>
      </c>
      <c r="AU33" s="352">
        <f t="shared" ref="AU33:AX33" si="59">+AU36</f>
        <v>6020.787034060736</v>
      </c>
      <c r="AV33" s="352">
        <f t="shared" si="59"/>
        <v>7623.58275398361</v>
      </c>
      <c r="AW33" s="352">
        <f t="shared" si="59"/>
        <v>7377.6226592810299</v>
      </c>
      <c r="AX33" s="352">
        <f t="shared" si="59"/>
        <v>9319.950296166111</v>
      </c>
      <c r="AY33" s="156"/>
      <c r="AZ33" s="156"/>
      <c r="BA33" s="80"/>
      <c r="BB33" s="352">
        <v>8402.5252371742245</v>
      </c>
      <c r="BC33" s="2180">
        <f>+AT33/BB33-1</f>
        <v>-1.6724167224457354E-2</v>
      </c>
      <c r="BD33" s="978"/>
      <c r="BE33" s="353"/>
      <c r="BF33" s="353"/>
      <c r="BG33" s="353"/>
      <c r="BH33" s="80"/>
      <c r="BI33" s="2136"/>
      <c r="BJ33" s="2143">
        <f>+BJ36+BJ40+BJ44+BJ48</f>
        <v>43588.694898975315</v>
      </c>
      <c r="BK33" s="353">
        <f>+BK36+BK40+BK44+BK48</f>
        <v>47697</v>
      </c>
      <c r="BL33" s="353">
        <f t="shared" ref="BL33" si="60">+BL36+BL40+BL44+BL48</f>
        <v>51644.200000000004</v>
      </c>
      <c r="BM33" s="353">
        <f t="shared" ref="BM33:BN33" si="61">+BM36+BM40+BM44+BM48</f>
        <v>47108.6</v>
      </c>
      <c r="BN33" s="353">
        <f t="shared" si="61"/>
        <v>38175.46608093354</v>
      </c>
      <c r="BO33" s="1792">
        <f t="shared" ref="BO33" si="62">+BO36</f>
        <v>31586.822893874683</v>
      </c>
      <c r="BP33" s="353">
        <f>+BP36</f>
        <v>29494.799999999999</v>
      </c>
      <c r="BQ33" s="353">
        <f>+BQ36</f>
        <v>30341.942743491491</v>
      </c>
      <c r="BR33" s="352">
        <f t="shared" ref="BR33:BU33" si="63">+BR36</f>
        <v>31698.982389548346</v>
      </c>
      <c r="BS33" s="352">
        <f t="shared" si="63"/>
        <v>32921.72228114141</v>
      </c>
      <c r="BT33" s="352">
        <f t="shared" si="63"/>
        <v>34175.413649736605</v>
      </c>
      <c r="BU33" s="352">
        <f t="shared" si="63"/>
        <v>35383.327713027356</v>
      </c>
    </row>
    <row r="34" spans="1:74" ht="13.5" customHeight="1">
      <c r="B34" s="78"/>
      <c r="C34" s="92"/>
      <c r="D34" s="92"/>
      <c r="E34" s="92"/>
      <c r="F34" s="92"/>
      <c r="G34" s="131"/>
      <c r="H34" s="131"/>
      <c r="I34" s="131"/>
      <c r="J34" s="131"/>
      <c r="K34" s="131"/>
      <c r="L34" s="131"/>
      <c r="M34" s="131"/>
      <c r="N34" s="131"/>
      <c r="O34" s="131"/>
      <c r="P34" s="131"/>
      <c r="Q34" s="131"/>
      <c r="R34" s="131"/>
      <c r="S34" s="1095"/>
      <c r="T34" s="131"/>
      <c r="U34" s="131"/>
      <c r="V34" s="131"/>
      <c r="W34" s="1095">
        <f t="shared" ref="W34" si="64">+W33/S33-1</f>
        <v>3.6960558109560004E-3</v>
      </c>
      <c r="X34" s="131">
        <f t="shared" ref="X34:Y34" si="65">+X33/T33-1</f>
        <v>-0.13439940132960027</v>
      </c>
      <c r="Y34" s="131">
        <f t="shared" si="65"/>
        <v>0.30045224641214663</v>
      </c>
      <c r="Z34" s="131">
        <f t="shared" ref="Z34:AD34" si="66">+Z33/V33-1</f>
        <v>0.18160631189364573</v>
      </c>
      <c r="AA34" s="131">
        <f t="shared" si="66"/>
        <v>0.24076303361422347</v>
      </c>
      <c r="AB34" s="131">
        <f t="shared" si="66"/>
        <v>0.3419557252243357</v>
      </c>
      <c r="AC34" s="131">
        <f t="shared" si="66"/>
        <v>-9.3535176784572016E-2</v>
      </c>
      <c r="AD34" s="131">
        <f t="shared" si="66"/>
        <v>-1.5582407213252436E-2</v>
      </c>
      <c r="AE34" s="131">
        <f t="shared" ref="AE34" si="67">+AE33/AA33-1</f>
        <v>-0.11751291555754562</v>
      </c>
      <c r="AF34" s="131">
        <f t="shared" ref="AF34:AG34" si="68">+AF33/AB33-1</f>
        <v>-7.85825226845418E-2</v>
      </c>
      <c r="AG34" s="131">
        <f t="shared" si="68"/>
        <v>-5.1569052080038369E-2</v>
      </c>
      <c r="AH34" s="131">
        <f t="shared" ref="AH34" si="69">+AH33/AD33-1</f>
        <v>-0.10127138387805368</v>
      </c>
      <c r="AI34" s="131">
        <f t="shared" ref="AI34:AJ34" si="70">+AI33/AE33-1</f>
        <v>-0.10191693290734838</v>
      </c>
      <c r="AJ34" s="131">
        <f t="shared" si="70"/>
        <v>-9.6344821017810944E-2</v>
      </c>
      <c r="AK34" s="131">
        <f t="shared" ref="AK34:AO34" si="71">+AK33/AG33-1</f>
        <v>-0.1599945267802928</v>
      </c>
      <c r="AL34" s="131">
        <f t="shared" si="71"/>
        <v>-0.36230520827161228</v>
      </c>
      <c r="AM34" s="1095">
        <f t="shared" si="71"/>
        <v>-0.34799213175131316</v>
      </c>
      <c r="AN34" s="131">
        <f t="shared" si="71"/>
        <v>-0.23630412958213198</v>
      </c>
      <c r="AO34" s="131">
        <f t="shared" si="71"/>
        <v>-0.19564414407622444</v>
      </c>
      <c r="AP34" s="131">
        <f t="shared" ref="AP34" si="72">+AP33/AL33-1</f>
        <v>8.823563572166937E-2</v>
      </c>
      <c r="AQ34" s="131">
        <f t="shared" ref="AQ34" si="73">+AQ33/AM33-1</f>
        <v>9.4423493540881198E-2</v>
      </c>
      <c r="AR34" s="131">
        <f t="shared" ref="AR34" si="74">+AR33/AN33-1</f>
        <v>-2.9940350696765594E-2</v>
      </c>
      <c r="AS34" s="131">
        <f t="shared" ref="AS34" si="75">+AS33/AO33-1</f>
        <v>-0.13089086748478829</v>
      </c>
      <c r="AT34" s="131">
        <f t="shared" ref="AT34" si="76">+AT33/AP33-1</f>
        <v>-0.11821209016393441</v>
      </c>
      <c r="AU34" s="131">
        <f t="shared" ref="AU34" si="77">+AU33/AQ33-1</f>
        <v>-0.11717370723020337</v>
      </c>
      <c r="AV34" s="131">
        <f t="shared" ref="AV34" si="78">+AV33/AR33-1</f>
        <v>1.0294696985596152E-2</v>
      </c>
      <c r="AW34" s="131">
        <f t="shared" ref="AW34" si="79">+AW33/AS33-1</f>
        <v>7.4421498162267952E-2</v>
      </c>
      <c r="AX34" s="131">
        <f t="shared" ref="AX34" si="80">+AX33/AT33-1</f>
        <v>0.1280501447792437</v>
      </c>
      <c r="AY34" s="131"/>
      <c r="AZ34" s="131"/>
      <c r="BA34" s="80"/>
      <c r="BB34" s="131">
        <v>-0.10321409268546955</v>
      </c>
      <c r="BC34" s="2181"/>
      <c r="BE34" s="80"/>
      <c r="BF34" s="84"/>
      <c r="BG34" s="84"/>
      <c r="BH34" s="84"/>
      <c r="BI34" s="1101"/>
      <c r="BJ34" s="2002"/>
      <c r="BK34" s="84">
        <f>+BK33/BJ33-1</f>
        <v>9.4251619841943635E-2</v>
      </c>
      <c r="BL34" s="84">
        <f t="shared" ref="BL34:BQ34" si="81">+BL33/BK33-1</f>
        <v>8.2755728871836798E-2</v>
      </c>
      <c r="BM34" s="84">
        <f t="shared" si="81"/>
        <v>-8.7823995724592652E-2</v>
      </c>
      <c r="BN34" s="84">
        <f t="shared" si="81"/>
        <v>-0.18962851621713361</v>
      </c>
      <c r="BO34" s="1801">
        <f t="shared" si="81"/>
        <v>-0.17258841511170198</v>
      </c>
      <c r="BP34" s="84">
        <f t="shared" si="81"/>
        <v>-6.6230874213068391E-2</v>
      </c>
      <c r="BQ34" s="84">
        <f t="shared" si="81"/>
        <v>2.8721765988970693E-2</v>
      </c>
      <c r="BR34" s="84">
        <f t="shared" ref="BR34" si="82">+BR33/BQ33-1</f>
        <v>4.4724876634603339E-2</v>
      </c>
      <c r="BS34" s="84">
        <f t="shared" ref="BS34" si="83">+BS33/BR33-1</f>
        <v>3.8573474585613887E-2</v>
      </c>
      <c r="BT34" s="84">
        <f t="shared" ref="BT34" si="84">+BT33/BS33-1</f>
        <v>3.8080977595553955E-2</v>
      </c>
      <c r="BU34" s="84">
        <f t="shared" ref="BU34" si="85">+BU33/BT33-1</f>
        <v>3.5344533812250223E-2</v>
      </c>
    </row>
    <row r="35" spans="1:74" ht="13.5" customHeight="1">
      <c r="B35" s="78"/>
      <c r="C35" s="92"/>
      <c r="D35" s="92"/>
      <c r="E35" s="92"/>
      <c r="F35" s="92"/>
      <c r="G35" s="131"/>
      <c r="H35" s="131"/>
      <c r="I35" s="131"/>
      <c r="J35" s="131"/>
      <c r="K35" s="131"/>
      <c r="L35" s="131"/>
      <c r="M35" s="131"/>
      <c r="N35" s="131"/>
      <c r="O35" s="131"/>
      <c r="P35" s="131"/>
      <c r="Q35" s="131"/>
      <c r="R35" s="131"/>
      <c r="S35" s="1095"/>
      <c r="T35" s="131"/>
      <c r="U35" s="131"/>
      <c r="V35" s="131"/>
      <c r="W35" s="1095"/>
      <c r="X35" s="131"/>
      <c r="Y35" s="131"/>
      <c r="Z35" s="131"/>
      <c r="AA35" s="131"/>
      <c r="AB35" s="131"/>
      <c r="AC35" s="131"/>
      <c r="AD35" s="131"/>
      <c r="AE35" s="131"/>
      <c r="AF35" s="131"/>
      <c r="AG35" s="131"/>
      <c r="AH35" s="131"/>
      <c r="AI35" s="131"/>
      <c r="AJ35" s="131"/>
      <c r="AK35" s="131"/>
      <c r="AL35" s="131"/>
      <c r="AM35" s="1095"/>
      <c r="AN35" s="131"/>
      <c r="AO35" s="131"/>
      <c r="AP35" s="131"/>
      <c r="AQ35" s="131"/>
      <c r="AR35" s="131"/>
      <c r="AS35" s="131"/>
      <c r="AT35" s="131"/>
      <c r="AU35" s="131"/>
      <c r="AV35" s="131"/>
      <c r="AW35" s="131"/>
      <c r="AX35" s="131"/>
      <c r="AY35" s="131"/>
      <c r="AZ35" s="131"/>
      <c r="BA35" s="80"/>
      <c r="BB35" s="131"/>
      <c r="BC35" s="2181"/>
      <c r="BE35" s="80"/>
      <c r="BF35" s="84"/>
      <c r="BG35" s="84"/>
      <c r="BH35" s="84"/>
      <c r="BI35" s="1101"/>
      <c r="BJ35" s="2002"/>
      <c r="BK35" s="84"/>
      <c r="BL35" s="84"/>
      <c r="BM35" s="84"/>
      <c r="BN35" s="84"/>
      <c r="BO35" s="1801"/>
      <c r="BP35" s="84"/>
      <c r="BQ35" s="84"/>
      <c r="BR35" s="84"/>
      <c r="BS35" s="84"/>
      <c r="BT35" s="84"/>
      <c r="BU35" s="84"/>
    </row>
    <row r="36" spans="1:74" s="894" customFormat="1" ht="13.5" customHeight="1">
      <c r="B36" s="895" t="s">
        <v>270</v>
      </c>
      <c r="C36" s="896"/>
      <c r="D36" s="896"/>
      <c r="E36" s="896"/>
      <c r="F36" s="896"/>
      <c r="G36" s="897"/>
      <c r="H36" s="897"/>
      <c r="I36" s="897"/>
      <c r="J36" s="897"/>
      <c r="K36" s="897"/>
      <c r="L36" s="897"/>
      <c r="M36" s="897"/>
      <c r="N36" s="897"/>
      <c r="O36" s="897"/>
      <c r="P36" s="897"/>
      <c r="Q36" s="897"/>
      <c r="R36" s="897"/>
      <c r="S36" s="1096">
        <f t="shared" ref="S36:V36" si="86">+S138</f>
        <v>5463.2999999999993</v>
      </c>
      <c r="T36" s="898">
        <f t="shared" si="86"/>
        <v>6410.1</v>
      </c>
      <c r="U36" s="898">
        <f t="shared" si="86"/>
        <v>6353.1</v>
      </c>
      <c r="V36" s="898">
        <f t="shared" si="86"/>
        <v>7117.5</v>
      </c>
      <c r="W36" s="1798">
        <v>5593.2</v>
      </c>
      <c r="X36" s="898">
        <f t="shared" ref="X36:Z36" si="87">+X138</f>
        <v>5420.7</v>
      </c>
      <c r="Y36" s="898">
        <f t="shared" ref="Y36" si="88">+Y138</f>
        <v>8275.9</v>
      </c>
      <c r="Z36" s="898">
        <f t="shared" si="87"/>
        <v>8294.7000000000007</v>
      </c>
      <c r="AA36" s="898">
        <f t="shared" ref="AA36:AB36" si="89">+AA138</f>
        <v>6857.2</v>
      </c>
      <c r="AB36" s="898">
        <f t="shared" si="89"/>
        <v>7347.9</v>
      </c>
      <c r="AC36" s="898">
        <f t="shared" ref="AC36:AD36" si="90">+AC138</f>
        <v>7409.2</v>
      </c>
      <c r="AD36" s="898">
        <f t="shared" si="90"/>
        <v>8079.1</v>
      </c>
      <c r="AE36" s="898">
        <f t="shared" ref="AE36:AH36" si="91">+AE138</f>
        <v>6286.7</v>
      </c>
      <c r="AF36" s="898">
        <f t="shared" si="91"/>
        <v>7284.4</v>
      </c>
      <c r="AG36" s="898">
        <f t="shared" ref="AG36" si="92">+AG138</f>
        <v>7700</v>
      </c>
      <c r="AH36" s="898">
        <f t="shared" si="91"/>
        <v>7886.9</v>
      </c>
      <c r="AI36" s="898">
        <f t="shared" ref="AI36:AK36" si="93">+AI138</f>
        <v>6445.3</v>
      </c>
      <c r="AJ36" s="898">
        <f t="shared" ref="AJ36" si="94">+AJ138</f>
        <v>7274.0300809335386</v>
      </c>
      <c r="AK36" s="898">
        <f t="shared" si="93"/>
        <v>6930.2139999999999</v>
      </c>
      <c r="AL36" s="898">
        <f t="shared" ref="AL36:AM36" si="95">+AL138</f>
        <v>6571.3</v>
      </c>
      <c r="AM36" s="1096">
        <f t="shared" si="95"/>
        <v>6371.9</v>
      </c>
      <c r="AN36" s="898">
        <f t="shared" ref="AN36:AO36" si="96">+AN138</f>
        <v>7944.6426255093893</v>
      </c>
      <c r="AO36" s="898">
        <f t="shared" si="96"/>
        <v>7900.680268365295</v>
      </c>
      <c r="AP36" s="898">
        <f t="shared" ref="AP36:AQ36" si="97">+AP138</f>
        <v>9369.6</v>
      </c>
      <c r="AQ36" s="898">
        <f t="shared" si="97"/>
        <v>6819.9</v>
      </c>
      <c r="AR36" s="919">
        <f t="shared" ref="AR36:AS36" si="98">+AR138</f>
        <v>7545.9</v>
      </c>
      <c r="AS36" s="919">
        <f t="shared" si="98"/>
        <v>6867</v>
      </c>
      <c r="AT36" s="919">
        <f>+AT138</f>
        <v>8262</v>
      </c>
      <c r="AU36" s="919">
        <f t="shared" ref="AU36:AX36" si="99">+AU138</f>
        <v>6020.787034060736</v>
      </c>
      <c r="AV36" s="919">
        <f t="shared" si="99"/>
        <v>7623.58275398361</v>
      </c>
      <c r="AW36" s="919">
        <f t="shared" si="99"/>
        <v>7377.6226592810299</v>
      </c>
      <c r="AX36" s="919">
        <f t="shared" si="99"/>
        <v>9319.950296166111</v>
      </c>
      <c r="AY36" s="919"/>
      <c r="AZ36" s="919"/>
      <c r="BA36" s="899"/>
      <c r="BB36" s="919">
        <v>8402.5252371742245</v>
      </c>
      <c r="BC36" s="2181">
        <f>+AT36/BB36-1</f>
        <v>-1.6724167224457354E-2</v>
      </c>
      <c r="BD36" s="980"/>
      <c r="BE36" s="899"/>
      <c r="BF36" s="571"/>
      <c r="BG36" s="571"/>
      <c r="BH36" s="571"/>
      <c r="BI36" s="1102"/>
      <c r="BJ36" s="2003">
        <f>+SUM(S36:V36)</f>
        <v>25344</v>
      </c>
      <c r="BK36" s="77">
        <f>+SUM(W36:Z36)</f>
        <v>27584.5</v>
      </c>
      <c r="BL36" s="77">
        <f>+SUM(AA36:AD36)</f>
        <v>29693.4</v>
      </c>
      <c r="BM36" s="77">
        <f>+SUM(AE36:AH36)</f>
        <v>29158</v>
      </c>
      <c r="BN36" s="77">
        <f>+SUM(AI36:AL36)</f>
        <v>27220.844080933537</v>
      </c>
      <c r="BO36" s="1791">
        <f>+SUM(AM36:AP36)</f>
        <v>31586.822893874683</v>
      </c>
      <c r="BP36" s="77">
        <f>+SUM(AQ36:AT36)</f>
        <v>29494.799999999999</v>
      </c>
      <c r="BQ36" s="77">
        <f>+SUM(AU36:AX36)</f>
        <v>30341.942743491491</v>
      </c>
      <c r="BR36" s="919">
        <f>+BR138</f>
        <v>31698.982389548346</v>
      </c>
      <c r="BS36" s="919">
        <f t="shared" ref="BS36:BU36" si="100">+BS138</f>
        <v>32921.72228114141</v>
      </c>
      <c r="BT36" s="919">
        <f t="shared" si="100"/>
        <v>34175.413649736605</v>
      </c>
      <c r="BU36" s="919">
        <f t="shared" si="100"/>
        <v>35383.327713027356</v>
      </c>
    </row>
    <row r="37" spans="1:74" ht="13.5" customHeight="1">
      <c r="B37" s="355" t="s">
        <v>266</v>
      </c>
      <c r="C37" s="575"/>
      <c r="D37" s="575"/>
      <c r="E37" s="575"/>
      <c r="F37" s="575"/>
      <c r="G37" s="574"/>
      <c r="H37" s="574"/>
      <c r="I37" s="574"/>
      <c r="J37" s="574"/>
      <c r="K37" s="574"/>
      <c r="L37" s="574"/>
      <c r="M37" s="574"/>
      <c r="N37" s="574"/>
      <c r="O37" s="574"/>
      <c r="P37" s="574"/>
      <c r="Q37" s="574"/>
      <c r="R37" s="574"/>
      <c r="S37" s="1095">
        <f t="shared" ref="S37:AT37" si="101">+S36/S$8</f>
        <v>1.3864132365629598</v>
      </c>
      <c r="T37" s="131">
        <f t="shared" si="101"/>
        <v>1.384500745156483</v>
      </c>
      <c r="U37" s="131">
        <f t="shared" si="101"/>
        <v>1.3502869287991499</v>
      </c>
      <c r="V37" s="131">
        <f t="shared" si="101"/>
        <v>1.1064732767465721</v>
      </c>
      <c r="W37" s="1095">
        <f t="shared" si="101"/>
        <v>0.57548538444917741</v>
      </c>
      <c r="X37" s="131">
        <f t="shared" si="101"/>
        <v>0.59464885144474433</v>
      </c>
      <c r="Y37" s="131">
        <f t="shared" si="101"/>
        <v>0.60846389683339097</v>
      </c>
      <c r="Z37" s="131">
        <f t="shared" si="101"/>
        <v>0.54352982805619621</v>
      </c>
      <c r="AA37" s="131">
        <f t="shared" si="101"/>
        <v>0.5686328167110315</v>
      </c>
      <c r="AB37" s="131">
        <f t="shared" si="101"/>
        <v>0.60066214338265356</v>
      </c>
      <c r="AC37" s="131">
        <f t="shared" si="101"/>
        <v>0.60095221873453863</v>
      </c>
      <c r="AD37" s="131">
        <f t="shared" si="101"/>
        <v>0.53778206749650537</v>
      </c>
      <c r="AE37" s="131">
        <f t="shared" si="101"/>
        <v>0.59074422101108803</v>
      </c>
      <c r="AF37" s="131">
        <f t="shared" si="101"/>
        <v>0.64625566684705948</v>
      </c>
      <c r="AG37" s="131">
        <f t="shared" si="101"/>
        <v>0.65849674599984609</v>
      </c>
      <c r="AH37" s="131">
        <f t="shared" si="101"/>
        <v>0.58414558274574857</v>
      </c>
      <c r="AI37" s="131">
        <f t="shared" si="101"/>
        <v>0.67437796890367674</v>
      </c>
      <c r="AJ37" s="131">
        <f t="shared" si="101"/>
        <v>0.71413929322058589</v>
      </c>
      <c r="AK37" s="131">
        <f t="shared" si="101"/>
        <v>0.70554941768009471</v>
      </c>
      <c r="AL37" s="131">
        <f t="shared" si="101"/>
        <v>0.76322605372884711</v>
      </c>
      <c r="AM37" s="1095">
        <f t="shared" si="101"/>
        <v>1</v>
      </c>
      <c r="AN37" s="131">
        <f t="shared" si="101"/>
        <v>1</v>
      </c>
      <c r="AO37" s="131">
        <f t="shared" si="101"/>
        <v>1</v>
      </c>
      <c r="AP37" s="131">
        <f t="shared" ref="AP37:AQ37" si="102">+AP36/AP$8</f>
        <v>1</v>
      </c>
      <c r="AQ37" s="131">
        <f t="shared" si="102"/>
        <v>1</v>
      </c>
      <c r="AR37" s="131">
        <f t="shared" si="101"/>
        <v>1</v>
      </c>
      <c r="AS37" s="131">
        <f t="shared" si="101"/>
        <v>1</v>
      </c>
      <c r="AT37" s="131">
        <f t="shared" si="101"/>
        <v>1</v>
      </c>
      <c r="AU37" s="131">
        <f t="shared" ref="AU37:AX37" si="103">+AU36/AU$8</f>
        <v>1</v>
      </c>
      <c r="AV37" s="131">
        <f t="shared" si="103"/>
        <v>1</v>
      </c>
      <c r="AW37" s="131">
        <f t="shared" si="103"/>
        <v>1</v>
      </c>
      <c r="AX37" s="131">
        <f t="shared" si="103"/>
        <v>1</v>
      </c>
      <c r="AY37" s="131"/>
      <c r="AZ37" s="131"/>
      <c r="BA37" s="80"/>
      <c r="BB37" s="131">
        <v>1</v>
      </c>
      <c r="BC37" s="2181"/>
      <c r="BE37" s="80"/>
      <c r="BF37" s="84"/>
      <c r="BG37" s="84"/>
      <c r="BH37" s="84"/>
      <c r="BI37" s="1103"/>
      <c r="BJ37" s="2004">
        <f t="shared" ref="BJ37:BU37" si="104">+BJ36/BJ$8</f>
        <v>1.2859687133716595</v>
      </c>
      <c r="BK37" s="131">
        <f t="shared" si="104"/>
        <v>0.57832777742834984</v>
      </c>
      <c r="BL37" s="131">
        <f t="shared" si="104"/>
        <v>0.57496098303391285</v>
      </c>
      <c r="BM37" s="131">
        <f t="shared" si="104"/>
        <v>0.6189528026729727</v>
      </c>
      <c r="BN37" s="131">
        <f t="shared" si="104"/>
        <v>0.71304549427698516</v>
      </c>
      <c r="BO37" s="1095">
        <f t="shared" si="104"/>
        <v>1</v>
      </c>
      <c r="BP37" s="131">
        <f t="shared" si="104"/>
        <v>1</v>
      </c>
      <c r="BQ37" s="131">
        <f t="shared" ref="BQ37" si="105">+BQ36/BQ$8</f>
        <v>1</v>
      </c>
      <c r="BR37" s="131">
        <f t="shared" si="104"/>
        <v>1</v>
      </c>
      <c r="BS37" s="131">
        <f t="shared" si="104"/>
        <v>1</v>
      </c>
      <c r="BT37" s="131">
        <f t="shared" si="104"/>
        <v>1</v>
      </c>
      <c r="BU37" s="131">
        <f t="shared" si="104"/>
        <v>1</v>
      </c>
    </row>
    <row r="38" spans="1:74" ht="13.5" customHeight="1">
      <c r="B38" s="356" t="s">
        <v>108</v>
      </c>
      <c r="C38" s="575"/>
      <c r="D38" s="575"/>
      <c r="E38" s="575"/>
      <c r="F38" s="575"/>
      <c r="G38" s="574"/>
      <c r="H38" s="574"/>
      <c r="I38" s="574"/>
      <c r="J38" s="574"/>
      <c r="K38" s="574"/>
      <c r="L38" s="574"/>
      <c r="M38" s="574"/>
      <c r="N38" s="574"/>
      <c r="O38" s="574"/>
      <c r="P38" s="574"/>
      <c r="Q38" s="574"/>
      <c r="R38" s="574"/>
      <c r="S38" s="1095"/>
      <c r="T38" s="131"/>
      <c r="U38" s="131"/>
      <c r="V38" s="131"/>
      <c r="W38" s="1095">
        <f t="shared" ref="W38:AD38" si="106">+W36/S36-1</f>
        <v>2.3776838174729642E-2</v>
      </c>
      <c r="X38" s="131">
        <f t="shared" si="106"/>
        <v>-0.15435016614405395</v>
      </c>
      <c r="Y38" s="131">
        <f t="shared" si="106"/>
        <v>0.3026553965780483</v>
      </c>
      <c r="Z38" s="131">
        <f t="shared" si="106"/>
        <v>0.16539515279241312</v>
      </c>
      <c r="AA38" s="131">
        <f t="shared" si="106"/>
        <v>0.22598870056497167</v>
      </c>
      <c r="AB38" s="131">
        <f t="shared" si="106"/>
        <v>0.3555260390724444</v>
      </c>
      <c r="AC38" s="131">
        <f t="shared" si="106"/>
        <v>-0.10472577000688743</v>
      </c>
      <c r="AD38" s="131">
        <f t="shared" si="106"/>
        <v>-2.5992501235728827E-2</v>
      </c>
      <c r="AE38" s="131">
        <f t="shared" ref="AE38:AH38" si="107">+AE36/AA36-1</f>
        <v>-8.3197223356472061E-2</v>
      </c>
      <c r="AF38" s="131">
        <f t="shared" si="107"/>
        <v>-8.64192490371396E-3</v>
      </c>
      <c r="AG38" s="131">
        <f t="shared" si="107"/>
        <v>3.9248501862549245E-2</v>
      </c>
      <c r="AH38" s="131">
        <f t="shared" si="107"/>
        <v>-2.3789778564444197E-2</v>
      </c>
      <c r="AI38" s="131">
        <f t="shared" ref="AI38:AJ38" si="108">+AI36/AE36-1</f>
        <v>2.5227861994369105E-2</v>
      </c>
      <c r="AJ38" s="131">
        <f t="shared" si="108"/>
        <v>-1.4235790272996152E-3</v>
      </c>
      <c r="AK38" s="131">
        <f t="shared" ref="AK38:AO38" si="109">+AK36/AG36-1</f>
        <v>-9.9972207792207834E-2</v>
      </c>
      <c r="AL38" s="131">
        <f t="shared" si="109"/>
        <v>-0.16680825165781221</v>
      </c>
      <c r="AM38" s="1095">
        <f t="shared" si="109"/>
        <v>-1.1388143298217357E-2</v>
      </c>
      <c r="AN38" s="131">
        <f t="shared" si="109"/>
        <v>9.219270983407668E-2</v>
      </c>
      <c r="AO38" s="131">
        <f t="shared" si="109"/>
        <v>0.14003409827824864</v>
      </c>
      <c r="AP38" s="131">
        <f t="shared" ref="AP38" si="110">+AP36/AL36-1</f>
        <v>0.42583659245506977</v>
      </c>
      <c r="AQ38" s="131">
        <f t="shared" ref="AQ38" si="111">+AQ36/AM36-1</f>
        <v>7.0308699132126895E-2</v>
      </c>
      <c r="AR38" s="131">
        <f t="shared" ref="AR38" si="112">+AR36/AN36-1</f>
        <v>-5.0190127398439532E-2</v>
      </c>
      <c r="AS38" s="131">
        <f t="shared" ref="AS38" si="113">+AS36/AO36-1</f>
        <v>-0.13083433745625683</v>
      </c>
      <c r="AT38" s="131">
        <f t="shared" ref="AT38" si="114">+AT36/AP36-1</f>
        <v>-0.11821209016393441</v>
      </c>
      <c r="AU38" s="131">
        <f t="shared" ref="AU38" si="115">+AU36/AQ36-1</f>
        <v>-0.11717370723020337</v>
      </c>
      <c r="AV38" s="131">
        <f t="shared" ref="AV38" si="116">+AV36/AR36-1</f>
        <v>1.0294696985596152E-2</v>
      </c>
      <c r="AW38" s="131">
        <f t="shared" ref="AW38" si="117">+AW36/AS36-1</f>
        <v>7.4358913540269356E-2</v>
      </c>
      <c r="AX38" s="131">
        <f t="shared" ref="AX38" si="118">+AX36/AT36-1</f>
        <v>0.1280501447792437</v>
      </c>
      <c r="AY38" s="131"/>
      <c r="AZ38" s="131"/>
      <c r="BA38" s="80"/>
      <c r="BB38" s="131">
        <v>-0.10321409268546955</v>
      </c>
      <c r="BC38" s="2181"/>
      <c r="BE38" s="80"/>
      <c r="BF38" s="84"/>
      <c r="BG38" s="84"/>
      <c r="BH38" s="84"/>
      <c r="BI38" s="1101"/>
      <c r="BJ38" s="2002"/>
      <c r="BK38" s="131">
        <f>+BK36/BJ36-1</f>
        <v>8.8403566919191823E-2</v>
      </c>
      <c r="BL38" s="131">
        <f t="shared" ref="BL38:BR38" si="119">+BL36/BK36-1</f>
        <v>7.6452355489496027E-2</v>
      </c>
      <c r="BM38" s="131">
        <f t="shared" si="119"/>
        <v>-1.8030942903136782E-2</v>
      </c>
      <c r="BN38" s="131">
        <f t="shared" si="119"/>
        <v>-6.6436515504028515E-2</v>
      </c>
      <c r="BO38" s="1095">
        <f t="shared" si="119"/>
        <v>0.16039101506037556</v>
      </c>
      <c r="BP38" s="131">
        <f t="shared" si="119"/>
        <v>-6.6230874213068391E-2</v>
      </c>
      <c r="BQ38" s="131">
        <f t="shared" si="119"/>
        <v>2.8721765988970693E-2</v>
      </c>
      <c r="BR38" s="131">
        <f t="shared" si="119"/>
        <v>4.4724876634603339E-2</v>
      </c>
      <c r="BS38" s="131">
        <f t="shared" ref="BS38" si="120">+BS36/BR36-1</f>
        <v>3.8573474585613887E-2</v>
      </c>
      <c r="BT38" s="131">
        <f t="shared" ref="BT38" si="121">+BT36/BS36-1</f>
        <v>3.8080977595553955E-2</v>
      </c>
      <c r="BU38" s="131">
        <f t="shared" ref="BU38" si="122">+BU36/BT36-1</f>
        <v>3.5344533812250223E-2</v>
      </c>
    </row>
    <row r="39" spans="1:74" ht="13.5" customHeight="1">
      <c r="B39" s="356"/>
      <c r="C39" s="575"/>
      <c r="D39" s="575"/>
      <c r="E39" s="575"/>
      <c r="F39" s="575"/>
      <c r="G39" s="574"/>
      <c r="H39" s="574"/>
      <c r="I39" s="574"/>
      <c r="J39" s="574"/>
      <c r="K39" s="574"/>
      <c r="L39" s="574"/>
      <c r="M39" s="574"/>
      <c r="N39" s="574"/>
      <c r="O39" s="574"/>
      <c r="P39" s="574"/>
      <c r="Q39" s="574"/>
      <c r="R39" s="574"/>
      <c r="S39" s="1095"/>
      <c r="T39" s="131"/>
      <c r="U39" s="131"/>
      <c r="V39" s="131"/>
      <c r="W39" s="1095"/>
      <c r="X39" s="131"/>
      <c r="Y39" s="131"/>
      <c r="Z39" s="131"/>
      <c r="AA39" s="131"/>
      <c r="AB39" s="131"/>
      <c r="AC39" s="131"/>
      <c r="AD39" s="131"/>
      <c r="AE39" s="131"/>
      <c r="AF39" s="131"/>
      <c r="AG39" s="131"/>
      <c r="AH39" s="131"/>
      <c r="AI39" s="131"/>
      <c r="AJ39" s="131"/>
      <c r="AK39" s="131"/>
      <c r="AL39" s="131"/>
      <c r="AM39" s="1095"/>
      <c r="AN39" s="131"/>
      <c r="AO39" s="131"/>
      <c r="AP39" s="131"/>
      <c r="AQ39" s="131"/>
      <c r="AR39" s="131"/>
      <c r="AS39" s="131"/>
      <c r="AT39" s="131"/>
      <c r="AU39" s="131"/>
      <c r="AV39" s="131"/>
      <c r="AW39" s="131"/>
      <c r="AX39" s="131"/>
      <c r="AY39" s="131"/>
      <c r="AZ39" s="131"/>
      <c r="BA39" s="80"/>
      <c r="BB39" s="131"/>
      <c r="BC39" s="2181"/>
      <c r="BE39" s="80"/>
      <c r="BF39" s="84"/>
      <c r="BG39" s="84"/>
      <c r="BH39" s="84"/>
      <c r="BI39" s="1101"/>
      <c r="BJ39" s="2002"/>
      <c r="BK39" s="84"/>
      <c r="BL39" s="84"/>
      <c r="BM39" s="84"/>
      <c r="BN39" s="84"/>
      <c r="BO39" s="1801"/>
      <c r="BP39" s="84"/>
      <c r="BQ39" s="84"/>
      <c r="BR39" s="131"/>
      <c r="BS39" s="131"/>
      <c r="BT39" s="131"/>
      <c r="BU39" s="131"/>
    </row>
    <row r="40" spans="1:74" s="894" customFormat="1" ht="13.5" customHeight="1">
      <c r="B40" s="895" t="s">
        <v>271</v>
      </c>
      <c r="C40" s="896"/>
      <c r="D40" s="896"/>
      <c r="E40" s="896"/>
      <c r="F40" s="896"/>
      <c r="G40" s="897"/>
      <c r="H40" s="897"/>
      <c r="I40" s="897"/>
      <c r="J40" s="897"/>
      <c r="K40" s="897"/>
      <c r="L40" s="897"/>
      <c r="M40" s="897"/>
      <c r="N40" s="897"/>
      <c r="O40" s="897"/>
      <c r="P40" s="897"/>
      <c r="Q40" s="897"/>
      <c r="R40" s="897"/>
      <c r="S40" s="1096">
        <f>+S455</f>
        <v>2690.5</v>
      </c>
      <c r="T40" s="898">
        <f>+T455</f>
        <v>2599</v>
      </c>
      <c r="U40" s="898">
        <f>+U455</f>
        <v>2485.6999999999998</v>
      </c>
      <c r="V40" s="898">
        <f>+V455</f>
        <v>3151</v>
      </c>
      <c r="W40" s="1798">
        <v>2531.4</v>
      </c>
      <c r="X40" s="898">
        <f t="shared" ref="X40:AL40" si="123">+X455</f>
        <v>1995.7</v>
      </c>
      <c r="Y40" s="898">
        <f t="shared" si="123"/>
        <v>2958.2</v>
      </c>
      <c r="Z40" s="898">
        <f t="shared" si="123"/>
        <v>3406.2</v>
      </c>
      <c r="AA40" s="898">
        <f t="shared" si="123"/>
        <v>2835.9</v>
      </c>
      <c r="AB40" s="898">
        <f t="shared" si="123"/>
        <v>2644.7</v>
      </c>
      <c r="AC40" s="898">
        <f t="shared" si="123"/>
        <v>2460</v>
      </c>
      <c r="AD40" s="898">
        <f t="shared" si="123"/>
        <v>3248.4</v>
      </c>
      <c r="AE40" s="898">
        <f t="shared" si="123"/>
        <v>2207.4</v>
      </c>
      <c r="AF40" s="898">
        <f t="shared" si="123"/>
        <v>2099.6999999999998</v>
      </c>
      <c r="AG40" s="898">
        <f t="shared" si="123"/>
        <v>1965.1</v>
      </c>
      <c r="AH40" s="898">
        <f t="shared" si="123"/>
        <v>2456.4</v>
      </c>
      <c r="AI40" s="898">
        <f t="shared" si="123"/>
        <v>1921</v>
      </c>
      <c r="AJ40" s="898">
        <f t="shared" si="123"/>
        <v>1795.1</v>
      </c>
      <c r="AK40" s="898">
        <f t="shared" si="123"/>
        <v>1733.308</v>
      </c>
      <c r="AL40" s="898">
        <f t="shared" si="123"/>
        <v>2038.6</v>
      </c>
      <c r="AM40" s="1096"/>
      <c r="AN40" s="898"/>
      <c r="AO40" s="898"/>
      <c r="AP40" s="898"/>
      <c r="AQ40" s="898"/>
      <c r="AR40" s="898"/>
      <c r="AS40" s="898"/>
      <c r="AT40" s="898"/>
      <c r="AU40" s="898"/>
      <c r="AV40" s="898"/>
      <c r="AW40" s="898"/>
      <c r="AX40" s="898"/>
      <c r="AY40" s="898"/>
      <c r="AZ40" s="898"/>
      <c r="BA40" s="899"/>
      <c r="BB40" s="898"/>
      <c r="BC40" s="2181" t="e">
        <f>+AT40/BB40-1</f>
        <v>#DIV/0!</v>
      </c>
      <c r="BD40" s="980"/>
      <c r="BE40" s="899"/>
      <c r="BF40" s="571"/>
      <c r="BG40" s="571"/>
      <c r="BH40" s="571"/>
      <c r="BI40" s="1102"/>
      <c r="BJ40" s="2003">
        <f>+SUM(S40:V40)</f>
        <v>10926.2</v>
      </c>
      <c r="BK40" s="77">
        <f>+SUM(W40:Z40)</f>
        <v>10891.5</v>
      </c>
      <c r="BL40" s="77">
        <f>+SUM(AA40:AD40)</f>
        <v>11189</v>
      </c>
      <c r="BM40" s="77">
        <f>+SUM(AE40:AH40)</f>
        <v>8728.6</v>
      </c>
      <c r="BN40" s="77">
        <f>+SUM(AI40:AL40)</f>
        <v>7488.0079999999998</v>
      </c>
      <c r="BO40" s="1791"/>
      <c r="BP40" s="77"/>
      <c r="BQ40" s="77"/>
      <c r="BR40" s="919"/>
      <c r="BS40" s="919"/>
      <c r="BT40" s="919"/>
      <c r="BU40" s="919"/>
      <c r="BV40" s="898"/>
    </row>
    <row r="41" spans="1:74" ht="13.5" customHeight="1">
      <c r="B41" s="355" t="s">
        <v>266</v>
      </c>
      <c r="C41" s="575"/>
      <c r="D41" s="575"/>
      <c r="E41" s="575"/>
      <c r="F41" s="575"/>
      <c r="G41" s="574"/>
      <c r="H41" s="574"/>
      <c r="I41" s="574"/>
      <c r="J41" s="574"/>
      <c r="K41" s="574"/>
      <c r="L41" s="574"/>
      <c r="M41" s="574"/>
      <c r="N41" s="574"/>
      <c r="O41" s="574"/>
      <c r="P41" s="574"/>
      <c r="Q41" s="574"/>
      <c r="R41" s="574"/>
      <c r="S41" s="1095">
        <f t="shared" ref="S41:AL41" si="124">+S40/S$8</f>
        <v>0.6827640460843527</v>
      </c>
      <c r="T41" s="131">
        <f t="shared" si="124"/>
        <v>0.56135121708892211</v>
      </c>
      <c r="U41" s="131">
        <f t="shared" si="124"/>
        <v>0.52831030818278424</v>
      </c>
      <c r="V41" s="131">
        <f t="shared" si="124"/>
        <v>0.48984858377638901</v>
      </c>
      <c r="W41" s="1095">
        <f t="shared" si="124"/>
        <v>0.26045621508164335</v>
      </c>
      <c r="X41" s="131">
        <f t="shared" si="124"/>
        <v>0.21892757629610129</v>
      </c>
      <c r="Y41" s="131">
        <f t="shared" si="124"/>
        <v>0.21749391602273313</v>
      </c>
      <c r="Z41" s="131">
        <f t="shared" si="124"/>
        <v>0.22319930803103372</v>
      </c>
      <c r="AA41" s="131">
        <f t="shared" si="124"/>
        <v>0.23516680349279798</v>
      </c>
      <c r="AB41" s="131">
        <f t="shared" si="124"/>
        <v>0.21619390174119188</v>
      </c>
      <c r="AC41" s="131">
        <f t="shared" si="124"/>
        <v>0.19952794607878921</v>
      </c>
      <c r="AD41" s="131">
        <f t="shared" si="124"/>
        <v>0.216228449710444</v>
      </c>
      <c r="AE41" s="131">
        <f t="shared" si="124"/>
        <v>0.20742341665100542</v>
      </c>
      <c r="AF41" s="131">
        <f t="shared" si="124"/>
        <v>0.18628068525599512</v>
      </c>
      <c r="AG41" s="131">
        <f t="shared" si="124"/>
        <v>0.16805350072263603</v>
      </c>
      <c r="AH41" s="131">
        <f t="shared" si="124"/>
        <v>0.18193399300823607</v>
      </c>
      <c r="AI41" s="131">
        <f t="shared" si="124"/>
        <v>0.20099608680184988</v>
      </c>
      <c r="AJ41" s="131">
        <f t="shared" si="124"/>
        <v>0.17623675335361685</v>
      </c>
      <c r="AK41" s="131">
        <f t="shared" si="124"/>
        <v>0.17646416835905063</v>
      </c>
      <c r="AL41" s="131">
        <f t="shared" si="124"/>
        <v>0.23677394627115297</v>
      </c>
      <c r="AM41" s="1095"/>
      <c r="AN41" s="131"/>
      <c r="AO41" s="131"/>
      <c r="AP41" s="131"/>
      <c r="AQ41" s="131"/>
      <c r="AR41" s="131"/>
      <c r="AS41" s="131"/>
      <c r="AT41" s="131"/>
      <c r="AU41" s="131"/>
      <c r="AV41" s="131"/>
      <c r="AW41" s="131"/>
      <c r="AX41" s="131"/>
      <c r="AY41" s="131"/>
      <c r="AZ41" s="131"/>
      <c r="BA41" s="80"/>
      <c r="BB41" s="131"/>
      <c r="BC41" s="2181"/>
      <c r="BE41" s="80"/>
      <c r="BF41" s="84"/>
      <c r="BG41" s="84"/>
      <c r="BH41" s="84"/>
      <c r="BI41" s="1103"/>
      <c r="BJ41" s="2004">
        <f t="shared" ref="BJ41:BN41" si="125">+BJ40/BJ$8</f>
        <v>0.55440148974279624</v>
      </c>
      <c r="BK41" s="131">
        <f t="shared" si="125"/>
        <v>0.22834769482357381</v>
      </c>
      <c r="BL41" s="131">
        <f t="shared" si="125"/>
        <v>0.21665550052087168</v>
      </c>
      <c r="BM41" s="131">
        <f t="shared" si="125"/>
        <v>0.1852867629265145</v>
      </c>
      <c r="BN41" s="131">
        <f t="shared" si="125"/>
        <v>0.19614712716604737</v>
      </c>
      <c r="BO41" s="1095"/>
      <c r="BP41" s="131"/>
      <c r="BQ41" s="131"/>
      <c r="BR41" s="131"/>
      <c r="BS41" s="131"/>
      <c r="BT41" s="131"/>
      <c r="BU41" s="131"/>
    </row>
    <row r="42" spans="1:74" ht="13.5" customHeight="1">
      <c r="B42" s="356" t="s">
        <v>108</v>
      </c>
      <c r="C42" s="575"/>
      <c r="D42" s="575"/>
      <c r="E42" s="575"/>
      <c r="F42" s="575"/>
      <c r="G42" s="574"/>
      <c r="H42" s="574"/>
      <c r="I42" s="574"/>
      <c r="J42" s="574"/>
      <c r="K42" s="574"/>
      <c r="L42" s="574"/>
      <c r="M42" s="574"/>
      <c r="N42" s="574"/>
      <c r="O42" s="574"/>
      <c r="P42" s="574"/>
      <c r="Q42" s="574"/>
      <c r="R42" s="574"/>
      <c r="S42" s="1095"/>
      <c r="T42" s="131"/>
      <c r="U42" s="131"/>
      <c r="V42" s="131"/>
      <c r="W42" s="1095">
        <f t="shared" ref="W42" si="126">+W40/S40-1</f>
        <v>-5.9133989964690548E-2</v>
      </c>
      <c r="X42" s="131">
        <f t="shared" ref="X42:Y42" si="127">+X40/T40-1</f>
        <v>-0.23212774143901493</v>
      </c>
      <c r="Y42" s="131">
        <f t="shared" si="127"/>
        <v>0.19008729935229507</v>
      </c>
      <c r="Z42" s="131">
        <f t="shared" ref="Z42:AD42" si="128">+Z40/V40-1</f>
        <v>8.0990161853379927E-2</v>
      </c>
      <c r="AA42" s="131">
        <f t="shared" si="128"/>
        <v>0.12028916804930079</v>
      </c>
      <c r="AB42" s="131">
        <f t="shared" si="128"/>
        <v>0.32519917823320132</v>
      </c>
      <c r="AC42" s="131">
        <f t="shared" si="128"/>
        <v>-0.16841322425799465</v>
      </c>
      <c r="AD42" s="131">
        <f t="shared" si="128"/>
        <v>-4.6327285538136254E-2</v>
      </c>
      <c r="AE42" s="131">
        <f t="shared" ref="AE42:AH42" si="129">+AE40/AA40-1</f>
        <v>-0.22162276525970592</v>
      </c>
      <c r="AF42" s="131">
        <f t="shared" si="129"/>
        <v>-0.20607252240329721</v>
      </c>
      <c r="AG42" s="131">
        <f t="shared" si="129"/>
        <v>-0.20117886178861788</v>
      </c>
      <c r="AH42" s="131">
        <f t="shared" si="129"/>
        <v>-0.24381233838197269</v>
      </c>
      <c r="AI42" s="131">
        <f t="shared" ref="AI42:AJ42" si="130">+AI40/AE40-1</f>
        <v>-0.12974540183020755</v>
      </c>
      <c r="AJ42" s="131">
        <f t="shared" si="130"/>
        <v>-0.14506834309663286</v>
      </c>
      <c r="AK42" s="131">
        <f t="shared" ref="AK42:AL42" si="131">+AK40/AG40-1</f>
        <v>-0.11795430258002138</v>
      </c>
      <c r="AL42" s="131">
        <f t="shared" si="131"/>
        <v>-0.17008630516202583</v>
      </c>
      <c r="AM42" s="1095"/>
      <c r="AN42" s="131"/>
      <c r="AO42" s="131"/>
      <c r="AP42" s="131"/>
      <c r="AQ42" s="131"/>
      <c r="AR42" s="131"/>
      <c r="AS42" s="131"/>
      <c r="AT42" s="131"/>
      <c r="AU42" s="131"/>
      <c r="AV42" s="131"/>
      <c r="AW42" s="131"/>
      <c r="AX42" s="131"/>
      <c r="AY42" s="131"/>
      <c r="AZ42" s="131"/>
      <c r="BA42" s="80"/>
      <c r="BB42" s="131"/>
      <c r="BC42" s="2181"/>
      <c r="BE42" s="80"/>
      <c r="BF42" s="84"/>
      <c r="BG42" s="84"/>
      <c r="BH42" s="84"/>
      <c r="BI42" s="1101"/>
      <c r="BJ42" s="2002"/>
      <c r="BK42" s="131">
        <f>+BK40/BJ40-1</f>
        <v>-3.1758525379363967E-3</v>
      </c>
      <c r="BL42" s="131">
        <f t="shared" ref="BL42:BN42" si="132">+BL40/BK40-1</f>
        <v>2.7314878575035673E-2</v>
      </c>
      <c r="BM42" s="131">
        <f t="shared" si="132"/>
        <v>-0.21989453927964964</v>
      </c>
      <c r="BN42" s="131">
        <f t="shared" si="132"/>
        <v>-0.14212955113076564</v>
      </c>
      <c r="BO42" s="1095"/>
      <c r="BP42" s="131"/>
      <c r="BQ42" s="131"/>
      <c r="BR42" s="131"/>
      <c r="BS42" s="131"/>
      <c r="BT42" s="131"/>
      <c r="BU42" s="131"/>
    </row>
    <row r="43" spans="1:74" ht="13.5" customHeight="1">
      <c r="B43" s="356"/>
      <c r="C43" s="575"/>
      <c r="D43" s="575"/>
      <c r="E43" s="575"/>
      <c r="F43" s="575"/>
      <c r="G43" s="574"/>
      <c r="H43" s="574"/>
      <c r="I43" s="574"/>
      <c r="J43" s="574"/>
      <c r="K43" s="574"/>
      <c r="L43" s="574"/>
      <c r="M43" s="574"/>
      <c r="N43" s="574"/>
      <c r="O43" s="574"/>
      <c r="P43" s="574"/>
      <c r="Q43" s="574"/>
      <c r="R43" s="574"/>
      <c r="S43" s="1095"/>
      <c r="T43" s="131"/>
      <c r="U43" s="131"/>
      <c r="V43" s="131"/>
      <c r="W43" s="1095"/>
      <c r="X43" s="131"/>
      <c r="Y43" s="131"/>
      <c r="Z43" s="131"/>
      <c r="AA43" s="131"/>
      <c r="AB43" s="131"/>
      <c r="AC43" s="131"/>
      <c r="AD43" s="131"/>
      <c r="AE43" s="131"/>
      <c r="AF43" s="131"/>
      <c r="AG43" s="131"/>
      <c r="AH43" s="131"/>
      <c r="AI43" s="131"/>
      <c r="AJ43" s="131"/>
      <c r="AK43" s="131"/>
      <c r="AL43" s="131"/>
      <c r="AM43" s="1095"/>
      <c r="AN43" s="131"/>
      <c r="AO43" s="131"/>
      <c r="AP43" s="131"/>
      <c r="AQ43" s="131"/>
      <c r="AR43" s="131"/>
      <c r="AS43" s="131"/>
      <c r="AT43" s="131"/>
      <c r="AU43" s="131"/>
      <c r="AV43" s="131"/>
      <c r="AW43" s="131"/>
      <c r="AX43" s="131"/>
      <c r="AY43" s="131"/>
      <c r="AZ43" s="131"/>
      <c r="BA43" s="80"/>
      <c r="BB43" s="131"/>
      <c r="BC43" s="2181"/>
      <c r="BE43" s="80"/>
      <c r="BF43" s="84"/>
      <c r="BG43" s="84"/>
      <c r="BH43" s="84"/>
      <c r="BI43" s="1101"/>
      <c r="BJ43" s="2002"/>
      <c r="BK43" s="84"/>
      <c r="BL43" s="84"/>
      <c r="BM43" s="84"/>
      <c r="BN43" s="84"/>
      <c r="BO43" s="1801"/>
      <c r="BP43" s="84"/>
      <c r="BQ43" s="84"/>
      <c r="BR43" s="131"/>
      <c r="BS43" s="131"/>
      <c r="BT43" s="131"/>
      <c r="BU43" s="131"/>
    </row>
    <row r="44" spans="1:74" s="894" customFormat="1" ht="13.5" customHeight="1">
      <c r="B44" s="895" t="s">
        <v>272</v>
      </c>
      <c r="C44" s="896"/>
      <c r="D44" s="896"/>
      <c r="E44" s="896"/>
      <c r="F44" s="896"/>
      <c r="G44" s="897"/>
      <c r="H44" s="897"/>
      <c r="I44" s="897"/>
      <c r="J44" s="897"/>
      <c r="K44" s="897"/>
      <c r="L44" s="897"/>
      <c r="M44" s="897"/>
      <c r="N44" s="897"/>
      <c r="O44" s="897"/>
      <c r="P44" s="897"/>
      <c r="Q44" s="897"/>
      <c r="R44" s="897"/>
      <c r="S44" s="1096">
        <f>+S603</f>
        <v>1231.7174515235456</v>
      </c>
      <c r="T44" s="898">
        <f>+T603</f>
        <v>1208.2880434782608</v>
      </c>
      <c r="U44" s="898">
        <f>+U603</f>
        <v>1288.5999999999999</v>
      </c>
      <c r="V44" s="898">
        <f>+V603</f>
        <v>2145.4</v>
      </c>
      <c r="W44" s="1798">
        <v>1213.4000000000001</v>
      </c>
      <c r="X44" s="898">
        <f t="shared" ref="X44:AK44" si="133">+X603</f>
        <v>1272.5</v>
      </c>
      <c r="Y44" s="898">
        <f t="shared" si="133"/>
        <v>1815</v>
      </c>
      <c r="Z44" s="898">
        <f t="shared" si="133"/>
        <v>2741.7</v>
      </c>
      <c r="AA44" s="898">
        <f t="shared" si="133"/>
        <v>1711.1</v>
      </c>
      <c r="AB44" s="898">
        <f t="shared" si="133"/>
        <v>1612.4</v>
      </c>
      <c r="AC44" s="898">
        <f t="shared" si="133"/>
        <v>1841.5</v>
      </c>
      <c r="AD44" s="898">
        <f t="shared" si="133"/>
        <v>2677.8</v>
      </c>
      <c r="AE44" s="898">
        <f t="shared" si="133"/>
        <v>1426.7</v>
      </c>
      <c r="AF44" s="898">
        <f t="shared" si="133"/>
        <v>1220.7</v>
      </c>
      <c r="AG44" s="898">
        <f t="shared" si="133"/>
        <v>1351.8</v>
      </c>
      <c r="AH44" s="898">
        <f t="shared" si="133"/>
        <v>2181.6999999999998</v>
      </c>
      <c r="AI44" s="898">
        <f t="shared" si="133"/>
        <v>1191.0999999999999</v>
      </c>
      <c r="AJ44" s="898">
        <f t="shared" si="133"/>
        <v>1116.5999999999999</v>
      </c>
      <c r="AK44" s="898">
        <f t="shared" si="133"/>
        <v>1158.914</v>
      </c>
      <c r="AL44" s="919"/>
      <c r="AM44" s="2392"/>
      <c r="AN44" s="919"/>
      <c r="AO44" s="919"/>
      <c r="AP44" s="919"/>
      <c r="AQ44" s="919"/>
      <c r="AR44" s="919"/>
      <c r="AS44" s="919"/>
      <c r="AT44" s="919"/>
      <c r="AU44" s="919"/>
      <c r="AV44" s="919"/>
      <c r="AW44" s="919"/>
      <c r="AX44" s="919"/>
      <c r="AY44" s="919"/>
      <c r="AZ44" s="919"/>
      <c r="BA44" s="899"/>
      <c r="BB44" s="919"/>
      <c r="BC44" s="2181" t="e">
        <f>+AT44/BB44-1</f>
        <v>#DIV/0!</v>
      </c>
      <c r="BD44" s="980"/>
      <c r="BE44" s="899"/>
      <c r="BF44" s="571"/>
      <c r="BG44" s="571"/>
      <c r="BH44" s="571"/>
      <c r="BI44" s="1102"/>
      <c r="BJ44" s="2003">
        <f>+SUM(S44:V44)</f>
        <v>5874.0054950018066</v>
      </c>
      <c r="BK44" s="77">
        <f>+SUM(W44:Z44)</f>
        <v>7042.5999999999995</v>
      </c>
      <c r="BL44" s="77">
        <f>+SUM(AA44:AD44)</f>
        <v>7842.8</v>
      </c>
      <c r="BM44" s="77">
        <f>+SUM(AE44:AH44)</f>
        <v>6180.9</v>
      </c>
      <c r="BN44" s="77">
        <f>+SUM(AI44:AL44)</f>
        <v>3466.6139999999996</v>
      </c>
      <c r="BO44" s="2447"/>
      <c r="BP44" s="1527"/>
      <c r="BQ44" s="1527"/>
      <c r="BR44" s="1528"/>
      <c r="BS44" s="1528"/>
      <c r="BT44" s="1528"/>
      <c r="BU44" s="1528"/>
    </row>
    <row r="45" spans="1:74" ht="13.5" customHeight="1">
      <c r="B45" s="355" t="s">
        <v>266</v>
      </c>
      <c r="C45" s="575"/>
      <c r="D45" s="575"/>
      <c r="E45" s="575"/>
      <c r="F45" s="575"/>
      <c r="G45" s="574"/>
      <c r="H45" s="574"/>
      <c r="I45" s="574"/>
      <c r="J45" s="574"/>
      <c r="K45" s="574"/>
      <c r="L45" s="574"/>
      <c r="M45" s="574"/>
      <c r="N45" s="574"/>
      <c r="O45" s="574"/>
      <c r="P45" s="574"/>
      <c r="Q45" s="574"/>
      <c r="R45" s="574"/>
      <c r="S45" s="1095">
        <f t="shared" ref="S45:AK45" si="134">+S44/S$8</f>
        <v>0.31257104286746834</v>
      </c>
      <c r="T45" s="131">
        <f t="shared" si="134"/>
        <v>0.26097497645267953</v>
      </c>
      <c r="U45" s="131">
        <f t="shared" si="134"/>
        <v>0.27387885228480341</v>
      </c>
      <c r="V45" s="131">
        <f t="shared" si="134"/>
        <v>0.33351988309548236</v>
      </c>
      <c r="W45" s="1095">
        <f t="shared" si="134"/>
        <v>0.12484695084935848</v>
      </c>
      <c r="X45" s="131">
        <f t="shared" si="134"/>
        <v>0.13959279492748855</v>
      </c>
      <c r="Y45" s="131">
        <f t="shared" si="134"/>
        <v>0.13344312675994208</v>
      </c>
      <c r="Z45" s="131">
        <f t="shared" si="134"/>
        <v>0.17965637450199198</v>
      </c>
      <c r="AA45" s="131">
        <f t="shared" si="134"/>
        <v>0.14189284440795746</v>
      </c>
      <c r="AB45" s="131">
        <f t="shared" si="134"/>
        <v>0.13180740619635414</v>
      </c>
      <c r="AC45" s="131">
        <f t="shared" si="134"/>
        <v>0.14936207833499607</v>
      </c>
      <c r="AD45" s="131">
        <f t="shared" si="134"/>
        <v>0.178246688411103</v>
      </c>
      <c r="AE45" s="131">
        <f t="shared" si="134"/>
        <v>0.13406314602518321</v>
      </c>
      <c r="AF45" s="131">
        <f t="shared" si="134"/>
        <v>0.1082977722969916</v>
      </c>
      <c r="AG45" s="131">
        <f t="shared" si="134"/>
        <v>0.11560466249903792</v>
      </c>
      <c r="AH45" s="131">
        <f t="shared" si="134"/>
        <v>0.16158825620667178</v>
      </c>
      <c r="AI45" s="131">
        <f t="shared" si="134"/>
        <v>0.12462594429447339</v>
      </c>
      <c r="AJ45" s="131">
        <f t="shared" si="134"/>
        <v>0.1096239534257972</v>
      </c>
      <c r="AK45" s="131">
        <f t="shared" si="134"/>
        <v>0.11798641396085449</v>
      </c>
      <c r="AL45" s="131"/>
      <c r="AM45" s="1095"/>
      <c r="AN45" s="131"/>
      <c r="AO45" s="131"/>
      <c r="AP45" s="131"/>
      <c r="AQ45" s="131"/>
      <c r="AR45" s="131"/>
      <c r="AS45" s="131"/>
      <c r="AT45" s="131"/>
      <c r="AU45" s="131"/>
      <c r="AV45" s="131"/>
      <c r="AW45" s="131"/>
      <c r="AX45" s="131"/>
      <c r="AY45" s="131"/>
      <c r="AZ45" s="131"/>
      <c r="BA45" s="80"/>
      <c r="BB45" s="131"/>
      <c r="BC45" s="2181"/>
      <c r="BE45" s="80"/>
      <c r="BF45" s="84"/>
      <c r="BG45" s="84"/>
      <c r="BH45" s="84"/>
      <c r="BI45" s="1103"/>
      <c r="BJ45" s="2004">
        <f>+BJ44/BJ$8</f>
        <v>0.29805031915820435</v>
      </c>
      <c r="BK45" s="131">
        <f>+BK44/BK$8</f>
        <v>0.14765289221544331</v>
      </c>
      <c r="BL45" s="131">
        <f>+BL44/BL$8</f>
        <v>0.15186216457995283</v>
      </c>
      <c r="BM45" s="131">
        <f>+BM44/BM$8</f>
        <v>0.13120534254891889</v>
      </c>
      <c r="BN45" s="131">
        <f>+BN44/BN$8</f>
        <v>9.0807378556967369E-2</v>
      </c>
      <c r="BO45" s="2448"/>
      <c r="BP45" s="1529"/>
      <c r="BQ45" s="1529"/>
      <c r="BR45" s="1529"/>
      <c r="BS45" s="1529"/>
      <c r="BT45" s="1529"/>
      <c r="BU45" s="1529"/>
    </row>
    <row r="46" spans="1:74" ht="13.5" customHeight="1">
      <c r="B46" s="356" t="s">
        <v>108</v>
      </c>
      <c r="C46" s="575"/>
      <c r="D46" s="575"/>
      <c r="E46" s="575"/>
      <c r="F46" s="575"/>
      <c r="G46" s="574"/>
      <c r="H46" s="574"/>
      <c r="I46" s="574"/>
      <c r="J46" s="574"/>
      <c r="K46" s="574"/>
      <c r="L46" s="574"/>
      <c r="M46" s="574"/>
      <c r="N46" s="574"/>
      <c r="O46" s="574"/>
      <c r="P46" s="574"/>
      <c r="Q46" s="574"/>
      <c r="R46" s="574"/>
      <c r="S46" s="1095"/>
      <c r="T46" s="131"/>
      <c r="U46" s="131"/>
      <c r="V46" s="131"/>
      <c r="W46" s="1095">
        <f t="shared" ref="W46" si="135">+W44/S44-1</f>
        <v>-1.4871471944225667E-2</v>
      </c>
      <c r="X46" s="131">
        <f t="shared" ref="X46:Y46" si="136">+X44/T44-1</f>
        <v>5.3142921398853016E-2</v>
      </c>
      <c r="Y46" s="131">
        <f t="shared" si="136"/>
        <v>0.40850535464845583</v>
      </c>
      <c r="Z46" s="131">
        <f t="shared" ref="Z46:AD46" si="137">+Z44/V44-1</f>
        <v>0.2779435070383145</v>
      </c>
      <c r="AA46" s="131">
        <f t="shared" si="137"/>
        <v>0.41016977089170914</v>
      </c>
      <c r="AB46" s="131">
        <f t="shared" si="137"/>
        <v>0.26711198428290772</v>
      </c>
      <c r="AC46" s="131">
        <f t="shared" si="137"/>
        <v>1.4600550964187331E-2</v>
      </c>
      <c r="AD46" s="131">
        <f t="shared" si="137"/>
        <v>-2.3306707517233738E-2</v>
      </c>
      <c r="AE46" s="131">
        <f t="shared" ref="AE46:AH46" si="138">+AE44/AA44-1</f>
        <v>-0.16620887148617836</v>
      </c>
      <c r="AF46" s="131">
        <f t="shared" si="138"/>
        <v>-0.24292979409575788</v>
      </c>
      <c r="AG46" s="131">
        <f t="shared" si="138"/>
        <v>-0.26592451805593265</v>
      </c>
      <c r="AH46" s="131">
        <f t="shared" si="138"/>
        <v>-0.18526402270520592</v>
      </c>
      <c r="AI46" s="131">
        <f t="shared" ref="AI46:AJ46" si="139">+AI44/AE44-1</f>
        <v>-0.16513632859045357</v>
      </c>
      <c r="AJ46" s="131">
        <f t="shared" si="139"/>
        <v>-8.5278938314082176E-2</v>
      </c>
      <c r="AK46" s="131">
        <f t="shared" ref="AK46" si="140">+AK44/AG44-1</f>
        <v>-0.14268826749519159</v>
      </c>
      <c r="AL46" s="131"/>
      <c r="AM46" s="1095"/>
      <c r="AN46" s="131"/>
      <c r="AO46" s="131"/>
      <c r="AP46" s="131"/>
      <c r="AQ46" s="131"/>
      <c r="AR46" s="131"/>
      <c r="AS46" s="131"/>
      <c r="AT46" s="131"/>
      <c r="AU46" s="131"/>
      <c r="AV46" s="131"/>
      <c r="AW46" s="131"/>
      <c r="AX46" s="131"/>
      <c r="AY46" s="131"/>
      <c r="AZ46" s="131"/>
      <c r="BA46" s="80"/>
      <c r="BB46" s="131"/>
      <c r="BC46" s="2181"/>
      <c r="BE46" s="80"/>
      <c r="BF46" s="84"/>
      <c r="BG46" s="84"/>
      <c r="BH46" s="84"/>
      <c r="BI46" s="1101"/>
      <c r="BJ46" s="2002"/>
      <c r="BK46" s="131">
        <f>+BK44/BJ44-1</f>
        <v>0.19894337960571384</v>
      </c>
      <c r="BL46" s="131">
        <f t="shared" ref="BL46:BN46" si="141">+BL44/BK44-1</f>
        <v>0.11362280975776007</v>
      </c>
      <c r="BM46" s="131">
        <f t="shared" si="141"/>
        <v>-0.21190136175855567</v>
      </c>
      <c r="BN46" s="131">
        <f t="shared" si="141"/>
        <v>-0.43914090181041598</v>
      </c>
      <c r="BO46" s="2448"/>
      <c r="BP46" s="1529"/>
      <c r="BQ46" s="1529"/>
      <c r="BR46" s="1529"/>
      <c r="BS46" s="1529"/>
      <c r="BT46" s="1529"/>
      <c r="BU46" s="1529"/>
    </row>
    <row r="47" spans="1:74" ht="13.5" customHeight="1">
      <c r="B47" s="356"/>
      <c r="C47" s="575"/>
      <c r="D47" s="575"/>
      <c r="E47" s="575"/>
      <c r="F47" s="575"/>
      <c r="G47" s="574"/>
      <c r="H47" s="574"/>
      <c r="I47" s="574"/>
      <c r="J47" s="574"/>
      <c r="K47" s="574"/>
      <c r="L47" s="574"/>
      <c r="M47" s="574"/>
      <c r="N47" s="574"/>
      <c r="O47" s="574"/>
      <c r="P47" s="574"/>
      <c r="Q47" s="574"/>
      <c r="R47" s="574"/>
      <c r="S47" s="1095"/>
      <c r="T47" s="131"/>
      <c r="U47" s="131"/>
      <c r="V47" s="131"/>
      <c r="W47" s="1095"/>
      <c r="X47" s="131"/>
      <c r="Y47" s="131"/>
      <c r="Z47" s="131"/>
      <c r="AA47" s="131"/>
      <c r="AB47" s="131"/>
      <c r="AC47" s="131"/>
      <c r="AD47" s="131"/>
      <c r="AE47" s="131"/>
      <c r="AF47" s="131"/>
      <c r="AG47" s="131"/>
      <c r="AH47" s="131"/>
      <c r="AI47" s="131"/>
      <c r="AJ47" s="131"/>
      <c r="AK47" s="131"/>
      <c r="AL47" s="131"/>
      <c r="AM47" s="1095"/>
      <c r="AN47" s="131"/>
      <c r="AO47" s="131"/>
      <c r="AP47" s="131"/>
      <c r="AQ47" s="131"/>
      <c r="AR47" s="131"/>
      <c r="AS47" s="131"/>
      <c r="AT47" s="131"/>
      <c r="AU47" s="131"/>
      <c r="AV47" s="131"/>
      <c r="AW47" s="131"/>
      <c r="AX47" s="131"/>
      <c r="AY47" s="131"/>
      <c r="AZ47" s="131"/>
      <c r="BA47" s="80"/>
      <c r="BB47" s="131"/>
      <c r="BC47" s="2181"/>
      <c r="BE47" s="80"/>
      <c r="BF47" s="84"/>
      <c r="BG47" s="84"/>
      <c r="BH47" s="84"/>
      <c r="BI47" s="1101"/>
      <c r="BJ47" s="2002"/>
      <c r="BK47" s="84"/>
      <c r="BL47" s="84"/>
      <c r="BM47" s="84"/>
      <c r="BN47" s="571"/>
      <c r="BO47" s="2449"/>
      <c r="BP47" s="571"/>
      <c r="BQ47" s="571"/>
      <c r="BR47" s="131"/>
      <c r="BS47" s="131"/>
      <c r="BT47" s="131"/>
      <c r="BU47" s="131"/>
    </row>
    <row r="48" spans="1:74" s="894" customFormat="1" ht="13.5" customHeight="1">
      <c r="B48" s="895" t="s">
        <v>273</v>
      </c>
      <c r="C48" s="896"/>
      <c r="D48" s="896"/>
      <c r="E48" s="896"/>
      <c r="F48" s="896"/>
      <c r="G48" s="897"/>
      <c r="H48" s="897"/>
      <c r="I48" s="897"/>
      <c r="J48" s="897"/>
      <c r="K48" s="897"/>
      <c r="L48" s="897"/>
      <c r="M48" s="897"/>
      <c r="N48" s="897"/>
      <c r="O48" s="897"/>
      <c r="P48" s="897"/>
      <c r="Q48" s="897"/>
      <c r="R48" s="897"/>
      <c r="S48" s="1096">
        <f>+S535</f>
        <v>297.79249448123619</v>
      </c>
      <c r="T48" s="898">
        <f>+T535</f>
        <v>313.79690949227376</v>
      </c>
      <c r="U48" s="898">
        <f>+U535</f>
        <v>331.5</v>
      </c>
      <c r="V48" s="898">
        <f>+V535</f>
        <v>501.4</v>
      </c>
      <c r="W48" s="1798">
        <v>381.1</v>
      </c>
      <c r="X48" s="898">
        <f t="shared" ref="X48:AH48" si="142">+X535</f>
        <v>426.9</v>
      </c>
      <c r="Y48" s="898">
        <f t="shared" si="142"/>
        <v>552.20000000000005</v>
      </c>
      <c r="Z48" s="898">
        <f t="shared" si="142"/>
        <v>818.2</v>
      </c>
      <c r="AA48" s="898">
        <f t="shared" si="142"/>
        <v>654.9</v>
      </c>
      <c r="AB48" s="898">
        <f t="shared" si="142"/>
        <v>628</v>
      </c>
      <c r="AC48" s="898">
        <f t="shared" si="142"/>
        <v>618.4</v>
      </c>
      <c r="AD48" s="898">
        <f t="shared" si="142"/>
        <v>1017.7</v>
      </c>
      <c r="AE48" s="898">
        <f t="shared" si="142"/>
        <v>721.2</v>
      </c>
      <c r="AF48" s="898">
        <f t="shared" si="142"/>
        <v>666.9</v>
      </c>
      <c r="AG48" s="898">
        <f t="shared" si="142"/>
        <v>676.4</v>
      </c>
      <c r="AH48" s="898">
        <f t="shared" si="142"/>
        <v>976.6</v>
      </c>
      <c r="AI48" s="898"/>
      <c r="AJ48" s="898"/>
      <c r="AK48" s="898"/>
      <c r="AL48" s="898"/>
      <c r="AM48" s="1096"/>
      <c r="AN48" s="898"/>
      <c r="AO48" s="898"/>
      <c r="AP48" s="898"/>
      <c r="AQ48" s="898"/>
      <c r="AR48" s="898"/>
      <c r="AS48" s="898"/>
      <c r="AT48" s="898"/>
      <c r="AU48" s="898"/>
      <c r="AV48" s="898"/>
      <c r="AW48" s="898"/>
      <c r="AX48" s="898"/>
      <c r="AY48" s="898"/>
      <c r="AZ48" s="898"/>
      <c r="BA48" s="899"/>
      <c r="BB48" s="898"/>
      <c r="BC48" s="2181" t="e">
        <f>+AT48/BB48-1</f>
        <v>#DIV/0!</v>
      </c>
      <c r="BD48" s="980"/>
      <c r="BE48" s="899"/>
      <c r="BF48" s="571"/>
      <c r="BG48" s="571"/>
      <c r="BH48" s="571"/>
      <c r="BI48" s="1102"/>
      <c r="BJ48" s="2003">
        <f>+SUM(S48:V48)</f>
        <v>1444.48940397351</v>
      </c>
      <c r="BK48" s="77">
        <f>+SUM(W48:Z48)</f>
        <v>2178.4</v>
      </c>
      <c r="BL48" s="77">
        <f>+SUM(AA48:AD48)</f>
        <v>2919</v>
      </c>
      <c r="BM48" s="77">
        <f>+SUM(AE48:AH48)</f>
        <v>3041.1</v>
      </c>
      <c r="BN48" s="1527"/>
      <c r="BO48" s="2447"/>
      <c r="BP48" s="1527"/>
      <c r="BQ48" s="1527"/>
      <c r="BR48" s="1528"/>
      <c r="BS48" s="1528"/>
      <c r="BT48" s="1528"/>
      <c r="BU48" s="1528"/>
    </row>
    <row r="49" spans="2:73" ht="13.5" customHeight="1">
      <c r="B49" s="355" t="s">
        <v>266</v>
      </c>
      <c r="C49" s="575"/>
      <c r="D49" s="575"/>
      <c r="E49" s="575"/>
      <c r="F49" s="575"/>
      <c r="G49" s="574"/>
      <c r="H49" s="574"/>
      <c r="I49" s="574"/>
      <c r="J49" s="574"/>
      <c r="K49" s="574"/>
      <c r="L49" s="574"/>
      <c r="M49" s="574"/>
      <c r="N49" s="574"/>
      <c r="O49" s="574"/>
      <c r="P49" s="574"/>
      <c r="Q49" s="574"/>
      <c r="R49" s="574"/>
      <c r="S49" s="1095">
        <f t="shared" ref="S49:AH49" si="143">+S48/S$8</f>
        <v>7.5570343217082725E-2</v>
      </c>
      <c r="T49" s="131">
        <f t="shared" si="143"/>
        <v>6.7776174321750746E-2</v>
      </c>
      <c r="U49" s="131">
        <f t="shared" si="143"/>
        <v>7.0456960680127523E-2</v>
      </c>
      <c r="V49" s="131">
        <f t="shared" si="143"/>
        <v>7.7946708951279406E-2</v>
      </c>
      <c r="W49" s="1095">
        <f t="shared" si="143"/>
        <v>3.9211449619820767E-2</v>
      </c>
      <c r="X49" s="131">
        <f t="shared" si="143"/>
        <v>4.68307773316659E-2</v>
      </c>
      <c r="Y49" s="131">
        <f t="shared" si="143"/>
        <v>4.0599060383933891E-2</v>
      </c>
      <c r="Z49" s="131">
        <f t="shared" si="143"/>
        <v>5.3614489410777934E-2</v>
      </c>
      <c r="AA49" s="131">
        <f t="shared" si="143"/>
        <v>5.4307535388213049E-2</v>
      </c>
      <c r="AB49" s="131">
        <f t="shared" si="143"/>
        <v>5.1336548679800545E-2</v>
      </c>
      <c r="AC49" s="131">
        <f t="shared" si="143"/>
        <v>5.0157756851676109E-2</v>
      </c>
      <c r="AD49" s="131">
        <f t="shared" si="143"/>
        <v>6.7742794381947677E-2</v>
      </c>
      <c r="AE49" s="131">
        <f t="shared" si="143"/>
        <v>6.776921631272316E-2</v>
      </c>
      <c r="AF49" s="131">
        <f t="shared" si="143"/>
        <v>5.9165875599953871E-2</v>
      </c>
      <c r="AG49" s="131">
        <f t="shared" si="143"/>
        <v>5.7845090778479984E-2</v>
      </c>
      <c r="AH49" s="131">
        <f t="shared" si="143"/>
        <v>7.2332168039343489E-2</v>
      </c>
      <c r="AI49" s="131"/>
      <c r="AJ49" s="131"/>
      <c r="AK49" s="131"/>
      <c r="AL49" s="131"/>
      <c r="AM49" s="1095"/>
      <c r="AN49" s="131"/>
      <c r="AO49" s="131"/>
      <c r="AP49" s="131"/>
      <c r="AQ49" s="131"/>
      <c r="AR49" s="131"/>
      <c r="AS49" s="131"/>
      <c r="AT49" s="131"/>
      <c r="AU49" s="131"/>
      <c r="AV49" s="131"/>
      <c r="AW49" s="131"/>
      <c r="AX49" s="131"/>
      <c r="AY49" s="131"/>
      <c r="AZ49" s="131"/>
      <c r="BA49" s="80"/>
      <c r="BB49" s="131"/>
      <c r="BC49" s="2181"/>
      <c r="BE49" s="80"/>
      <c r="BF49" s="84"/>
      <c r="BG49" s="84"/>
      <c r="BH49" s="84"/>
      <c r="BI49" s="1103"/>
      <c r="BJ49" s="2004">
        <f>+BJ48/BJ$8</f>
        <v>7.329419903357047E-2</v>
      </c>
      <c r="BK49" s="131">
        <f>+BK48/BK$8</f>
        <v>4.5671635532633079E-2</v>
      </c>
      <c r="BL49" s="131">
        <f>+BL48/BL$8</f>
        <v>5.6521351865262706E-2</v>
      </c>
      <c r="BM49" s="131">
        <f>+BM48/BM$8</f>
        <v>6.4555091851593971E-2</v>
      </c>
      <c r="BN49" s="1529"/>
      <c r="BO49" s="2448"/>
      <c r="BP49" s="1529"/>
      <c r="BQ49" s="1529"/>
      <c r="BR49" s="1529"/>
      <c r="BS49" s="1529"/>
      <c r="BT49" s="1529"/>
      <c r="BU49" s="1529"/>
    </row>
    <row r="50" spans="2:73" ht="13.5" customHeight="1">
      <c r="B50" s="356" t="s">
        <v>108</v>
      </c>
      <c r="C50" s="575"/>
      <c r="D50" s="575"/>
      <c r="E50" s="575"/>
      <c r="F50" s="575"/>
      <c r="G50" s="574"/>
      <c r="H50" s="574"/>
      <c r="I50" s="574"/>
      <c r="J50" s="574"/>
      <c r="K50" s="574"/>
      <c r="L50" s="574"/>
      <c r="M50" s="574"/>
      <c r="N50" s="574"/>
      <c r="O50" s="574"/>
      <c r="P50" s="574"/>
      <c r="Q50" s="574"/>
      <c r="R50" s="574"/>
      <c r="S50" s="1097"/>
      <c r="T50" s="1098"/>
      <c r="U50" s="1098"/>
      <c r="V50" s="131"/>
      <c r="W50" s="1095">
        <f t="shared" ref="W50" si="144">+W48/S48-1</f>
        <v>0.27975018532246132</v>
      </c>
      <c r="X50" s="131">
        <f t="shared" ref="X50:Y50" si="145">+X48/T48-1</f>
        <v>0.36043404854027417</v>
      </c>
      <c r="Y50" s="131">
        <f t="shared" si="145"/>
        <v>0.66576168929110113</v>
      </c>
      <c r="Z50" s="131">
        <f t="shared" ref="Z50:AD50" si="146">+Z48/V48-1</f>
        <v>0.63183087355404877</v>
      </c>
      <c r="AA50" s="131">
        <f t="shared" si="146"/>
        <v>0.71844660194174748</v>
      </c>
      <c r="AB50" s="131">
        <f t="shared" si="146"/>
        <v>0.47107050831576491</v>
      </c>
      <c r="AC50" s="131">
        <f t="shared" si="146"/>
        <v>0.11988409996378113</v>
      </c>
      <c r="AD50" s="131">
        <f t="shared" si="146"/>
        <v>0.2438279149352236</v>
      </c>
      <c r="AE50" s="131">
        <f t="shared" ref="AE50:AH50" si="147">+AE48/AA48-1</f>
        <v>0.10123683005038941</v>
      </c>
      <c r="AF50" s="131">
        <f t="shared" si="147"/>
        <v>6.1942675159235572E-2</v>
      </c>
      <c r="AG50" s="131">
        <f t="shared" si="147"/>
        <v>9.3790426908149982E-2</v>
      </c>
      <c r="AH50" s="131">
        <f t="shared" si="147"/>
        <v>-4.0385182273754539E-2</v>
      </c>
      <c r="AI50" s="131"/>
      <c r="AJ50" s="131"/>
      <c r="AK50" s="131"/>
      <c r="AL50" s="131"/>
      <c r="AM50" s="1095"/>
      <c r="AN50" s="131"/>
      <c r="AO50" s="131"/>
      <c r="AP50" s="131"/>
      <c r="AQ50" s="131"/>
      <c r="AR50" s="131"/>
      <c r="AS50" s="131"/>
      <c r="AT50" s="131"/>
      <c r="AU50" s="131"/>
      <c r="AV50" s="131"/>
      <c r="AW50" s="131"/>
      <c r="AX50" s="131"/>
      <c r="AY50" s="131"/>
      <c r="AZ50" s="131"/>
      <c r="BA50" s="80"/>
      <c r="BB50" s="131"/>
      <c r="BC50" s="2181"/>
      <c r="BE50" s="80"/>
      <c r="BF50" s="84"/>
      <c r="BG50" s="84"/>
      <c r="BH50" s="84"/>
      <c r="BI50" s="1101"/>
      <c r="BJ50" s="2002"/>
      <c r="BK50" s="131">
        <f>+BK48/BJ48-1</f>
        <v>0.50807613680491159</v>
      </c>
      <c r="BL50" s="131">
        <f t="shared" ref="BL50:BM50" si="148">+BL48/BK48-1</f>
        <v>0.33997429305912585</v>
      </c>
      <c r="BM50" s="131">
        <f t="shared" si="148"/>
        <v>4.1829393627954792E-2</v>
      </c>
      <c r="BN50" s="1529"/>
      <c r="BO50" s="2448"/>
      <c r="BP50" s="1529"/>
      <c r="BQ50" s="1529"/>
      <c r="BR50" s="1529"/>
      <c r="BS50" s="1529"/>
      <c r="BT50" s="1529"/>
      <c r="BU50" s="1529"/>
    </row>
    <row r="51" spans="2:73" ht="13.5" customHeight="1">
      <c r="B51" s="356"/>
      <c r="C51" s="575"/>
      <c r="D51" s="575"/>
      <c r="E51" s="575"/>
      <c r="F51" s="575"/>
      <c r="G51" s="574"/>
      <c r="H51" s="574"/>
      <c r="I51" s="574"/>
      <c r="J51" s="574"/>
      <c r="K51" s="574"/>
      <c r="L51" s="574"/>
      <c r="M51" s="574"/>
      <c r="N51" s="574"/>
      <c r="O51" s="574"/>
      <c r="P51" s="574"/>
      <c r="Q51" s="574"/>
      <c r="R51" s="574"/>
      <c r="S51" s="1097"/>
      <c r="T51" s="1098"/>
      <c r="U51" s="1098"/>
      <c r="V51" s="131"/>
      <c r="W51" s="1095"/>
      <c r="X51" s="131"/>
      <c r="Y51" s="131"/>
      <c r="Z51" s="131"/>
      <c r="AA51" s="131"/>
      <c r="AB51" s="131"/>
      <c r="AC51" s="131"/>
      <c r="AD51" s="131"/>
      <c r="AE51" s="131"/>
      <c r="AF51" s="131"/>
      <c r="AG51" s="131"/>
      <c r="AH51" s="131"/>
      <c r="AI51" s="131"/>
      <c r="AJ51" s="131"/>
      <c r="AK51" s="131"/>
      <c r="AL51" s="131"/>
      <c r="AM51" s="1095"/>
      <c r="AN51" s="131"/>
      <c r="AO51" s="131"/>
      <c r="AP51" s="131"/>
      <c r="AQ51" s="131"/>
      <c r="AR51" s="131"/>
      <c r="AS51" s="131"/>
      <c r="AT51" s="131"/>
      <c r="AU51" s="131"/>
      <c r="AV51" s="131"/>
      <c r="AW51" s="131"/>
      <c r="AX51" s="131"/>
      <c r="AY51" s="131"/>
      <c r="AZ51" s="131"/>
      <c r="BA51" s="80"/>
      <c r="BB51" s="131"/>
      <c r="BC51" s="2181"/>
      <c r="BE51" s="80"/>
      <c r="BF51" s="84"/>
      <c r="BG51" s="84"/>
      <c r="BH51" s="84"/>
      <c r="BI51" s="1101"/>
      <c r="BJ51" s="2002"/>
      <c r="BK51" s="84"/>
      <c r="BL51" s="84"/>
      <c r="BM51" s="84"/>
      <c r="BN51" s="84"/>
      <c r="BO51" s="1801"/>
      <c r="BP51" s="84"/>
      <c r="BQ51" s="84"/>
      <c r="BR51" s="84"/>
      <c r="BS51" s="84"/>
      <c r="BT51" s="84"/>
      <c r="BU51" s="84"/>
    </row>
    <row r="52" spans="2:73" ht="13.5" customHeight="1">
      <c r="B52" s="94"/>
      <c r="C52" s="92"/>
      <c r="D52" s="92"/>
      <c r="E52" s="92"/>
      <c r="F52" s="92"/>
      <c r="G52" s="92"/>
      <c r="H52" s="92"/>
      <c r="I52" s="92"/>
      <c r="J52" s="92"/>
      <c r="K52" s="92"/>
      <c r="L52" s="92"/>
      <c r="M52" s="92"/>
      <c r="N52" s="92"/>
      <c r="O52" s="92"/>
      <c r="P52" s="92"/>
      <c r="Q52" s="92"/>
      <c r="R52" s="92"/>
      <c r="S52" s="1099"/>
      <c r="T52" s="1100"/>
      <c r="U52" s="1100"/>
      <c r="V52" s="1787"/>
      <c r="W52" s="1795"/>
      <c r="X52" s="80"/>
      <c r="Y52" s="80"/>
      <c r="Z52" s="80"/>
      <c r="AA52" s="80"/>
      <c r="AB52" s="80"/>
      <c r="AC52" s="80"/>
      <c r="AD52" s="80"/>
      <c r="AE52" s="80"/>
      <c r="AF52" s="80"/>
      <c r="AG52" s="80"/>
      <c r="AH52" s="80"/>
      <c r="AI52" s="80"/>
      <c r="AJ52" s="80"/>
      <c r="AK52" s="80"/>
      <c r="AL52" s="80"/>
      <c r="AM52" s="1795"/>
      <c r="AN52" s="80"/>
      <c r="AO52" s="80"/>
      <c r="AP52" s="80"/>
      <c r="AQ52" s="80"/>
      <c r="AR52" s="80"/>
      <c r="AS52" s="80"/>
      <c r="AT52" s="80"/>
      <c r="AU52" s="80"/>
      <c r="AV52" s="80"/>
      <c r="AW52" s="80"/>
      <c r="AX52" s="80"/>
      <c r="AY52" s="80"/>
      <c r="AZ52" s="80"/>
      <c r="BA52" s="80"/>
      <c r="BB52" s="80"/>
      <c r="BC52" s="2181"/>
      <c r="BE52" s="80"/>
      <c r="BF52" s="84"/>
      <c r="BG52" s="84"/>
      <c r="BH52" s="84"/>
      <c r="BI52" s="1101"/>
      <c r="BJ52" s="2002"/>
      <c r="BK52" s="84"/>
      <c r="BL52" s="84"/>
      <c r="BM52" s="84"/>
      <c r="BN52" s="84"/>
      <c r="BO52" s="1801"/>
      <c r="BP52" s="84"/>
      <c r="BQ52" s="84"/>
      <c r="BR52" s="80"/>
      <c r="BS52" s="80"/>
      <c r="BT52" s="80"/>
      <c r="BU52" s="80"/>
    </row>
    <row r="53" spans="2:73" s="344" customFormat="1" ht="13.5" customHeight="1">
      <c r="B53" s="346"/>
      <c r="C53" s="347"/>
      <c r="D53" s="347"/>
      <c r="E53" s="347"/>
      <c r="F53" s="347"/>
      <c r="G53" s="347"/>
      <c r="H53" s="347"/>
      <c r="I53" s="347"/>
      <c r="J53" s="347"/>
      <c r="K53" s="347"/>
      <c r="L53" s="347"/>
      <c r="M53" s="347"/>
      <c r="N53" s="347"/>
      <c r="O53" s="347"/>
      <c r="P53" s="347"/>
      <c r="Q53" s="347"/>
      <c r="R53" s="347"/>
      <c r="S53" s="1957"/>
      <c r="T53" s="347"/>
      <c r="U53" s="347"/>
      <c r="V53" s="345"/>
      <c r="W53" s="1799"/>
      <c r="X53" s="345"/>
      <c r="Y53" s="345"/>
      <c r="Z53" s="345"/>
      <c r="AA53" s="345"/>
      <c r="AB53" s="345"/>
      <c r="AC53" s="345"/>
      <c r="AD53" s="345"/>
      <c r="AE53" s="345"/>
      <c r="AF53" s="345"/>
      <c r="AG53" s="345"/>
      <c r="AH53" s="345"/>
      <c r="AI53" s="345"/>
      <c r="AJ53" s="345"/>
      <c r="AK53" s="345"/>
      <c r="AL53" s="345"/>
      <c r="AM53" s="1799"/>
      <c r="AN53" s="345"/>
      <c r="AO53" s="345"/>
      <c r="AP53" s="345"/>
      <c r="AQ53" s="345"/>
      <c r="AR53" s="345"/>
      <c r="AS53" s="345"/>
      <c r="AT53" s="345"/>
      <c r="AU53" s="345"/>
      <c r="AV53" s="345"/>
      <c r="AW53" s="345"/>
      <c r="AX53" s="345"/>
      <c r="AY53" s="80"/>
      <c r="AZ53" s="80"/>
      <c r="BA53" s="80"/>
      <c r="BB53" s="345"/>
      <c r="BC53" s="2183"/>
      <c r="BD53" s="72"/>
      <c r="BE53" s="345"/>
      <c r="BF53" s="348"/>
      <c r="BG53" s="348"/>
      <c r="BH53" s="84"/>
      <c r="BI53" s="84"/>
      <c r="BJ53" s="1999"/>
      <c r="BK53" s="348"/>
      <c r="BL53" s="348"/>
      <c r="BM53" s="348"/>
      <c r="BN53" s="348"/>
      <c r="BO53" s="2450"/>
      <c r="BP53" s="348"/>
      <c r="BQ53" s="348"/>
      <c r="BR53" s="345"/>
      <c r="BS53" s="345"/>
      <c r="BT53" s="345"/>
      <c r="BU53" s="345"/>
    </row>
    <row r="54" spans="2:73" ht="13.5" customHeight="1">
      <c r="B54" s="75" t="s">
        <v>192</v>
      </c>
      <c r="C54" s="77">
        <f t="shared" ref="C54:K54" si="149">+C57-C8</f>
        <v>-564.03992582939168</v>
      </c>
      <c r="D54" s="77">
        <f t="shared" si="149"/>
        <v>-708.40997727842296</v>
      </c>
      <c r="E54" s="77">
        <f t="shared" si="149"/>
        <v>-767.15737080891313</v>
      </c>
      <c r="F54" s="77">
        <f t="shared" si="149"/>
        <v>-867.83281427255088</v>
      </c>
      <c r="G54" s="77">
        <f t="shared" si="149"/>
        <v>-630.32713204669471</v>
      </c>
      <c r="H54" s="77">
        <f t="shared" si="149"/>
        <v>-789.80615994729578</v>
      </c>
      <c r="I54" s="77">
        <f t="shared" si="149"/>
        <v>-753.59999999999991</v>
      </c>
      <c r="J54" s="77">
        <f t="shared" si="149"/>
        <v>-903.95180568688647</v>
      </c>
      <c r="K54" s="77">
        <f t="shared" si="149"/>
        <v>-667.34179697567606</v>
      </c>
      <c r="L54" s="77"/>
      <c r="M54" s="77">
        <f t="shared" ref="M54:AL54" si="150">+M57-M8</f>
        <v>-837.78510592430848</v>
      </c>
      <c r="N54" s="77">
        <f t="shared" si="150"/>
        <v>-1617.2000000000003</v>
      </c>
      <c r="O54" s="77">
        <f t="shared" si="150"/>
        <v>-1020.8170820286232</v>
      </c>
      <c r="P54" s="77">
        <f t="shared" si="150"/>
        <v>-1201.0784479575113</v>
      </c>
      <c r="Q54" s="77">
        <f t="shared" si="150"/>
        <v>-1151.0373459091311</v>
      </c>
      <c r="R54" s="77">
        <f t="shared" si="150"/>
        <v>-1776.4048285038034</v>
      </c>
      <c r="S54" s="1791">
        <f t="shared" si="150"/>
        <v>-1025.4499999999998</v>
      </c>
      <c r="T54" s="77">
        <f t="shared" si="150"/>
        <v>-1226.1909999999998</v>
      </c>
      <c r="U54" s="77">
        <f t="shared" si="150"/>
        <v>-1231.1999999999998</v>
      </c>
      <c r="V54" s="77">
        <f t="shared" si="150"/>
        <v>3221.8999999999996</v>
      </c>
      <c r="W54" s="1791">
        <f t="shared" si="150"/>
        <v>-2201.1000000000004</v>
      </c>
      <c r="X54" s="77">
        <f t="shared" si="150"/>
        <v>-2128.6999999999998</v>
      </c>
      <c r="Y54" s="77">
        <f t="shared" si="150"/>
        <v>-3181.7999999999975</v>
      </c>
      <c r="Z54" s="77">
        <f t="shared" si="150"/>
        <v>-3263.5000000000036</v>
      </c>
      <c r="AA54" s="77">
        <f t="shared" si="150"/>
        <v>-2604.1000000000004</v>
      </c>
      <c r="AB54" s="77">
        <f t="shared" si="150"/>
        <v>-2715.7999999999975</v>
      </c>
      <c r="AC54" s="77">
        <f t="shared" si="150"/>
        <v>-2779.9000000000015</v>
      </c>
      <c r="AD54" s="77">
        <f t="shared" si="150"/>
        <v>-3379.8000000000011</v>
      </c>
      <c r="AE54" s="77">
        <f t="shared" si="150"/>
        <v>-2388.7000000000025</v>
      </c>
      <c r="AF54" s="77">
        <f t="shared" si="150"/>
        <v>-2569.2999999999993</v>
      </c>
      <c r="AG54" s="77">
        <f t="shared" si="150"/>
        <v>-2689.5999999999985</v>
      </c>
      <c r="AH54" s="77">
        <f t="shared" si="150"/>
        <v>-3111.8000000000011</v>
      </c>
      <c r="AI54" s="77">
        <f t="shared" si="150"/>
        <v>-2237.2000000000007</v>
      </c>
      <c r="AJ54" s="77">
        <f t="shared" si="150"/>
        <v>-2412.1952817896708</v>
      </c>
      <c r="AK54" s="77">
        <f t="shared" si="150"/>
        <v>-2305.175000000002</v>
      </c>
      <c r="AL54" s="77">
        <f t="shared" si="150"/>
        <v>-1996.5</v>
      </c>
      <c r="AM54" s="1791">
        <f t="shared" ref="AM54:AP54" si="151">+AM57-AM33</f>
        <v>-1654.4999999999982</v>
      </c>
      <c r="AN54" s="77">
        <f t="shared" si="151"/>
        <v>-1989.1000000000004</v>
      </c>
      <c r="AO54" s="77">
        <f t="shared" si="151"/>
        <v>-1925.1550184827765</v>
      </c>
      <c r="AP54" s="77">
        <f t="shared" si="151"/>
        <v>-2279</v>
      </c>
      <c r="AQ54" s="77">
        <f t="shared" ref="AQ54:AT54" si="152">+AQ57-AQ33</f>
        <v>-1676.8538537691857</v>
      </c>
      <c r="AR54" s="77">
        <f t="shared" si="152"/>
        <v>-1858.5</v>
      </c>
      <c r="AS54" s="77">
        <f t="shared" si="152"/>
        <v>-1672.6000000000004</v>
      </c>
      <c r="AT54" s="77">
        <f t="shared" si="152"/>
        <v>-2069</v>
      </c>
      <c r="AU54" s="77">
        <f t="shared" ref="AU54:AX54" si="153">+AU57-AU33</f>
        <v>-1349.6022269484547</v>
      </c>
      <c r="AV54" s="77">
        <f t="shared" si="153"/>
        <v>-2034.3851463295332</v>
      </c>
      <c r="AW54" s="77">
        <f t="shared" si="153"/>
        <v>-2306.1750484948798</v>
      </c>
      <c r="AX54" s="77">
        <f t="shared" si="153"/>
        <v>-2964.848903845882</v>
      </c>
      <c r="AY54" s="77"/>
      <c r="AZ54" s="77"/>
      <c r="BA54" s="80"/>
      <c r="BB54" s="77">
        <v>-2056.5845974947024</v>
      </c>
      <c r="BC54" s="2181"/>
      <c r="BE54" s="77">
        <f>+SUM(C54:F54)</f>
        <v>-2907.4400881892789</v>
      </c>
      <c r="BF54" s="77">
        <f>+SUM(G54:J54)</f>
        <v>-3077.6850976808769</v>
      </c>
      <c r="BG54" s="77">
        <f>+SUM(K54:N54)</f>
        <v>-3122.3269028999848</v>
      </c>
      <c r="BH54" s="77">
        <f>+SUM(O54:R54)</f>
        <v>-5149.3377043990695</v>
      </c>
      <c r="BI54" s="77"/>
      <c r="BJ54" s="1998">
        <f>+SUM(S54:V54)</f>
        <v>-260.9409999999998</v>
      </c>
      <c r="BK54" s="77">
        <f>+SUM(W54:Z54)</f>
        <v>-10775.100000000002</v>
      </c>
      <c r="BL54" s="77">
        <f>+SUM(AA54:AD54)</f>
        <v>-11479.6</v>
      </c>
      <c r="BM54" s="77">
        <f>+SUM(AE54:AH54)</f>
        <v>-10759.400000000001</v>
      </c>
      <c r="BN54" s="77">
        <f>+SUM(AI54:AL54)</f>
        <v>-8951.0702817896745</v>
      </c>
      <c r="BO54" s="1791">
        <f>+SUM(AM54:AP54)</f>
        <v>-7847.7550184827751</v>
      </c>
      <c r="BP54" s="77">
        <f>+SUM(AQ54:AT54)</f>
        <v>-7276.953853769186</v>
      </c>
      <c r="BQ54" s="77">
        <f>+SUM(AU54:AX54)</f>
        <v>-8655.0113256187506</v>
      </c>
      <c r="BR54" s="77">
        <f t="shared" ref="BR54:BU54" si="154">+BR57-BR33</f>
        <v>-9041.3787009650769</v>
      </c>
      <c r="BS54" s="77">
        <f t="shared" si="154"/>
        <v>-9386.358833796512</v>
      </c>
      <c r="BT54" s="77">
        <f t="shared" si="154"/>
        <v>-9736.0712181327181</v>
      </c>
      <c r="BU54" s="77">
        <f t="shared" si="154"/>
        <v>-10072.704630846816</v>
      </c>
    </row>
    <row r="55" spans="2:73" ht="13.5" customHeight="1">
      <c r="B55" s="96" t="s">
        <v>274</v>
      </c>
      <c r="C55" s="95" t="e">
        <f t="shared" ref="C55:AX55" si="155">+C54/C33</f>
        <v>#DIV/0!</v>
      </c>
      <c r="D55" s="95" t="e">
        <f t="shared" si="155"/>
        <v>#DIV/0!</v>
      </c>
      <c r="E55" s="95" t="e">
        <f t="shared" si="155"/>
        <v>#DIV/0!</v>
      </c>
      <c r="F55" s="95" t="e">
        <f t="shared" si="155"/>
        <v>#DIV/0!</v>
      </c>
      <c r="G55" s="95" t="e">
        <f t="shared" si="155"/>
        <v>#DIV/0!</v>
      </c>
      <c r="H55" s="95" t="e">
        <f t="shared" si="155"/>
        <v>#DIV/0!</v>
      </c>
      <c r="I55" s="95" t="e">
        <f t="shared" si="155"/>
        <v>#DIV/0!</v>
      </c>
      <c r="J55" s="95" t="e">
        <f t="shared" si="155"/>
        <v>#DIV/0!</v>
      </c>
      <c r="K55" s="95" t="e">
        <f t="shared" si="155"/>
        <v>#DIV/0!</v>
      </c>
      <c r="L55" s="95" t="e">
        <f t="shared" si="155"/>
        <v>#DIV/0!</v>
      </c>
      <c r="M55" s="95" t="e">
        <f t="shared" si="155"/>
        <v>#DIV/0!</v>
      </c>
      <c r="N55" s="95" t="e">
        <f t="shared" si="155"/>
        <v>#DIV/0!</v>
      </c>
      <c r="O55" s="95" t="e">
        <f t="shared" si="155"/>
        <v>#DIV/0!</v>
      </c>
      <c r="P55" s="95" t="e">
        <f t="shared" si="155"/>
        <v>#DIV/0!</v>
      </c>
      <c r="Q55" s="95" t="e">
        <f t="shared" si="155"/>
        <v>#DIV/0!</v>
      </c>
      <c r="R55" s="95" t="e">
        <f t="shared" si="155"/>
        <v>#DIV/0!</v>
      </c>
      <c r="S55" s="1800">
        <f t="shared" si="155"/>
        <v>-0.10589870671475184</v>
      </c>
      <c r="T55" s="95">
        <f t="shared" si="155"/>
        <v>-0.11643428593039075</v>
      </c>
      <c r="U55" s="95">
        <f t="shared" si="155"/>
        <v>-0.11771792444712158</v>
      </c>
      <c r="V55" s="95">
        <f t="shared" si="155"/>
        <v>0.24946381423582881</v>
      </c>
      <c r="W55" s="1800">
        <f t="shared" si="155"/>
        <v>-0.22647158687532798</v>
      </c>
      <c r="X55" s="95">
        <f t="shared" si="155"/>
        <v>-0.23351762873253032</v>
      </c>
      <c r="Y55" s="95">
        <f t="shared" si="155"/>
        <v>-0.2339335210604867</v>
      </c>
      <c r="Z55" s="95">
        <f t="shared" si="155"/>
        <v>-0.21384855315579807</v>
      </c>
      <c r="AA55" s="95">
        <f t="shared" si="155"/>
        <v>-0.21594480516788153</v>
      </c>
      <c r="AB55" s="95">
        <f t="shared" si="155"/>
        <v>-0.22200604921115</v>
      </c>
      <c r="AC55" s="95">
        <f t="shared" si="155"/>
        <v>-0.22547468996114894</v>
      </c>
      <c r="AD55" s="95">
        <f t="shared" si="155"/>
        <v>-0.22497503827464563</v>
      </c>
      <c r="AE55" s="95">
        <f t="shared" si="155"/>
        <v>-0.22445968802856625</v>
      </c>
      <c r="AF55" s="95">
        <f t="shared" si="155"/>
        <v>-0.22794254637721015</v>
      </c>
      <c r="AG55" s="95">
        <f t="shared" si="155"/>
        <v>-0.23001205818716691</v>
      </c>
      <c r="AH55" s="95">
        <f t="shared" si="155"/>
        <v>-0.23047638798364645</v>
      </c>
      <c r="AI55" s="95">
        <f t="shared" si="155"/>
        <v>-0.23408039843472084</v>
      </c>
      <c r="AJ55" s="95">
        <f t="shared" si="155"/>
        <v>-0.23682104892068662</v>
      </c>
      <c r="AK55" s="95">
        <f t="shared" si="155"/>
        <v>-0.23468465460095658</v>
      </c>
      <c r="AL55" s="95">
        <f t="shared" si="155"/>
        <v>-0.23188422629763414</v>
      </c>
      <c r="AM55" s="1800">
        <f t="shared" si="155"/>
        <v>-0.26550589745647091</v>
      </c>
      <c r="AN55" s="95">
        <f t="shared" si="155"/>
        <v>-0.25570782125777758</v>
      </c>
      <c r="AO55" s="95">
        <f t="shared" si="155"/>
        <v>-0.24366787173723126</v>
      </c>
      <c r="AP55" s="95">
        <f t="shared" si="155"/>
        <v>-0.24323343579234971</v>
      </c>
      <c r="AQ55" s="95">
        <f t="shared" si="155"/>
        <v>-0.24587660431519315</v>
      </c>
      <c r="AR55" s="95">
        <f t="shared" si="155"/>
        <v>-0.24629268874488133</v>
      </c>
      <c r="AS55" s="95">
        <f t="shared" si="155"/>
        <v>-0.24358488917368135</v>
      </c>
      <c r="AT55" s="95">
        <f t="shared" si="155"/>
        <v>-0.2504236262406197</v>
      </c>
      <c r="AU55" s="95">
        <f t="shared" si="155"/>
        <v>-0.22415711090817506</v>
      </c>
      <c r="AV55" s="95">
        <f t="shared" si="155"/>
        <v>-0.26685420910089686</v>
      </c>
      <c r="AW55" s="95">
        <f t="shared" si="155"/>
        <v>-0.3125905396630333</v>
      </c>
      <c r="AX55" s="95">
        <f t="shared" si="155"/>
        <v>-0.31811853171207505</v>
      </c>
      <c r="AY55" s="95"/>
      <c r="AZ55" s="95"/>
      <c r="BA55" s="80"/>
      <c r="BB55" s="95">
        <v>-0.24475791972584821</v>
      </c>
      <c r="BC55" s="2181"/>
      <c r="BE55" s="95" t="e">
        <f>+BE54/BE33</f>
        <v>#DIV/0!</v>
      </c>
      <c r="BF55" s="95" t="e">
        <f>+BF54/BF33</f>
        <v>#DIV/0!</v>
      </c>
      <c r="BG55" s="95" t="e">
        <f>+BG54/BG33</f>
        <v>#DIV/0!</v>
      </c>
      <c r="BH55" s="95" t="e">
        <f>+BH54/BH33</f>
        <v>#DIV/0!</v>
      </c>
      <c r="BI55" s="95"/>
      <c r="BJ55" s="2005">
        <f t="shared" ref="BJ55:BU55" si="156">+BJ54/BJ33</f>
        <v>-5.9864375523235504E-3</v>
      </c>
      <c r="BK55" s="95">
        <f t="shared" si="156"/>
        <v>-0.22590728976665203</v>
      </c>
      <c r="BL55" s="95">
        <f t="shared" si="156"/>
        <v>-0.22228246347121264</v>
      </c>
      <c r="BM55" s="95">
        <f t="shared" si="156"/>
        <v>-0.22839566448589008</v>
      </c>
      <c r="BN55" s="95">
        <f t="shared" si="156"/>
        <v>-0.23447180088942574</v>
      </c>
      <c r="BO55" s="1800">
        <f t="shared" si="156"/>
        <v>-0.24845028082911788</v>
      </c>
      <c r="BP55" s="95">
        <f t="shared" si="156"/>
        <v>-0.24671989143066528</v>
      </c>
      <c r="BQ55" s="95">
        <f t="shared" si="156"/>
        <v>-0.28524908239355562</v>
      </c>
      <c r="BR55" s="95">
        <f t="shared" si="156"/>
        <v>-0.28522614984467648</v>
      </c>
      <c r="BS55" s="95">
        <f t="shared" si="156"/>
        <v>-0.28511141530324224</v>
      </c>
      <c r="BT55" s="95">
        <f t="shared" si="156"/>
        <v>-0.28488524873224924</v>
      </c>
      <c r="BU55" s="95">
        <f t="shared" si="156"/>
        <v>-0.28467375122375133</v>
      </c>
    </row>
    <row r="56" spans="2:73" ht="13.5" customHeight="1">
      <c r="B56" s="96"/>
      <c r="C56" s="95"/>
      <c r="D56" s="95"/>
      <c r="E56" s="95"/>
      <c r="F56" s="95"/>
      <c r="G56" s="95"/>
      <c r="H56" s="95"/>
      <c r="I56" s="95"/>
      <c r="J56" s="95"/>
      <c r="K56" s="95"/>
      <c r="L56" s="95"/>
      <c r="M56" s="95"/>
      <c r="N56" s="95"/>
      <c r="O56" s="95"/>
      <c r="P56" s="95"/>
      <c r="Q56" s="95"/>
      <c r="R56" s="95"/>
      <c r="S56" s="1800"/>
      <c r="T56" s="95"/>
      <c r="U56" s="95"/>
      <c r="V56" s="80"/>
      <c r="W56" s="1795"/>
      <c r="X56" s="80"/>
      <c r="Y56" s="80"/>
      <c r="Z56" s="80"/>
      <c r="AA56" s="80"/>
      <c r="AB56" s="80"/>
      <c r="AC56" s="80"/>
      <c r="AD56" s="80"/>
      <c r="AE56" s="80"/>
      <c r="AF56" s="80"/>
      <c r="AG56" s="80"/>
      <c r="AH56" s="80"/>
      <c r="AI56" s="80"/>
      <c r="AJ56" s="80"/>
      <c r="AK56" s="80"/>
      <c r="AL56" s="80"/>
      <c r="AM56" s="1795"/>
      <c r="AN56" s="80"/>
      <c r="AO56" s="80"/>
      <c r="AP56" s="80"/>
      <c r="AQ56" s="80"/>
      <c r="AR56" s="80"/>
      <c r="AS56" s="80"/>
      <c r="AT56" s="80"/>
      <c r="AU56" s="80"/>
      <c r="AV56" s="80"/>
      <c r="AW56" s="80"/>
      <c r="AX56" s="80"/>
      <c r="AY56" s="80"/>
      <c r="AZ56" s="80"/>
      <c r="BA56" s="80"/>
      <c r="BB56" s="80"/>
      <c r="BC56" s="2181"/>
      <c r="BE56" s="80"/>
      <c r="BF56" s="80"/>
      <c r="BG56" s="80"/>
      <c r="BH56" s="80"/>
      <c r="BI56" s="80"/>
      <c r="BJ56" s="2000"/>
      <c r="BK56" s="80"/>
      <c r="BL56" s="80"/>
      <c r="BM56" s="80"/>
      <c r="BN56" s="80"/>
      <c r="BO56" s="1795"/>
      <c r="BP56" s="80"/>
      <c r="BQ56" s="80"/>
      <c r="BR56" s="80"/>
      <c r="BS56" s="80"/>
      <c r="BT56" s="80"/>
      <c r="BU56" s="80"/>
    </row>
    <row r="57" spans="2:73" s="872" customFormat="1" ht="13.5" customHeight="1">
      <c r="B57" s="2272" t="s">
        <v>14</v>
      </c>
      <c r="C57" s="2276">
        <v>1641.8</v>
      </c>
      <c r="D57" s="2276">
        <v>1928.9</v>
      </c>
      <c r="E57" s="2276">
        <v>1995.9</v>
      </c>
      <c r="F57" s="2276">
        <v>2332.4</v>
      </c>
      <c r="G57" s="2276">
        <v>1689.7008631189465</v>
      </c>
      <c r="H57" s="2276">
        <v>2025.6579741914106</v>
      </c>
      <c r="I57" s="2276">
        <v>1902.6</v>
      </c>
      <c r="J57" s="2276">
        <v>2294.7123002658336</v>
      </c>
      <c r="K57" s="2276">
        <v>1728.607016668896</v>
      </c>
      <c r="L57" s="2276">
        <v>2025.8188577560172</v>
      </c>
      <c r="M57" s="2276">
        <v>2365.4217411074928</v>
      </c>
      <c r="N57" s="2276">
        <v>3732.9</v>
      </c>
      <c r="O57" s="2276">
        <v>2687.6263130073621</v>
      </c>
      <c r="P57" s="2276">
        <v>3100.0424789587187</v>
      </c>
      <c r="Q57" s="2276">
        <v>3241.9012598055992</v>
      </c>
      <c r="R57" s="2276">
        <v>4335.5604333828269</v>
      </c>
      <c r="S57" s="2275">
        <v>2915.15</v>
      </c>
      <c r="T57" s="2276">
        <v>3403.7089999999998</v>
      </c>
      <c r="U57" s="2276">
        <v>3473.8</v>
      </c>
      <c r="V57" s="2276">
        <v>9654.5</v>
      </c>
      <c r="W57" s="2275">
        <v>7518</v>
      </c>
      <c r="X57" s="2273">
        <f t="shared" ref="X57:AH57" si="157">+X144+X470+X541+X609</f>
        <v>6987.0999999999995</v>
      </c>
      <c r="Y57" s="2273">
        <f t="shared" si="157"/>
        <v>10419.500000000002</v>
      </c>
      <c r="Z57" s="2273">
        <f t="shared" si="157"/>
        <v>11997.3</v>
      </c>
      <c r="AA57" s="2273">
        <f t="shared" si="157"/>
        <v>9455</v>
      </c>
      <c r="AB57" s="2273">
        <f t="shared" si="157"/>
        <v>9517.2000000000007</v>
      </c>
      <c r="AC57" s="2273">
        <f t="shared" si="157"/>
        <v>9549.1999999999989</v>
      </c>
      <c r="AD57" s="2273">
        <f t="shared" si="157"/>
        <v>11643.199999999999</v>
      </c>
      <c r="AE57" s="2273">
        <f t="shared" si="157"/>
        <v>8253.2999999999993</v>
      </c>
      <c r="AF57" s="2273">
        <f t="shared" si="157"/>
        <v>8702.4</v>
      </c>
      <c r="AG57" s="2273">
        <f t="shared" si="157"/>
        <v>9003.7000000000007</v>
      </c>
      <c r="AH57" s="2273">
        <f t="shared" si="157"/>
        <v>10389.799999999999</v>
      </c>
      <c r="AI57" s="2273">
        <f>+AI144+AI470+AI609</f>
        <v>7320.1999999999989</v>
      </c>
      <c r="AJ57" s="2273">
        <f>+AJ144+AJ470+AJ609</f>
        <v>7773.5347991438684</v>
      </c>
      <c r="AK57" s="2273">
        <f>+AK144+AK470+AK609</f>
        <v>7517.2609999999995</v>
      </c>
      <c r="AL57" s="2276">
        <v>6613.4</v>
      </c>
      <c r="AM57" s="2275">
        <v>4577.0000000000009</v>
      </c>
      <c r="AN57" s="2276">
        <v>5789.7</v>
      </c>
      <c r="AO57" s="2276">
        <v>5975.5788975537307</v>
      </c>
      <c r="AP57" s="2276">
        <v>7090.6</v>
      </c>
      <c r="AQ57" s="2273">
        <f t="shared" ref="AQ57" si="158">+AQ144</f>
        <v>5143.046146230814</v>
      </c>
      <c r="AR57" s="2273">
        <f>+AR144</f>
        <v>5687.4</v>
      </c>
      <c r="AS57" s="2273">
        <f>+AS144</f>
        <v>5194</v>
      </c>
      <c r="AT57" s="2273">
        <f t="shared" ref="AT57:AX57" si="159">+AT144</f>
        <v>6193</v>
      </c>
      <c r="AU57" s="2279">
        <f t="shared" si="159"/>
        <v>4671.1848071122813</v>
      </c>
      <c r="AV57" s="2279">
        <f t="shared" si="159"/>
        <v>5589.1976076540768</v>
      </c>
      <c r="AW57" s="2279">
        <f t="shared" si="159"/>
        <v>5071.4476107861501</v>
      </c>
      <c r="AX57" s="2279">
        <f t="shared" si="159"/>
        <v>6355.101392320229</v>
      </c>
      <c r="AY57" s="2279"/>
      <c r="AZ57" s="2279"/>
      <c r="BA57" s="2273"/>
      <c r="BB57" s="2279">
        <v>6345.9406396795221</v>
      </c>
      <c r="BC57" s="2296">
        <f>+AT57/BB57-1</f>
        <v>-2.4100546847731885E-2</v>
      </c>
      <c r="BD57" s="2280"/>
      <c r="BE57" s="2273">
        <f>+SUM(C57:F57)</f>
        <v>7899</v>
      </c>
      <c r="BF57" s="2273">
        <f>+SUM(G57:J57)</f>
        <v>7912.6711375761906</v>
      </c>
      <c r="BG57" s="2273">
        <f>+SUM(K57:N57)</f>
        <v>9852.7476155324057</v>
      </c>
      <c r="BH57" s="2273">
        <f>+SUM(O57:R57)</f>
        <v>13365.130485154506</v>
      </c>
      <c r="BI57" s="2273"/>
      <c r="BJ57" s="2278">
        <f>+SUM(S57:V57)</f>
        <v>19447.159</v>
      </c>
      <c r="BK57" s="2273">
        <f>+SUM(W57:Z57)</f>
        <v>36921.899999999994</v>
      </c>
      <c r="BL57" s="2273">
        <f>+SUM(AA57:AD57)</f>
        <v>40164.6</v>
      </c>
      <c r="BM57" s="2273">
        <f>+SUM(AE57:AH57)</f>
        <v>36349.199999999997</v>
      </c>
      <c r="BN57" s="2273">
        <f>+SUM(AI57:AL57)</f>
        <v>29224.395799143866</v>
      </c>
      <c r="BO57" s="2274">
        <f>+SUM(AM57:AP57)</f>
        <v>23432.878897553732</v>
      </c>
      <c r="BP57" s="2273">
        <f>+SUM(AQ57:AT57)</f>
        <v>22217.446146230814</v>
      </c>
      <c r="BQ57" s="2273">
        <f>+SUM(AU57:AX57)</f>
        <v>21686.931417872736</v>
      </c>
      <c r="BR57" s="2279">
        <f>+BR144</f>
        <v>22657.603688583269</v>
      </c>
      <c r="BS57" s="2279">
        <f>+BS144</f>
        <v>23535.363447344898</v>
      </c>
      <c r="BT57" s="2279">
        <f>+BT144</f>
        <v>24439.342431603887</v>
      </c>
      <c r="BU57" s="2279">
        <f>+BU144</f>
        <v>25310.62308218054</v>
      </c>
    </row>
    <row r="58" spans="2:73" ht="13.5" customHeight="1">
      <c r="B58" s="94" t="s">
        <v>108</v>
      </c>
      <c r="C58" s="84"/>
      <c r="D58" s="84"/>
      <c r="E58" s="84"/>
      <c r="F58" s="84"/>
      <c r="G58" s="84">
        <f>+G57/C57-1</f>
        <v>2.9175821122515933E-2</v>
      </c>
      <c r="H58" s="84">
        <f>+H57/D57-1</f>
        <v>5.0162255270574274E-2</v>
      </c>
      <c r="I58" s="84">
        <f>+I57/E57-1</f>
        <v>-4.6745828949346202E-2</v>
      </c>
      <c r="J58" s="84">
        <f t="shared" ref="J58:S58" si="160">+J57/F57-1</f>
        <v>-1.6158334648502137E-2</v>
      </c>
      <c r="K58" s="84">
        <f t="shared" si="160"/>
        <v>2.3025468234734836E-2</v>
      </c>
      <c r="L58" s="84">
        <f t="shared" si="160"/>
        <v>7.9422867362843874E-5</v>
      </c>
      <c r="M58" s="84">
        <f t="shared" si="160"/>
        <v>0.24325751135682383</v>
      </c>
      <c r="N58" s="84">
        <f t="shared" si="160"/>
        <v>0.62673987478411042</v>
      </c>
      <c r="O58" s="84">
        <f t="shared" si="160"/>
        <v>0.55479312943351333</v>
      </c>
      <c r="P58" s="84">
        <f t="shared" si="160"/>
        <v>0.53026637455266368</v>
      </c>
      <c r="Q58" s="84">
        <f t="shared" si="160"/>
        <v>0.3705383710085195</v>
      </c>
      <c r="R58" s="84">
        <f t="shared" si="160"/>
        <v>0.1614456410251619</v>
      </c>
      <c r="S58" s="1801">
        <f t="shared" si="160"/>
        <v>8.4655997707526076E-2</v>
      </c>
      <c r="T58" s="84">
        <f>+T57/P57-1</f>
        <v>9.7955599996578213E-2</v>
      </c>
      <c r="U58" s="84">
        <f>+U57/Q57-1</f>
        <v>7.1531709823977385E-2</v>
      </c>
      <c r="V58" s="84">
        <f>+V57/R57-1</f>
        <v>1.2268170743654156</v>
      </c>
      <c r="W58" s="1801">
        <f t="shared" ref="W58:AD58" si="161">+W57/S57-1</f>
        <v>1.5789410493456595</v>
      </c>
      <c r="X58" s="84">
        <f t="shared" si="161"/>
        <v>1.0527900593147064</v>
      </c>
      <c r="Y58" s="84">
        <f t="shared" si="161"/>
        <v>1.9994530485347464</v>
      </c>
      <c r="Z58" s="84">
        <f t="shared" si="161"/>
        <v>0.24266404267440045</v>
      </c>
      <c r="AA58" s="84">
        <f t="shared" si="161"/>
        <v>0.25764831072093641</v>
      </c>
      <c r="AB58" s="84">
        <f t="shared" si="161"/>
        <v>0.36211017446437022</v>
      </c>
      <c r="AC58" s="84">
        <f t="shared" si="161"/>
        <v>-8.3526080905993783E-2</v>
      </c>
      <c r="AD58" s="84">
        <f t="shared" si="161"/>
        <v>-2.951497420252891E-2</v>
      </c>
      <c r="AE58" s="84">
        <f t="shared" ref="AE58" si="162">+AE57/AA57-1</f>
        <v>-0.12709677419354848</v>
      </c>
      <c r="AF58" s="84">
        <f t="shared" ref="AF58:AG58" si="163">+AF57/AB57-1</f>
        <v>-8.5613415710503182E-2</v>
      </c>
      <c r="AG58" s="84">
        <f t="shared" si="163"/>
        <v>-5.7125204205587754E-2</v>
      </c>
      <c r="AH58" s="84">
        <f t="shared" ref="AH58" si="164">+AH57/AD57-1</f>
        <v>-0.1076508176446338</v>
      </c>
      <c r="AI58" s="84">
        <f t="shared" ref="AI58:AJ58" si="165">+AI57/AE57-1</f>
        <v>-0.11305780718015834</v>
      </c>
      <c r="AJ58" s="84">
        <f t="shared" si="165"/>
        <v>-0.10673667044219193</v>
      </c>
      <c r="AK58" s="84">
        <f t="shared" ref="AK58" si="166">+AK57/AG57-1</f>
        <v>-0.16509201772604609</v>
      </c>
      <c r="AL58" s="84">
        <f t="shared" ref="AL58" si="167">+AL57/AH57-1</f>
        <v>-0.36347186663843389</v>
      </c>
      <c r="AM58" s="1801">
        <f t="shared" ref="AM58" si="168">+AM57/AI57-1</f>
        <v>-0.37474385945739164</v>
      </c>
      <c r="AN58" s="84">
        <f t="shared" ref="AN58" si="169">+AN57/AJ57-1</f>
        <v>-0.25520369438139734</v>
      </c>
      <c r="AO58" s="84">
        <f t="shared" ref="AO58" si="170">+AO57/AK57-1</f>
        <v>-0.2050856159505795</v>
      </c>
      <c r="AP58" s="84">
        <f t="shared" ref="AP58" si="171">+AP57/AL57-1</f>
        <v>7.215653068013439E-2</v>
      </c>
      <c r="AQ58" s="84">
        <f t="shared" ref="AQ58" si="172">+AQ57/AM57-1</f>
        <v>0.12367186939716257</v>
      </c>
      <c r="AR58" s="84">
        <f t="shared" ref="AR58" si="173">+AR57/AN57-1</f>
        <v>-1.7669309290636814E-2</v>
      </c>
      <c r="AS58" s="84">
        <f t="shared" ref="AS58" si="174">+AS57/AO57-1</f>
        <v>-0.13079551135601131</v>
      </c>
      <c r="AT58" s="84">
        <f t="shared" ref="AT58" si="175">+AT57/AP57-1</f>
        <v>-0.12659013341607206</v>
      </c>
      <c r="AU58" s="84">
        <f t="shared" ref="AU58" si="176">+AU57/AQ57-1</f>
        <v>-9.174744416095626E-2</v>
      </c>
      <c r="AV58" s="84">
        <f t="shared" ref="AV58" si="177">+AV57/AR57-1</f>
        <v>-1.7266658287780512E-2</v>
      </c>
      <c r="AW58" s="84">
        <f t="shared" ref="AW58" si="178">+AW57/AS57-1</f>
        <v>-2.3594992147448979E-2</v>
      </c>
      <c r="AX58" s="84">
        <f t="shared" ref="AX58" si="179">+AX57/AT57-1</f>
        <v>2.617493820769079E-2</v>
      </c>
      <c r="AY58" s="84"/>
      <c r="AZ58" s="84"/>
      <c r="BA58" s="84"/>
      <c r="BB58" s="84">
        <v>-0.10502064145777201</v>
      </c>
      <c r="BC58" s="2184"/>
      <c r="BE58" s="84"/>
      <c r="BF58" s="84">
        <f t="shared" ref="BF58:BQ58" si="180">+BF57/BE57-1</f>
        <v>1.7307428251918111E-3</v>
      </c>
      <c r="BG58" s="84">
        <f t="shared" si="180"/>
        <v>0.24518603695571994</v>
      </c>
      <c r="BH58" s="84">
        <f t="shared" si="180"/>
        <v>0.35648765265081894</v>
      </c>
      <c r="BI58" s="84"/>
      <c r="BJ58" s="1999">
        <f>+BJ57/BH57-1</f>
        <v>0.45506690126229499</v>
      </c>
      <c r="BK58" s="84">
        <f>+BK57/BJ57-1</f>
        <v>0.89857551943705483</v>
      </c>
      <c r="BL58" s="84">
        <f t="shared" si="180"/>
        <v>8.7825924451341963E-2</v>
      </c>
      <c r="BM58" s="84">
        <f t="shared" si="180"/>
        <v>-9.4994099281456856E-2</v>
      </c>
      <c r="BN58" s="84">
        <f t="shared" si="180"/>
        <v>-0.19600993146633572</v>
      </c>
      <c r="BO58" s="1801">
        <f t="shared" si="180"/>
        <v>-0.1981740509331521</v>
      </c>
      <c r="BP58" s="84">
        <f t="shared" si="180"/>
        <v>-5.1868690852569621E-2</v>
      </c>
      <c r="BQ58" s="84">
        <f t="shared" si="180"/>
        <v>-2.3878294780882325E-2</v>
      </c>
      <c r="BR58" s="84">
        <f t="shared" ref="BR58" si="181">+BR57/BQ57-1</f>
        <v>4.4758396289784841E-2</v>
      </c>
      <c r="BS58" s="84">
        <f t="shared" ref="BS58" si="182">+BS57/BR57-1</f>
        <v>3.8740185009234374E-2</v>
      </c>
      <c r="BT58" s="84">
        <f t="shared" ref="BT58" si="183">+BT57/BS57-1</f>
        <v>3.840939130944121E-2</v>
      </c>
      <c r="BU58" s="84">
        <f t="shared" ref="BU58" si="184">+BU57/BT57-1</f>
        <v>3.5650740318198926E-2</v>
      </c>
    </row>
    <row r="59" spans="2:73" ht="13.5" customHeight="1">
      <c r="B59" s="75" t="s">
        <v>275</v>
      </c>
      <c r="C59" s="86">
        <f t="shared" ref="C59:J59" si="185">+C61-C57</f>
        <v>-495.16709774236574</v>
      </c>
      <c r="D59" s="86">
        <f t="shared" si="185"/>
        <v>-589.63977709753681</v>
      </c>
      <c r="E59" s="86">
        <f t="shared" si="185"/>
        <v>-618.31484543994657</v>
      </c>
      <c r="F59" s="86">
        <f t="shared" si="185"/>
        <v>-712.90224378582343</v>
      </c>
      <c r="G59" s="86">
        <f t="shared" si="185"/>
        <v>-521.07206173584882</v>
      </c>
      <c r="H59" s="86">
        <f t="shared" si="185"/>
        <v>-638.23244379495418</v>
      </c>
      <c r="I59" s="86">
        <f t="shared" si="185"/>
        <v>-566.79999999999995</v>
      </c>
      <c r="J59" s="86">
        <f t="shared" si="185"/>
        <v>-720.81404470646999</v>
      </c>
      <c r="K59" s="77">
        <v>-519.93802402434926</v>
      </c>
      <c r="L59" s="77">
        <v>-605.30319065521053</v>
      </c>
      <c r="M59" s="77">
        <v>-689.31916849370543</v>
      </c>
      <c r="N59" s="77">
        <v>-1096.5170106884261</v>
      </c>
      <c r="O59" s="77">
        <v>-735.94613339881198</v>
      </c>
      <c r="P59" s="77">
        <v>-894.88898997543606</v>
      </c>
      <c r="Q59" s="77">
        <v>-867.08676563742006</v>
      </c>
      <c r="R59" s="77">
        <v>-1263.9752958858362</v>
      </c>
      <c r="S59" s="1791">
        <f t="shared" ref="S59:Z59" si="186">+S61-S57</f>
        <v>-809.17200000000003</v>
      </c>
      <c r="T59" s="77">
        <f t="shared" si="186"/>
        <v>-964.55499999999984</v>
      </c>
      <c r="U59" s="77">
        <f t="shared" si="186"/>
        <v>-967.10000000000036</v>
      </c>
      <c r="V59" s="77">
        <f t="shared" si="186"/>
        <v>-3450.8999999999996</v>
      </c>
      <c r="W59" s="1791">
        <f t="shared" si="186"/>
        <v>-2878.7</v>
      </c>
      <c r="X59" s="77">
        <f t="shared" si="186"/>
        <v>-2375.3999999999996</v>
      </c>
      <c r="Y59" s="77">
        <f t="shared" ref="Y59" si="187">+Y61-Y57</f>
        <v>-3695.3000000000011</v>
      </c>
      <c r="Z59" s="77">
        <f t="shared" si="186"/>
        <v>-4279.9999999999991</v>
      </c>
      <c r="AA59" s="77">
        <f t="shared" ref="AA59:AB59" si="188">+AA61-AA57</f>
        <v>-3324.3</v>
      </c>
      <c r="AB59" s="77">
        <f t="shared" si="188"/>
        <v>-3316.5000000000009</v>
      </c>
      <c r="AC59" s="77">
        <f t="shared" ref="AC59:AD59" si="189">+AC61-AC57</f>
        <v>-3312.9999999999982</v>
      </c>
      <c r="AD59" s="77">
        <f t="shared" si="189"/>
        <v>-4057.5999999999985</v>
      </c>
      <c r="AE59" s="77">
        <f t="shared" ref="AE59:AH59" si="190">+AE61-AE57</f>
        <v>-2945.5999999999995</v>
      </c>
      <c r="AF59" s="77">
        <f t="shared" si="190"/>
        <v>-3216.8</v>
      </c>
      <c r="AG59" s="77">
        <f t="shared" ref="AG59" si="191">+AG61-AG57</f>
        <v>-3229.8000000000011</v>
      </c>
      <c r="AH59" s="77">
        <f t="shared" si="190"/>
        <v>-3763.0999999999985</v>
      </c>
      <c r="AI59" s="77">
        <f t="shared" ref="AI59:AL59" si="192">+AI61-AI57</f>
        <v>-2494.6999999999998</v>
      </c>
      <c r="AJ59" s="77">
        <f t="shared" ref="AJ59" si="193">+AJ61-AJ57</f>
        <v>-2687.9920872794664</v>
      </c>
      <c r="AK59" s="77">
        <f t="shared" si="192"/>
        <v>-2610.9929999999995</v>
      </c>
      <c r="AL59" s="77">
        <f t="shared" si="192"/>
        <v>-2444.7999999999993</v>
      </c>
      <c r="AM59" s="1791">
        <f t="shared" ref="AM59:AP59" si="194">+AM61-AM57</f>
        <v>-1546.3000000000011</v>
      </c>
      <c r="AN59" s="77">
        <f t="shared" si="194"/>
        <v>-1998.3999999999996</v>
      </c>
      <c r="AO59" s="77">
        <f t="shared" si="194"/>
        <v>-1952.9109389640998</v>
      </c>
      <c r="AP59" s="77">
        <f t="shared" si="194"/>
        <v>-2610.9000000000005</v>
      </c>
      <c r="AQ59" s="77">
        <f t="shared" ref="AQ59:AT59" si="195">+AQ61-AQ57</f>
        <v>-1675.8594201224637</v>
      </c>
      <c r="AR59" s="77">
        <f t="shared" si="195"/>
        <v>-1909.0999999999995</v>
      </c>
      <c r="AS59" s="77">
        <f t="shared" si="195"/>
        <v>-1702</v>
      </c>
      <c r="AT59" s="77">
        <f t="shared" si="195"/>
        <v>-2197</v>
      </c>
      <c r="AU59" s="77">
        <f t="shared" ref="AU59:AX59" si="196">+AU61-AU57</f>
        <v>-1522.1036015531654</v>
      </c>
      <c r="AV59" s="77">
        <f t="shared" si="196"/>
        <v>-1876.1362226627975</v>
      </c>
      <c r="AW59" s="77">
        <f t="shared" si="196"/>
        <v>-1661.8413233650422</v>
      </c>
      <c r="AX59" s="77">
        <f t="shared" si="196"/>
        <v>-2254.5063392422962</v>
      </c>
      <c r="AY59" s="77"/>
      <c r="AZ59" s="77"/>
      <c r="BA59" s="77"/>
      <c r="BB59" s="77">
        <v>-2174.6636896364998</v>
      </c>
      <c r="BC59" s="2179"/>
      <c r="BE59" s="77">
        <f>+SUM(C59:F59)</f>
        <v>-2416.0239640656728</v>
      </c>
      <c r="BF59" s="77">
        <f>+SUM(G59:J59)</f>
        <v>-2446.9185502372729</v>
      </c>
      <c r="BG59" s="77">
        <f>+SUM(K59:N59)</f>
        <v>-2911.0773938616912</v>
      </c>
      <c r="BH59" s="77">
        <f>+SUM(O59:R59)</f>
        <v>-3761.8971848975043</v>
      </c>
      <c r="BI59" s="77"/>
      <c r="BJ59" s="1998">
        <f>+SUM(S59:V59)</f>
        <v>-6191.7269999999999</v>
      </c>
      <c r="BK59" s="77">
        <f>+SUM(W59:Z59)</f>
        <v>-13229.400000000001</v>
      </c>
      <c r="BL59" s="77">
        <f>+SUM(AA59:AD59)</f>
        <v>-14011.399999999998</v>
      </c>
      <c r="BM59" s="77">
        <f>+SUM(AE59:AH59)</f>
        <v>-13155.3</v>
      </c>
      <c r="BN59" s="77">
        <f>+SUM(AI59:AL59)</f>
        <v>-10238.485087279465</v>
      </c>
      <c r="BO59" s="1791">
        <f>+SUM(AM59:AP59)</f>
        <v>-8108.5109389641011</v>
      </c>
      <c r="BP59" s="77">
        <f>+SUM(AQ59:AT59)</f>
        <v>-7483.9594201224627</v>
      </c>
      <c r="BQ59" s="77">
        <f>+SUM(AU59:AX59)</f>
        <v>-7314.5874868233013</v>
      </c>
      <c r="BR59" s="77">
        <f t="shared" ref="BR59" si="197">+BR61-BR57</f>
        <v>-7641.9766922548406</v>
      </c>
      <c r="BS59" s="77">
        <f t="shared" ref="BS59:BU59" si="198">+BS61-BS57</f>
        <v>-7938.0282831490495</v>
      </c>
      <c r="BT59" s="77">
        <f t="shared" si="198"/>
        <v>-8242.9231177019337</v>
      </c>
      <c r="BU59" s="77">
        <f t="shared" si="198"/>
        <v>-8536.7894292340061</v>
      </c>
    </row>
    <row r="60" spans="2:73" ht="13.5" customHeight="1">
      <c r="B60" s="75"/>
      <c r="C60" s="86"/>
      <c r="D60" s="86"/>
      <c r="E60" s="86"/>
      <c r="F60" s="86"/>
      <c r="G60" s="86"/>
      <c r="H60" s="86"/>
      <c r="I60" s="86"/>
      <c r="J60" s="86"/>
      <c r="K60" s="77"/>
      <c r="L60" s="77"/>
      <c r="M60" s="77"/>
      <c r="N60" s="77"/>
      <c r="O60" s="77"/>
      <c r="P60" s="77"/>
      <c r="Q60" s="77"/>
      <c r="R60" s="77"/>
      <c r="S60" s="1791"/>
      <c r="T60" s="77"/>
      <c r="U60" s="77"/>
      <c r="BA60" s="77"/>
      <c r="BC60" s="2179"/>
      <c r="BE60" s="77"/>
      <c r="BF60" s="77"/>
      <c r="BG60" s="77"/>
      <c r="BH60" s="77"/>
      <c r="BI60" s="77"/>
      <c r="BJ60" s="1998"/>
      <c r="BK60" s="77"/>
      <c r="BL60" s="77"/>
      <c r="BM60" s="77"/>
      <c r="BN60" s="77"/>
      <c r="BO60" s="1791"/>
      <c r="BP60" s="77"/>
      <c r="BQ60" s="77"/>
    </row>
    <row r="61" spans="2:73" s="872" customFormat="1" ht="13.5" customHeight="1">
      <c r="B61" s="2272" t="s">
        <v>15</v>
      </c>
      <c r="C61" s="2276">
        <v>1146.6329022576342</v>
      </c>
      <c r="D61" s="2276">
        <v>1339.2602229024633</v>
      </c>
      <c r="E61" s="2276">
        <v>1377.5851545600535</v>
      </c>
      <c r="F61" s="2276">
        <v>1619.4977562141767</v>
      </c>
      <c r="G61" s="2276">
        <v>1168.6288013830977</v>
      </c>
      <c r="H61" s="2276">
        <v>1387.4255303964565</v>
      </c>
      <c r="I61" s="2276">
        <v>1335.8</v>
      </c>
      <c r="J61" s="2276">
        <v>1573.8982555593636</v>
      </c>
      <c r="K61" s="2276">
        <v>1208.6689926445467</v>
      </c>
      <c r="L61" s="2276">
        <v>1420.5156671008067</v>
      </c>
      <c r="M61" s="2276">
        <v>1676.1025726137873</v>
      </c>
      <c r="N61" s="2276">
        <v>2636.3435489255926</v>
      </c>
      <c r="O61" s="2276">
        <v>1951.6801796085501</v>
      </c>
      <c r="P61" s="2276">
        <v>2205.1534889832828</v>
      </c>
      <c r="Q61" s="2276">
        <v>2374.8144941681794</v>
      </c>
      <c r="R61" s="2276">
        <v>3071.5851374969907</v>
      </c>
      <c r="S61" s="2275">
        <v>2105.9780000000001</v>
      </c>
      <c r="T61" s="2276">
        <v>2439.154</v>
      </c>
      <c r="U61" s="2276">
        <v>2506.6999999999998</v>
      </c>
      <c r="V61" s="2276">
        <v>6203.6</v>
      </c>
      <c r="W61" s="2275">
        <v>4639.3</v>
      </c>
      <c r="X61" s="2273">
        <f t="shared" ref="X61:AH61" si="199">+X207+X473+X547+X615</f>
        <v>4611.7</v>
      </c>
      <c r="Y61" s="2273">
        <f t="shared" si="199"/>
        <v>6724.2000000000007</v>
      </c>
      <c r="Z61" s="2273">
        <f t="shared" si="199"/>
        <v>7717.3</v>
      </c>
      <c r="AA61" s="2273">
        <f t="shared" si="199"/>
        <v>6130.7</v>
      </c>
      <c r="AB61" s="2273">
        <f t="shared" si="199"/>
        <v>6200.7</v>
      </c>
      <c r="AC61" s="2273">
        <f t="shared" si="199"/>
        <v>6236.2000000000007</v>
      </c>
      <c r="AD61" s="2273">
        <f t="shared" si="199"/>
        <v>7585.6</v>
      </c>
      <c r="AE61" s="2273">
        <f t="shared" si="199"/>
        <v>5307.7</v>
      </c>
      <c r="AF61" s="2273">
        <f t="shared" si="199"/>
        <v>5485.5999999999995</v>
      </c>
      <c r="AG61" s="2273">
        <f t="shared" si="199"/>
        <v>5773.9</v>
      </c>
      <c r="AH61" s="2273">
        <f t="shared" si="199"/>
        <v>6626.7000000000007</v>
      </c>
      <c r="AI61" s="2273">
        <f>+AI207+AI473+AI615</f>
        <v>4825.4999999999991</v>
      </c>
      <c r="AJ61" s="2273">
        <f>+AJ207+AJ473+AJ615</f>
        <v>5085.542711864402</v>
      </c>
      <c r="AK61" s="2273">
        <f>+AK207+AK473+AK615</f>
        <v>4906.268</v>
      </c>
      <c r="AL61" s="2276">
        <v>4168.6000000000004</v>
      </c>
      <c r="AM61" s="2275">
        <v>3030.7</v>
      </c>
      <c r="AN61" s="2276">
        <v>3791.3</v>
      </c>
      <c r="AO61" s="2276">
        <v>4022.6679585896309</v>
      </c>
      <c r="AP61" s="2276">
        <v>4479.7</v>
      </c>
      <c r="AQ61" s="2273">
        <f t="shared" ref="AQ61" si="200">+AQ207</f>
        <v>3467.1867261083503</v>
      </c>
      <c r="AR61" s="2273">
        <f>+AR207</f>
        <v>3778.3</v>
      </c>
      <c r="AS61" s="2273">
        <f t="shared" ref="AS61:AX61" si="201">+AS207</f>
        <v>3492</v>
      </c>
      <c r="AT61" s="2273">
        <f t="shared" si="201"/>
        <v>3996</v>
      </c>
      <c r="AU61" s="2279">
        <f t="shared" si="201"/>
        <v>3149.0812055591159</v>
      </c>
      <c r="AV61" s="2279">
        <f t="shared" si="201"/>
        <v>3713.0613849912793</v>
      </c>
      <c r="AW61" s="2279">
        <f t="shared" si="201"/>
        <v>3409.6062874211079</v>
      </c>
      <c r="AX61" s="2279">
        <f t="shared" si="201"/>
        <v>4100.5950530779328</v>
      </c>
      <c r="AY61" s="2279"/>
      <c r="AZ61" s="2279"/>
      <c r="BA61" s="2273"/>
      <c r="BB61" s="2279">
        <v>4171.2769500430222</v>
      </c>
      <c r="BC61" s="2296">
        <f>+AT61/BB61-1</f>
        <v>-4.2019974253019621E-2</v>
      </c>
      <c r="BD61" s="2280"/>
      <c r="BE61" s="2273">
        <f>+SUM(C61:F61)</f>
        <v>5482.9760359343272</v>
      </c>
      <c r="BF61" s="2273">
        <f>+SUM(G61:J61)</f>
        <v>5465.7525873389177</v>
      </c>
      <c r="BG61" s="2273">
        <f>+SUM(K61:N61)</f>
        <v>6941.6307812847326</v>
      </c>
      <c r="BH61" s="2273">
        <f>+SUM(O61:R61)</f>
        <v>9603.2333002570031</v>
      </c>
      <c r="BI61" s="2273"/>
      <c r="BJ61" s="2278">
        <f>+SUM(S61:V61)</f>
        <v>13255.432000000001</v>
      </c>
      <c r="BK61" s="2273">
        <f>+SUM(W61:Z61)</f>
        <v>23692.5</v>
      </c>
      <c r="BL61" s="2273">
        <f>+SUM(AA61:AD61)</f>
        <v>26153.199999999997</v>
      </c>
      <c r="BM61" s="2273">
        <f>+SUM(AE61:AH61)</f>
        <v>23193.899999999998</v>
      </c>
      <c r="BN61" s="2273">
        <f>+SUM(AI61:AL61)</f>
        <v>18985.910711864402</v>
      </c>
      <c r="BO61" s="2274">
        <f>+SUM(AM61:AP61)</f>
        <v>15324.367958589632</v>
      </c>
      <c r="BP61" s="2273">
        <f>+SUM(AQ61:AT61)</f>
        <v>14733.486726108351</v>
      </c>
      <c r="BQ61" s="2273">
        <f>+SUM(AU61:AX61)</f>
        <v>14372.343931049436</v>
      </c>
      <c r="BR61" s="2279">
        <f>+BR207</f>
        <v>15015.626996328429</v>
      </c>
      <c r="BS61" s="2279">
        <f>+BS207</f>
        <v>15597.335164195849</v>
      </c>
      <c r="BT61" s="2279">
        <f>+BT207</f>
        <v>16196.419313901954</v>
      </c>
      <c r="BU61" s="2279">
        <f>+BU207</f>
        <v>16773.833652946534</v>
      </c>
    </row>
    <row r="62" spans="2:73" s="2302" customFormat="1" ht="13.5" customHeight="1">
      <c r="B62" s="2314" t="s">
        <v>26</v>
      </c>
      <c r="C62" s="2304">
        <f t="shared" ref="C62:U62" si="202">+C61/C$57</f>
        <v>0.69839986737582793</v>
      </c>
      <c r="D62" s="2304">
        <f t="shared" si="202"/>
        <v>0.69431293633804925</v>
      </c>
      <c r="E62" s="2304">
        <f t="shared" si="202"/>
        <v>0.6902075026604807</v>
      </c>
      <c r="F62" s="2304">
        <f t="shared" si="202"/>
        <v>0.69434820623142535</v>
      </c>
      <c r="G62" s="2304">
        <f t="shared" si="202"/>
        <v>0.6916187515143809</v>
      </c>
      <c r="H62" s="2304">
        <f t="shared" si="202"/>
        <v>0.68492586017650892</v>
      </c>
      <c r="I62" s="2304">
        <f t="shared" si="202"/>
        <v>0.70209187427730479</v>
      </c>
      <c r="J62" s="2304">
        <f t="shared" si="202"/>
        <v>0.68588042839925234</v>
      </c>
      <c r="K62" s="2304">
        <f t="shared" si="202"/>
        <v>0.69921560018523277</v>
      </c>
      <c r="L62" s="2304">
        <f t="shared" si="202"/>
        <v>0.70120566883966129</v>
      </c>
      <c r="M62" s="2304">
        <f t="shared" si="202"/>
        <v>0.70858508801438269</v>
      </c>
      <c r="N62" s="2304">
        <f t="shared" si="202"/>
        <v>0.7062454255205316</v>
      </c>
      <c r="O62" s="2304">
        <f t="shared" si="202"/>
        <v>0.72617244821683813</v>
      </c>
      <c r="P62" s="2304">
        <f t="shared" si="202"/>
        <v>0.71133008787801433</v>
      </c>
      <c r="Q62" s="2304">
        <f t="shared" si="202"/>
        <v>0.73253757713477841</v>
      </c>
      <c r="R62" s="2304">
        <f t="shared" si="202"/>
        <v>0.70846322746339441</v>
      </c>
      <c r="S62" s="2305">
        <f t="shared" si="202"/>
        <v>0.72242526113579064</v>
      </c>
      <c r="T62" s="2304">
        <f t="shared" si="202"/>
        <v>0.71661649101024794</v>
      </c>
      <c r="U62" s="2304">
        <f t="shared" si="202"/>
        <v>0.72160170418561798</v>
      </c>
      <c r="V62" s="2304">
        <f t="shared" ref="V62:Z62" si="203">+V61/V$57</f>
        <v>0.64256046403231659</v>
      </c>
      <c r="W62" s="2305">
        <f t="shared" si="203"/>
        <v>0.6170923117850492</v>
      </c>
      <c r="X62" s="2304">
        <f t="shared" si="203"/>
        <v>0.66003062787136302</v>
      </c>
      <c r="Y62" s="2304">
        <f t="shared" ref="Y62" si="204">+Y61/Y$57</f>
        <v>0.64534766543500166</v>
      </c>
      <c r="Z62" s="2304">
        <f t="shared" si="203"/>
        <v>0.64325306527301984</v>
      </c>
      <c r="AA62" s="2304">
        <f t="shared" ref="AA62:AB62" si="205">+AA61/AA$57</f>
        <v>0.64840824960338439</v>
      </c>
      <c r="AB62" s="2304">
        <f t="shared" si="205"/>
        <v>0.65152565880721214</v>
      </c>
      <c r="AC62" s="2304">
        <f t="shared" ref="AC62:AD62" si="206">+AC61/AC$57</f>
        <v>0.65305994219411068</v>
      </c>
      <c r="AD62" s="2304">
        <f t="shared" si="206"/>
        <v>0.65150474096468336</v>
      </c>
      <c r="AE62" s="2304">
        <f t="shared" ref="AE62:AH62" si="207">+AE61/AE$57</f>
        <v>0.64310033562332647</v>
      </c>
      <c r="AF62" s="2304">
        <f t="shared" si="207"/>
        <v>0.63035484464055891</v>
      </c>
      <c r="AG62" s="2304">
        <f t="shared" ref="AG62" si="208">+AG61/AG$57</f>
        <v>0.641280806779435</v>
      </c>
      <c r="AH62" s="2304">
        <f t="shared" si="207"/>
        <v>0.6378082349997114</v>
      </c>
      <c r="AI62" s="2304">
        <f t="shared" ref="AI62:AK62" si="209">+AI61/AI$57</f>
        <v>0.65920330045627162</v>
      </c>
      <c r="AJ62" s="2304">
        <f t="shared" ref="AJ62" si="210">+AJ61/AJ$57</f>
        <v>0.65421238127402404</v>
      </c>
      <c r="AK62" s="2304">
        <f t="shared" si="209"/>
        <v>0.65266697537839913</v>
      </c>
      <c r="AL62" s="2304">
        <f t="shared" ref="AL62" si="211">+AL61/AL$57</f>
        <v>0.63032630719448401</v>
      </c>
      <c r="AM62" s="2305">
        <f t="shared" ref="AM62:AP62" si="212">+AM61/AM$57</f>
        <v>0.66215861918287067</v>
      </c>
      <c r="AN62" s="2304">
        <f t="shared" si="212"/>
        <v>0.65483531098329795</v>
      </c>
      <c r="AO62" s="2304">
        <f t="shared" si="212"/>
        <v>0.67318464496158215</v>
      </c>
      <c r="AP62" s="2304">
        <f t="shared" si="212"/>
        <v>0.63178010323526912</v>
      </c>
      <c r="AQ62" s="2304">
        <f t="shared" ref="AQ62:AT62" si="213">+AQ61/AQ$57</f>
        <v>0.67415042127307157</v>
      </c>
      <c r="AR62" s="2304">
        <f t="shared" si="213"/>
        <v>0.66432816401167505</v>
      </c>
      <c r="AS62" s="2304">
        <f t="shared" si="213"/>
        <v>0.67231420870234881</v>
      </c>
      <c r="AT62" s="2304">
        <f t="shared" si="213"/>
        <v>0.6452446310350396</v>
      </c>
      <c r="AU62" s="2304">
        <f t="shared" ref="AU62:AX62" si="214">+AU61/AU$57</f>
        <v>0.67415042127307157</v>
      </c>
      <c r="AV62" s="2304">
        <f t="shared" si="214"/>
        <v>0.66432816401167505</v>
      </c>
      <c r="AW62" s="2304">
        <f t="shared" si="214"/>
        <v>0.67231420870234881</v>
      </c>
      <c r="AX62" s="2304">
        <f t="shared" si="214"/>
        <v>0.6452446310350396</v>
      </c>
      <c r="AY62" s="2304"/>
      <c r="AZ62" s="2304"/>
      <c r="BA62" s="2304"/>
      <c r="BB62" s="2304">
        <v>0.6573142087023488</v>
      </c>
      <c r="BC62" s="2306">
        <f>+AT62-BB62</f>
        <v>-1.2069577667309206E-2</v>
      </c>
      <c r="BE62" s="2304">
        <f t="shared" ref="BE62:BK62" si="215">+BE61/BE$57</f>
        <v>0.6941354647340584</v>
      </c>
      <c r="BF62" s="2304">
        <f t="shared" si="215"/>
        <v>0.69075947834894946</v>
      </c>
      <c r="BG62" s="2304">
        <f t="shared" si="215"/>
        <v>0.70453756171949122</v>
      </c>
      <c r="BH62" s="2304">
        <f t="shared" si="215"/>
        <v>0.7185289594384372</v>
      </c>
      <c r="BI62" s="2304"/>
      <c r="BJ62" s="2307">
        <f t="shared" si="215"/>
        <v>0.68161277439033641</v>
      </c>
      <c r="BK62" s="2304">
        <f t="shared" si="215"/>
        <v>0.64169232894298511</v>
      </c>
      <c r="BL62" s="2304">
        <f t="shared" ref="BL62" si="216">+BL61/BL$57</f>
        <v>0.65115051562818993</v>
      </c>
      <c r="BM62" s="2304">
        <f>+BM61/BM$57</f>
        <v>0.63808556997127863</v>
      </c>
      <c r="BN62" s="2304">
        <f>+BN61/BN$57</f>
        <v>0.64965964882054461</v>
      </c>
      <c r="BO62" s="2305">
        <f t="shared" ref="BO62:BP62" si="217">+BO61/BO$57</f>
        <v>0.65396864062611682</v>
      </c>
      <c r="BP62" s="2304">
        <f t="shared" si="217"/>
        <v>0.66314942901787499</v>
      </c>
      <c r="BQ62" s="2304">
        <f t="shared" ref="BQ62" si="218">+BQ61/BQ$57</f>
        <v>0.66271911199040501</v>
      </c>
      <c r="BR62" s="2304">
        <f>+BR61/BR$57</f>
        <v>0.66271911199040501</v>
      </c>
      <c r="BS62" s="2304">
        <f t="shared" ref="BS62:BU62" si="219">+BS61/BS$57</f>
        <v>0.66271911199040501</v>
      </c>
      <c r="BT62" s="2304">
        <f t="shared" si="219"/>
        <v>0.66271911199040501</v>
      </c>
      <c r="BU62" s="2304">
        <f t="shared" si="219"/>
        <v>0.66271911199040501</v>
      </c>
    </row>
    <row r="63" spans="2:73" s="870" customFormat="1" ht="13.5" customHeight="1">
      <c r="B63" s="2297" t="s">
        <v>108</v>
      </c>
      <c r="C63" s="2298"/>
      <c r="D63" s="2298"/>
      <c r="E63" s="2298"/>
      <c r="F63" s="2298"/>
      <c r="G63" s="2298">
        <f>+G61/C61-1</f>
        <v>1.9183035025556183E-2</v>
      </c>
      <c r="H63" s="2298">
        <f t="shared" ref="H63:S63" si="220">+H61/D61-1</f>
        <v>3.5964114120860424E-2</v>
      </c>
      <c r="I63" s="2298">
        <f t="shared" si="220"/>
        <v>-3.0332175417060236E-2</v>
      </c>
      <c r="J63" s="2298">
        <f t="shared" si="220"/>
        <v>-2.8156569207856696E-2</v>
      </c>
      <c r="K63" s="2298">
        <f t="shared" si="220"/>
        <v>3.4262540178763956E-2</v>
      </c>
      <c r="L63" s="2298">
        <f t="shared" si="220"/>
        <v>2.3850027247872996E-2</v>
      </c>
      <c r="M63" s="2298">
        <f t="shared" si="220"/>
        <v>0.25475563154198788</v>
      </c>
      <c r="N63" s="2298">
        <f t="shared" si="220"/>
        <v>0.67504064485326953</v>
      </c>
      <c r="O63" s="2298">
        <f t="shared" si="220"/>
        <v>0.61473504448749683</v>
      </c>
      <c r="P63" s="2298">
        <f t="shared" si="220"/>
        <v>0.55236125869972152</v>
      </c>
      <c r="Q63" s="2298">
        <f t="shared" si="220"/>
        <v>0.416867042012107</v>
      </c>
      <c r="R63" s="2298">
        <f t="shared" si="220"/>
        <v>0.16509289494867807</v>
      </c>
      <c r="S63" s="2299">
        <f t="shared" si="220"/>
        <v>7.9058967756898246E-2</v>
      </c>
      <c r="T63" s="2298">
        <f t="shared" ref="T63:AD63" si="221">+T61/P61-1</f>
        <v>0.10611529409891851</v>
      </c>
      <c r="U63" s="2298">
        <f t="shared" si="221"/>
        <v>5.5535077015779866E-2</v>
      </c>
      <c r="V63" s="2298">
        <f t="shared" si="221"/>
        <v>1.0196737913165133</v>
      </c>
      <c r="W63" s="2299">
        <f t="shared" si="221"/>
        <v>1.202919498684222</v>
      </c>
      <c r="X63" s="2298">
        <f t="shared" si="221"/>
        <v>0.89069652838648139</v>
      </c>
      <c r="Y63" s="2298">
        <f t="shared" si="221"/>
        <v>1.6824909243228152</v>
      </c>
      <c r="Z63" s="2298">
        <f t="shared" si="221"/>
        <v>0.24400348184924869</v>
      </c>
      <c r="AA63" s="2298">
        <f t="shared" si="221"/>
        <v>0.32147091155993346</v>
      </c>
      <c r="AB63" s="2298">
        <f t="shared" si="221"/>
        <v>0.3445584057939588</v>
      </c>
      <c r="AC63" s="2298">
        <f t="shared" si="221"/>
        <v>-7.2573689063383018E-2</v>
      </c>
      <c r="AD63" s="2298">
        <f t="shared" si="221"/>
        <v>-1.7065554015005202E-2</v>
      </c>
      <c r="AE63" s="2298">
        <f t="shared" ref="AE63" si="222">+AE61/AA61-1</f>
        <v>-0.13424241929959058</v>
      </c>
      <c r="AF63" s="2298">
        <f t="shared" ref="AF63:AG63" si="223">+AF61/AB61-1</f>
        <v>-0.11532568903510898</v>
      </c>
      <c r="AG63" s="2298">
        <f t="shared" si="223"/>
        <v>-7.4131682755524397E-2</v>
      </c>
      <c r="AH63" s="2298">
        <f t="shared" ref="AH63" si="224">+AH61/AD61-1</f>
        <v>-0.12641056739084577</v>
      </c>
      <c r="AI63" s="2298">
        <f t="shared" ref="AI63:AJ63" si="225">+AI61/AE61-1</f>
        <v>-9.0849143696893342E-2</v>
      </c>
      <c r="AJ63" s="2298">
        <f t="shared" si="225"/>
        <v>-7.2928629162825831E-2</v>
      </c>
      <c r="AK63" s="2298">
        <f t="shared" ref="AK63:AL63" si="226">+AK61/AG61-1</f>
        <v>-0.15026792982213055</v>
      </c>
      <c r="AL63" s="2298">
        <f t="shared" si="226"/>
        <v>-0.37093877797395391</v>
      </c>
      <c r="AM63" s="2299">
        <f t="shared" ref="AM63" si="227">+AM61/AI61-1</f>
        <v>-0.37194073153041129</v>
      </c>
      <c r="AN63" s="2298">
        <f t="shared" ref="AN63" si="228">+AN61/AJ61-1</f>
        <v>-0.25449451222678288</v>
      </c>
      <c r="AO63" s="2298">
        <f t="shared" ref="AO63" si="229">+AO61/AK61-1</f>
        <v>-0.18009616299198683</v>
      </c>
      <c r="AP63" s="2298">
        <f t="shared" ref="AP63" si="230">+AP61/AL61-1</f>
        <v>7.4629371971405067E-2</v>
      </c>
      <c r="AQ63" s="2298">
        <f t="shared" ref="AQ63" si="231">+AQ61/AM61-1</f>
        <v>0.14402175276614337</v>
      </c>
      <c r="AR63" s="2298">
        <f t="shared" ref="AR63" si="232">+AR61/AN61-1</f>
        <v>-3.4289030147970356E-3</v>
      </c>
      <c r="AS63" s="2298">
        <f t="shared" ref="AS63" si="233">+AS61/AO61-1</f>
        <v>-0.13191940375205269</v>
      </c>
      <c r="AT63" s="2298">
        <f t="shared" ref="AT63" si="234">+AT61/AP61-1</f>
        <v>-0.10797598053441071</v>
      </c>
      <c r="AU63" s="2298">
        <f t="shared" ref="AU63" si="235">+AU61/AQ61-1</f>
        <v>-9.1747444160956149E-2</v>
      </c>
      <c r="AV63" s="2298">
        <f t="shared" ref="AV63" si="236">+AV61/AR61-1</f>
        <v>-1.7266658287780401E-2</v>
      </c>
      <c r="AW63" s="2298">
        <f t="shared" ref="AW63" si="237">+AW61/AS61-1</f>
        <v>-2.359499214744909E-2</v>
      </c>
      <c r="AX63" s="2298">
        <f t="shared" ref="AX63" si="238">+AX61/AT61-1</f>
        <v>2.617493820769079E-2</v>
      </c>
      <c r="AY63" s="2298"/>
      <c r="AZ63" s="2298"/>
      <c r="BA63" s="2298"/>
      <c r="BB63" s="2298">
        <v>-6.8849041220835683E-2</v>
      </c>
      <c r="BC63" s="2300"/>
      <c r="BE63" s="2298"/>
      <c r="BF63" s="2298">
        <f t="shared" ref="BF63:BQ63" si="239">+BF61/BE61-1</f>
        <v>-3.1412591414827773E-3</v>
      </c>
      <c r="BG63" s="2298">
        <f t="shared" si="239"/>
        <v>0.27002286882955451</v>
      </c>
      <c r="BH63" s="2298">
        <f t="shared" si="239"/>
        <v>0.38342611453034814</v>
      </c>
      <c r="BI63" s="2298"/>
      <c r="BJ63" s="2301">
        <f>+BJ61/BH61-1</f>
        <v>0.38030927559005123</v>
      </c>
      <c r="BK63" s="2298">
        <f>+BK61/BJ61-1</f>
        <v>0.78738044901139381</v>
      </c>
      <c r="BL63" s="2298">
        <f t="shared" si="239"/>
        <v>0.10385987126727847</v>
      </c>
      <c r="BM63" s="2298">
        <f t="shared" si="239"/>
        <v>-0.11315250141474087</v>
      </c>
      <c r="BN63" s="2298">
        <f t="shared" si="239"/>
        <v>-0.18142655129734953</v>
      </c>
      <c r="BO63" s="2299">
        <f t="shared" si="239"/>
        <v>-0.19285578705406281</v>
      </c>
      <c r="BP63" s="2298">
        <f t="shared" si="239"/>
        <v>-3.855827751447849E-2</v>
      </c>
      <c r="BQ63" s="2298">
        <f t="shared" si="239"/>
        <v>-2.4511699217738769E-2</v>
      </c>
      <c r="BR63" s="2298">
        <f t="shared" ref="BR63" si="240">+BR61/BQ61-1</f>
        <v>4.4758396289784619E-2</v>
      </c>
      <c r="BS63" s="2298">
        <f t="shared" ref="BS63" si="241">+BS61/BR61-1</f>
        <v>3.8740185009234596E-2</v>
      </c>
      <c r="BT63" s="2298">
        <f t="shared" ref="BT63" si="242">+BT61/BS61-1</f>
        <v>3.840939130944121E-2</v>
      </c>
      <c r="BU63" s="2298">
        <f t="shared" ref="BU63" si="243">+BU61/BT61-1</f>
        <v>3.5650740318198926E-2</v>
      </c>
    </row>
    <row r="64" spans="2:73" ht="13.5" customHeight="1">
      <c r="B64" s="94"/>
      <c r="C64" s="84"/>
      <c r="D64" s="84"/>
      <c r="E64" s="84"/>
      <c r="F64" s="84"/>
      <c r="G64" s="84"/>
      <c r="H64" s="84"/>
      <c r="I64" s="84"/>
      <c r="J64" s="84"/>
      <c r="K64" s="84"/>
      <c r="L64" s="84"/>
      <c r="M64" s="84"/>
      <c r="N64" s="84"/>
      <c r="O64" s="84"/>
      <c r="P64" s="84"/>
      <c r="Q64" s="84"/>
      <c r="R64" s="84"/>
      <c r="S64" s="1801"/>
      <c r="T64" s="84"/>
      <c r="U64" s="84"/>
      <c r="V64" s="84"/>
      <c r="W64" s="1801"/>
      <c r="X64" s="84"/>
      <c r="Y64" s="84"/>
      <c r="Z64" s="84"/>
      <c r="AA64" s="84"/>
      <c r="AB64" s="84"/>
      <c r="AC64" s="84"/>
      <c r="AD64" s="84"/>
      <c r="AE64" s="84"/>
      <c r="AF64" s="84"/>
      <c r="AG64" s="84"/>
      <c r="AH64" s="84"/>
      <c r="AI64" s="84"/>
      <c r="AJ64" s="84"/>
      <c r="AK64" s="84"/>
      <c r="AL64" s="84"/>
      <c r="AM64" s="1801"/>
      <c r="AN64" s="84"/>
      <c r="AO64" s="84"/>
      <c r="AP64" s="84"/>
      <c r="AQ64" s="84"/>
      <c r="AR64" s="84"/>
      <c r="AS64" s="84"/>
      <c r="AT64" s="84"/>
      <c r="AU64" s="84"/>
      <c r="AV64" s="84"/>
      <c r="AW64" s="84"/>
      <c r="AX64" s="84"/>
      <c r="AY64" s="84"/>
      <c r="AZ64" s="84"/>
      <c r="BA64" s="84"/>
      <c r="BB64" s="84"/>
      <c r="BC64" s="2184"/>
      <c r="BE64" s="84"/>
      <c r="BF64" s="84"/>
      <c r="BG64" s="84"/>
      <c r="BH64" s="84"/>
      <c r="BI64" s="84"/>
      <c r="BJ64" s="1999"/>
      <c r="BK64" s="84"/>
      <c r="BL64" s="84"/>
      <c r="BM64" s="84"/>
      <c r="BN64" s="84"/>
      <c r="BO64" s="1801"/>
      <c r="BP64" s="84"/>
      <c r="BQ64" s="84"/>
      <c r="BR64" s="84"/>
      <c r="BS64" s="84"/>
      <c r="BT64" s="84"/>
      <c r="BU64" s="84"/>
    </row>
    <row r="65" spans="2:73" s="85" customFormat="1" ht="13.5" customHeight="1">
      <c r="B65" s="78" t="s">
        <v>120</v>
      </c>
      <c r="C65" s="79">
        <f t="shared" ref="C65:AL65" si="244">+C70+C74+C79+C80+C81+C83+C89</f>
        <v>-860.73290225763424</v>
      </c>
      <c r="D65" s="79">
        <f t="shared" si="244"/>
        <v>-982.06022290246324</v>
      </c>
      <c r="E65" s="79">
        <f t="shared" si="244"/>
        <v>-977.98515456005362</v>
      </c>
      <c r="F65" s="79">
        <f t="shared" si="244"/>
        <v>-1166.2977562141768</v>
      </c>
      <c r="G65" s="79">
        <f t="shared" si="244"/>
        <v>-951.63184206038864</v>
      </c>
      <c r="H65" s="79">
        <f t="shared" si="244"/>
        <v>-1042.6997183958561</v>
      </c>
      <c r="I65" s="79">
        <f t="shared" si="244"/>
        <v>-986.85300000000007</v>
      </c>
      <c r="J65" s="79">
        <f t="shared" si="244"/>
        <v>-1111.7725358015691</v>
      </c>
      <c r="K65" s="79">
        <f t="shared" si="244"/>
        <v>-844.10425907547005</v>
      </c>
      <c r="L65" s="79">
        <f t="shared" si="244"/>
        <v>-1121.8873952630247</v>
      </c>
      <c r="M65" s="79">
        <f t="shared" si="244"/>
        <v>-1225.7288894126111</v>
      </c>
      <c r="N65" s="79">
        <f t="shared" si="244"/>
        <v>-2007.9456646162914</v>
      </c>
      <c r="O65" s="79">
        <f t="shared" si="244"/>
        <v>-1632.823378297102</v>
      </c>
      <c r="P65" s="79">
        <f t="shared" si="244"/>
        <v>-1870.7117651396788</v>
      </c>
      <c r="Q65" s="79">
        <f t="shared" si="244"/>
        <v>-1891.8055037632939</v>
      </c>
      <c r="R65" s="79">
        <f t="shared" si="244"/>
        <v>-2356.9772619300425</v>
      </c>
      <c r="S65" s="1803">
        <f t="shared" si="244"/>
        <v>-1656.9</v>
      </c>
      <c r="T65" s="79">
        <f t="shared" si="244"/>
        <v>-1881.6000000000004</v>
      </c>
      <c r="U65" s="79">
        <f t="shared" si="244"/>
        <v>-1958.4000000000003</v>
      </c>
      <c r="V65" s="79">
        <f t="shared" si="244"/>
        <v>-2445.6999999999998</v>
      </c>
      <c r="W65" s="1803">
        <f t="shared" si="244"/>
        <v>-4494.1000000000004</v>
      </c>
      <c r="X65" s="79">
        <f t="shared" si="244"/>
        <v>-3959.8000000000015</v>
      </c>
      <c r="Y65" s="79">
        <f t="shared" si="244"/>
        <v>-5267.1</v>
      </c>
      <c r="Z65" s="79">
        <f t="shared" si="244"/>
        <v>-6462.9</v>
      </c>
      <c r="AA65" s="79">
        <f t="shared" si="244"/>
        <v>-5301.5000000000009</v>
      </c>
      <c r="AB65" s="79">
        <f t="shared" si="244"/>
        <v>-5570.9000000000005</v>
      </c>
      <c r="AC65" s="79">
        <f t="shared" si="244"/>
        <v>-5282.2</v>
      </c>
      <c r="AD65" s="79">
        <f t="shared" si="244"/>
        <v>-6088.7</v>
      </c>
      <c r="AE65" s="79">
        <f t="shared" si="244"/>
        <v>-4791.9000000000005</v>
      </c>
      <c r="AF65" s="79">
        <f t="shared" si="244"/>
        <v>-4994.8</v>
      </c>
      <c r="AG65" s="79">
        <f t="shared" si="244"/>
        <v>-5184.5999999999985</v>
      </c>
      <c r="AH65" s="79">
        <f t="shared" si="244"/>
        <v>-6089.0999999999995</v>
      </c>
      <c r="AI65" s="79">
        <f t="shared" si="244"/>
        <v>-4194.6000000000004</v>
      </c>
      <c r="AJ65" s="79">
        <f t="shared" si="244"/>
        <v>-4629.8300000000008</v>
      </c>
      <c r="AK65" s="79">
        <f t="shared" si="244"/>
        <v>-4415.7250960000001</v>
      </c>
      <c r="AL65" s="79">
        <f t="shared" si="244"/>
        <v>-4224.3</v>
      </c>
      <c r="AM65" s="1813">
        <f t="shared" ref="AM65:AX65" si="245">+AM70+AM74+AM79+AM80+AM81+AM83</f>
        <v>-2595.1999999999998</v>
      </c>
      <c r="AN65" s="87">
        <f t="shared" si="245"/>
        <v>-3323.4999999999995</v>
      </c>
      <c r="AO65" s="87">
        <f t="shared" si="245"/>
        <v>-3591.7160112746151</v>
      </c>
      <c r="AP65" s="87">
        <f t="shared" si="245"/>
        <v>-4912.3999999999996</v>
      </c>
      <c r="AQ65" s="87">
        <f t="shared" si="245"/>
        <v>-3035.0000000000005</v>
      </c>
      <c r="AR65" s="87">
        <f t="shared" si="245"/>
        <v>-3331.7999999999997</v>
      </c>
      <c r="AS65" s="87">
        <f t="shared" si="245"/>
        <v>-3267.1</v>
      </c>
      <c r="AT65" s="87">
        <f t="shared" si="245"/>
        <v>-3793</v>
      </c>
      <c r="AU65" s="87">
        <f t="shared" si="245"/>
        <v>-2715.9783910938422</v>
      </c>
      <c r="AV65" s="87">
        <f t="shared" si="245"/>
        <v>-3350.8459593295233</v>
      </c>
      <c r="AW65" s="87">
        <f t="shared" si="245"/>
        <v>-3075.7197106919753</v>
      </c>
      <c r="AX65" s="87">
        <f t="shared" si="245"/>
        <v>-3513.2291056592994</v>
      </c>
      <c r="AY65" s="87"/>
      <c r="AZ65" s="87"/>
      <c r="BA65" s="79"/>
      <c r="BB65" s="87">
        <v>-3834.2685846573872</v>
      </c>
      <c r="BC65" s="2185">
        <f>+AT65/BB65-1</f>
        <v>-1.0763091772579836E-2</v>
      </c>
      <c r="BD65" s="978"/>
      <c r="BE65" s="80">
        <f>+SUM(C65:F65)</f>
        <v>-3987.076035934328</v>
      </c>
      <c r="BF65" s="80">
        <f>+SUM(G65:J65)</f>
        <v>-4092.9570962578141</v>
      </c>
      <c r="BG65" s="80">
        <f>+SUM(K65:N65)</f>
        <v>-5199.6662083673973</v>
      </c>
      <c r="BH65" s="80">
        <f>+SUM(O65:R65)</f>
        <v>-7752.3179091301172</v>
      </c>
      <c r="BI65" s="80"/>
      <c r="BJ65" s="2000">
        <f>+SUM(S65:V65)</f>
        <v>-7942.6</v>
      </c>
      <c r="BK65" s="80">
        <f>+SUM(W65:Z65)</f>
        <v>-20183.900000000001</v>
      </c>
      <c r="BL65" s="80">
        <f>+SUM(AA65:AD65)</f>
        <v>-22243.300000000003</v>
      </c>
      <c r="BM65" s="80">
        <f>+SUM(AE65:AH65)</f>
        <v>-21060.399999999998</v>
      </c>
      <c r="BN65" s="80">
        <f>+SUM(AI65:AL65)</f>
        <v>-17464.455096000002</v>
      </c>
      <c r="BO65" s="1795">
        <f>+SUM(AM65:AP65)</f>
        <v>-14422.816011274614</v>
      </c>
      <c r="BP65" s="80">
        <f>+SUM(AQ65:AT65)</f>
        <v>-13426.9</v>
      </c>
      <c r="BQ65" s="87">
        <f t="shared" ref="BQ65:BU65" si="246">+BQ70+BQ74+BQ79+BQ80+BQ81+BQ83</f>
        <v>-12655.773166774641</v>
      </c>
      <c r="BR65" s="87">
        <f t="shared" si="246"/>
        <v>-13119.013986090806</v>
      </c>
      <c r="BS65" s="87">
        <f t="shared" si="246"/>
        <v>-13643.651114358305</v>
      </c>
      <c r="BT65" s="87">
        <f t="shared" si="246"/>
        <v>-14132.478522549671</v>
      </c>
      <c r="BU65" s="87">
        <f t="shared" si="246"/>
        <v>-14610.249140606433</v>
      </c>
    </row>
    <row r="66" spans="2:73" s="93" customFormat="1" ht="13.5" customHeight="1">
      <c r="B66" s="96" t="s">
        <v>274</v>
      </c>
      <c r="C66" s="84">
        <f t="shared" ref="C66:T66" si="247">+C65/C$57</f>
        <v>-0.52426172631114276</v>
      </c>
      <c r="D66" s="84">
        <f t="shared" si="247"/>
        <v>-0.50912967126469133</v>
      </c>
      <c r="E66" s="84">
        <f t="shared" si="247"/>
        <v>-0.48999707127614289</v>
      </c>
      <c r="F66" s="84">
        <f t="shared" si="247"/>
        <v>-0.50004191228527561</v>
      </c>
      <c r="G66" s="84">
        <f t="shared" si="247"/>
        <v>-0.56319545242097602</v>
      </c>
      <c r="H66" s="84">
        <f t="shared" si="247"/>
        <v>-0.5147461870072485</v>
      </c>
      <c r="I66" s="84">
        <f t="shared" si="247"/>
        <v>-0.51868653421633559</v>
      </c>
      <c r="J66" s="84">
        <f t="shared" si="247"/>
        <v>-0.48449321323321209</v>
      </c>
      <c r="K66" s="84">
        <f t="shared" si="247"/>
        <v>-0.48831472447803503</v>
      </c>
      <c r="L66" s="84">
        <f t="shared" si="247"/>
        <v>-0.55379452657762807</v>
      </c>
      <c r="M66" s="84">
        <f t="shared" si="247"/>
        <v>-0.51818619407747712</v>
      </c>
      <c r="N66" s="84">
        <f t="shared" si="247"/>
        <v>-0.53790502414109442</v>
      </c>
      <c r="O66" s="84">
        <f t="shared" si="247"/>
        <v>-0.60753363307789177</v>
      </c>
      <c r="P66" s="84">
        <f t="shared" si="247"/>
        <v>-0.60344713913986014</v>
      </c>
      <c r="Q66" s="84">
        <f t="shared" si="247"/>
        <v>-0.58354815651502479</v>
      </c>
      <c r="R66" s="84">
        <f t="shared" si="247"/>
        <v>-0.54363842879039459</v>
      </c>
      <c r="S66" s="1801">
        <f t="shared" si="247"/>
        <v>-0.56837555528875017</v>
      </c>
      <c r="T66" s="84">
        <f t="shared" si="247"/>
        <v>-0.55280871543366383</v>
      </c>
      <c r="U66" s="84">
        <f t="shared" ref="U66:Z66" si="248">+U65/U$57</f>
        <v>-0.56376302608094886</v>
      </c>
      <c r="V66" s="84">
        <f t="shared" si="248"/>
        <v>-0.25332228494484438</v>
      </c>
      <c r="W66" s="1801">
        <f t="shared" si="248"/>
        <v>-0.59777866453844108</v>
      </c>
      <c r="X66" s="84">
        <f t="shared" si="248"/>
        <v>-0.56673011692977082</v>
      </c>
      <c r="Y66" s="84">
        <f t="shared" ref="Y66" si="249">+Y65/Y$57</f>
        <v>-0.50550410288401548</v>
      </c>
      <c r="Z66" s="84">
        <f t="shared" si="248"/>
        <v>-0.53869620664649542</v>
      </c>
      <c r="AA66" s="84">
        <f t="shared" ref="AA66:AB66" si="250">+AA65/AA$57</f>
        <v>-0.56070861977789543</v>
      </c>
      <c r="AB66" s="84">
        <f t="shared" si="250"/>
        <v>-0.5853507334089858</v>
      </c>
      <c r="AC66" s="84">
        <f t="shared" ref="AC66:AD66" si="251">+AC65/AC$57</f>
        <v>-0.55315628534327488</v>
      </c>
      <c r="AD66" s="84">
        <f t="shared" si="251"/>
        <v>-0.52294042874811053</v>
      </c>
      <c r="AE66" s="84">
        <f t="shared" ref="AE66:AH66" si="252">+AE65/AE$57</f>
        <v>-0.58060412198756872</v>
      </c>
      <c r="AF66" s="84">
        <f t="shared" si="252"/>
        <v>-0.57395660967089546</v>
      </c>
      <c r="AG66" s="84">
        <f t="shared" ref="AG66" si="253">+AG65/AG$57</f>
        <v>-0.5758299365816274</v>
      </c>
      <c r="AH66" s="84">
        <f t="shared" si="252"/>
        <v>-0.58606517931047752</v>
      </c>
      <c r="AI66" s="84">
        <f t="shared" ref="AI66:AL66" si="254">+AI65/AI$57</f>
        <v>-0.57301713067948978</v>
      </c>
      <c r="AJ66" s="84">
        <f t="shared" ref="AJ66" si="255">+AJ65/AJ$57</f>
        <v>-0.59558876619551548</v>
      </c>
      <c r="AK66" s="84">
        <f t="shared" si="254"/>
        <v>-0.58741143828849374</v>
      </c>
      <c r="AL66" s="84">
        <f t="shared" si="254"/>
        <v>-0.63874860132458344</v>
      </c>
      <c r="AM66" s="1801">
        <f t="shared" ref="AM66:AP66" si="256">+AM65/AM$57</f>
        <v>-0.56700895783264127</v>
      </c>
      <c r="AN66" s="84">
        <f t="shared" si="256"/>
        <v>-0.57403665129454029</v>
      </c>
      <c r="AO66" s="84">
        <f t="shared" si="256"/>
        <v>-0.60106578339129346</v>
      </c>
      <c r="AP66" s="84">
        <f t="shared" si="256"/>
        <v>-0.69280455814740638</v>
      </c>
      <c r="AQ66" s="84">
        <f t="shared" ref="AQ66:AT66" si="257">+AQ65/AQ$57</f>
        <v>-0.59011720169461479</v>
      </c>
      <c r="AR66" s="84">
        <f t="shared" si="257"/>
        <v>-0.58582128916552378</v>
      </c>
      <c r="AS66" s="84">
        <f t="shared" si="257"/>
        <v>-0.62901424720831722</v>
      </c>
      <c r="AT66" s="84">
        <f t="shared" si="257"/>
        <v>-0.61246568706604232</v>
      </c>
      <c r="AU66" s="84">
        <f t="shared" ref="AU66:AX66" si="258">+AU65/AU$57</f>
        <v>-0.58143244235563774</v>
      </c>
      <c r="AV66" s="84">
        <f t="shared" si="258"/>
        <v>-0.59952182666448173</v>
      </c>
      <c r="AW66" s="84">
        <f t="shared" si="258"/>
        <v>-0.60647766609092368</v>
      </c>
      <c r="AX66" s="84">
        <f t="shared" si="258"/>
        <v>-0.55282030746273103</v>
      </c>
      <c r="AY66" s="84"/>
      <c r="AZ66" s="84"/>
      <c r="BA66" s="84"/>
      <c r="BB66" s="84">
        <v>-0.60420807605458826</v>
      </c>
      <c r="BC66" s="2184">
        <f>+AT66-BB66</f>
        <v>-8.257611011454058E-3</v>
      </c>
      <c r="BE66" s="84">
        <f t="shared" ref="BE66:BK66" si="259">+BE65/BE$57</f>
        <v>-0.50475706240464968</v>
      </c>
      <c r="BF66" s="84">
        <f t="shared" si="259"/>
        <v>-0.5172661703101652</v>
      </c>
      <c r="BG66" s="84">
        <f t="shared" si="259"/>
        <v>-0.52773768407204114</v>
      </c>
      <c r="BH66" s="84">
        <f t="shared" si="259"/>
        <v>-0.5800405703289695</v>
      </c>
      <c r="BI66" s="84"/>
      <c r="BJ66" s="1999">
        <f t="shared" si="259"/>
        <v>-0.4084195537250454</v>
      </c>
      <c r="BK66" s="84">
        <f t="shared" si="259"/>
        <v>-0.54666471660450855</v>
      </c>
      <c r="BL66" s="84">
        <f t="shared" ref="BL66:BR66" si="260">+BL65/BL$57</f>
        <v>-0.55380359819343417</v>
      </c>
      <c r="BM66" s="84">
        <f t="shared" si="260"/>
        <v>-0.579391018234239</v>
      </c>
      <c r="BN66" s="84">
        <f t="shared" si="260"/>
        <v>-0.59759850010352056</v>
      </c>
      <c r="BO66" s="1801">
        <f t="shared" si="260"/>
        <v>-0.61549483844173658</v>
      </c>
      <c r="BP66" s="84">
        <f t="shared" si="260"/>
        <v>-0.60434038690256353</v>
      </c>
      <c r="BQ66" s="84">
        <f t="shared" ref="BQ66" si="261">+BQ65/BQ$57</f>
        <v>-0.58356679988136573</v>
      </c>
      <c r="BR66" s="84">
        <f t="shared" si="260"/>
        <v>-0.57901153919031711</v>
      </c>
      <c r="BS66" s="84">
        <f t="shared" ref="BS66:BU66" si="262">+BS65/BS$57</f>
        <v>-0.57970853710769821</v>
      </c>
      <c r="BT66" s="84">
        <f t="shared" si="262"/>
        <v>-0.57826754390388868</v>
      </c>
      <c r="BU66" s="84">
        <f t="shared" si="262"/>
        <v>-0.57723782986964467</v>
      </c>
    </row>
    <row r="67" spans="2:73" ht="13.5" customHeight="1">
      <c r="B67" s="94" t="s">
        <v>108</v>
      </c>
      <c r="C67" s="84"/>
      <c r="D67" s="84"/>
      <c r="E67" s="84"/>
      <c r="F67" s="84"/>
      <c r="G67" s="84">
        <f t="shared" ref="G67:AD67" si="263">+G65/C65-1</f>
        <v>0.10560644256114027</v>
      </c>
      <c r="H67" s="84">
        <f t="shared" si="263"/>
        <v>6.1747226981837988E-2</v>
      </c>
      <c r="I67" s="84">
        <f t="shared" si="263"/>
        <v>9.0674642642563086E-3</v>
      </c>
      <c r="J67" s="84">
        <f t="shared" si="263"/>
        <v>-4.6750686196634361E-2</v>
      </c>
      <c r="K67" s="84">
        <f t="shared" si="263"/>
        <v>-0.11299283844066144</v>
      </c>
      <c r="L67" s="84">
        <f t="shared" si="263"/>
        <v>7.5944853029206838E-2</v>
      </c>
      <c r="M67" s="84">
        <f t="shared" si="263"/>
        <v>0.24205822894859819</v>
      </c>
      <c r="N67" s="84">
        <f t="shared" si="263"/>
        <v>0.80607597323727442</v>
      </c>
      <c r="O67" s="84">
        <f t="shared" si="263"/>
        <v>0.93438590167226465</v>
      </c>
      <c r="P67" s="84">
        <f t="shared" si="263"/>
        <v>0.66746838679036369</v>
      </c>
      <c r="Q67" s="84">
        <f t="shared" si="263"/>
        <v>0.54341267477988331</v>
      </c>
      <c r="R67" s="84">
        <f t="shared" si="263"/>
        <v>0.17382522020607039</v>
      </c>
      <c r="S67" s="1801">
        <f t="shared" si="263"/>
        <v>1.4745392565366222E-2</v>
      </c>
      <c r="T67" s="84">
        <f>+T65/P65-1</f>
        <v>5.8203701196632984E-3</v>
      </c>
      <c r="U67" s="84">
        <f>+U65/Q65-1</f>
        <v>3.520155539469183E-2</v>
      </c>
      <c r="V67" s="84">
        <f>+V65/R65-1</f>
        <v>3.7642593971104032E-2</v>
      </c>
      <c r="W67" s="1801">
        <f>+W65/S65-1</f>
        <v>1.7123543967650434</v>
      </c>
      <c r="X67" s="84">
        <f t="shared" si="263"/>
        <v>1.1044855442176873</v>
      </c>
      <c r="Y67" s="84">
        <f t="shared" si="263"/>
        <v>1.6894914215686274</v>
      </c>
      <c r="Z67" s="84">
        <f t="shared" si="263"/>
        <v>1.64255632334301</v>
      </c>
      <c r="AA67" s="84">
        <f t="shared" si="263"/>
        <v>0.17965777352528889</v>
      </c>
      <c r="AB67" s="84">
        <f t="shared" si="263"/>
        <v>0.4068639830294456</v>
      </c>
      <c r="AC67" s="84">
        <f t="shared" si="263"/>
        <v>2.8668527273072453E-3</v>
      </c>
      <c r="AD67" s="84">
        <f t="shared" si="263"/>
        <v>-5.7899704467034852E-2</v>
      </c>
      <c r="AE67" s="84">
        <f t="shared" ref="AE67:AH67" si="264">+AE65/AA65-1</f>
        <v>-9.6123738564557248E-2</v>
      </c>
      <c r="AF67" s="84">
        <f t="shared" si="264"/>
        <v>-0.10341237502019429</v>
      </c>
      <c r="AG67" s="84">
        <f t="shared" si="264"/>
        <v>-1.8477149672485149E-2</v>
      </c>
      <c r="AH67" s="84">
        <f t="shared" si="264"/>
        <v>6.569546865509146E-5</v>
      </c>
      <c r="AI67" s="84">
        <f t="shared" ref="AI67:AJ67" si="265">+AI65/AE65-1</f>
        <v>-0.12464784323545985</v>
      </c>
      <c r="AJ67" s="84">
        <f t="shared" si="265"/>
        <v>-7.3069992792504035E-2</v>
      </c>
      <c r="AK67" s="84">
        <f t="shared" ref="AK67" si="266">+AK65/AG65-1</f>
        <v>-0.14829975388650973</v>
      </c>
      <c r="AL67" s="84">
        <f t="shared" ref="AL67" si="267">+AL65/AH65-1</f>
        <v>-0.30625215549095919</v>
      </c>
      <c r="AM67" s="1801">
        <f t="shared" ref="AM67" si="268">+AM65/AI65-1</f>
        <v>-0.3812997663662806</v>
      </c>
      <c r="AN67" s="84">
        <f t="shared" ref="AN67" si="269">+AN65/AJ65-1</f>
        <v>-0.28215506832864301</v>
      </c>
      <c r="AO67" s="84">
        <f t="shared" ref="AO67" si="270">+AO65/AK65-1</f>
        <v>-0.18660787680641999</v>
      </c>
      <c r="AP67" s="84">
        <f t="shared" ref="AP67" si="271">+AP65/AL65-1</f>
        <v>0.16289089316573135</v>
      </c>
      <c r="AQ67" s="84">
        <f t="shared" ref="AQ67" si="272">+AQ65/AM65-1</f>
        <v>0.16946670776818773</v>
      </c>
      <c r="AR67" s="84">
        <f t="shared" ref="AR67" si="273">+AR65/AN65-1</f>
        <v>2.4973672333383767E-3</v>
      </c>
      <c r="AS67" s="84">
        <f t="shared" ref="AS67" si="274">+AS65/AO65-1</f>
        <v>-9.0379086279545939E-2</v>
      </c>
      <c r="AT67" s="84">
        <f t="shared" ref="AT67" si="275">+AT65/AP65-1</f>
        <v>-0.22787232310072469</v>
      </c>
      <c r="AU67" s="84">
        <f t="shared" ref="AU67" si="276">+AU65/AQ65-1</f>
        <v>-0.10511420392295168</v>
      </c>
      <c r="AV67" s="84">
        <f t="shared" ref="AV67" si="277">+AV65/AR65-1</f>
        <v>5.7164173508383875E-3</v>
      </c>
      <c r="AW67" s="84">
        <f t="shared" ref="AW67" si="278">+AW65/AS65-1</f>
        <v>-5.8578032294090976E-2</v>
      </c>
      <c r="AX67" s="84">
        <f t="shared" ref="AX67" si="279">+AX65/AT65-1</f>
        <v>-7.3759792865990104E-2</v>
      </c>
      <c r="AY67" s="84"/>
      <c r="AZ67" s="84"/>
      <c r="BA67" s="84"/>
      <c r="BB67" s="84">
        <v>-0.21947142238877382</v>
      </c>
      <c r="BC67" s="2184"/>
      <c r="BE67" s="84"/>
      <c r="BF67" s="84">
        <f t="shared" ref="BF67:BQ67" si="280">+BF65/BE65-1</f>
        <v>2.6556067496383617E-2</v>
      </c>
      <c r="BG67" s="84">
        <f t="shared" si="280"/>
        <v>0.27039352870848465</v>
      </c>
      <c r="BH67" s="84">
        <f t="shared" si="280"/>
        <v>0.49092607072641448</v>
      </c>
      <c r="BI67" s="84"/>
      <c r="BJ67" s="1999">
        <f>+BJ65/BH65-1</f>
        <v>2.4545186755793758E-2</v>
      </c>
      <c r="BK67" s="84">
        <f>+BK65/BJ65-1</f>
        <v>1.5412207589454336</v>
      </c>
      <c r="BL67" s="84">
        <f t="shared" si="280"/>
        <v>0.10203181743865164</v>
      </c>
      <c r="BM67" s="84">
        <f t="shared" si="280"/>
        <v>-5.3180058714309753E-2</v>
      </c>
      <c r="BN67" s="84">
        <f t="shared" si="280"/>
        <v>-0.17074437826442024</v>
      </c>
      <c r="BO67" s="1801">
        <f t="shared" si="280"/>
        <v>-0.17416169402399706</v>
      </c>
      <c r="BP67" s="84">
        <f t="shared" si="280"/>
        <v>-6.9051425914057663E-2</v>
      </c>
      <c r="BQ67" s="84">
        <f t="shared" si="280"/>
        <v>-5.7431487031657236E-2</v>
      </c>
      <c r="BR67" s="84">
        <f t="shared" ref="BR67" si="281">+BR65/BQ65-1</f>
        <v>3.6603122797137067E-2</v>
      </c>
      <c r="BS67" s="84">
        <f t="shared" ref="BS67" si="282">+BS65/BR65-1</f>
        <v>3.9990591428878508E-2</v>
      </c>
      <c r="BT67" s="84">
        <f t="shared" ref="BT67" si="283">+BT65/BS65-1</f>
        <v>3.5828196140029744E-2</v>
      </c>
      <c r="BU67" s="84">
        <f t="shared" ref="BU67" si="284">+BU65/BT65-1</f>
        <v>3.3806569547898846E-2</v>
      </c>
    </row>
    <row r="68" spans="2:73" ht="13.5" customHeight="1">
      <c r="B68" s="94"/>
      <c r="C68" s="84"/>
      <c r="D68" s="84"/>
      <c r="E68" s="84"/>
      <c r="F68" s="84"/>
      <c r="G68" s="84"/>
      <c r="H68" s="84"/>
      <c r="I68" s="84"/>
      <c r="J68" s="84"/>
      <c r="K68" s="84"/>
      <c r="L68" s="84"/>
      <c r="M68" s="84"/>
      <c r="N68" s="84"/>
      <c r="O68" s="84"/>
      <c r="P68" s="84"/>
      <c r="Q68" s="84"/>
      <c r="R68" s="84"/>
      <c r="S68" s="1801"/>
      <c r="T68" s="84">
        <f>+T66-P66</f>
        <v>5.0638423706196312E-2</v>
      </c>
      <c r="U68" s="84">
        <f>+U66-Q66</f>
        <v>1.9785130434075926E-2</v>
      </c>
      <c r="V68" s="84">
        <f>+V66-R66</f>
        <v>0.29031614384555021</v>
      </c>
      <c r="W68" s="1801">
        <f t="shared" ref="W68:AD68" si="285">+W66-S66</f>
        <v>-2.9403109249690917E-2</v>
      </c>
      <c r="X68" s="84">
        <f t="shared" si="285"/>
        <v>-1.3921401496106989E-2</v>
      </c>
      <c r="Y68" s="84">
        <f t="shared" si="285"/>
        <v>5.8258923196933377E-2</v>
      </c>
      <c r="Z68" s="84">
        <f t="shared" si="285"/>
        <v>-0.28537392170165105</v>
      </c>
      <c r="AA68" s="84">
        <f t="shared" si="285"/>
        <v>3.7070044760545651E-2</v>
      </c>
      <c r="AB68" s="84">
        <f t="shared" si="285"/>
        <v>-1.862061647921498E-2</v>
      </c>
      <c r="AC68" s="84">
        <f t="shared" si="285"/>
        <v>-4.7652182459259396E-2</v>
      </c>
      <c r="AD68" s="84">
        <f t="shared" si="285"/>
        <v>1.5755777898384893E-2</v>
      </c>
      <c r="AE68" s="84">
        <f t="shared" ref="AE68" si="286">+AE66-AA66</f>
        <v>-1.9895502209673288E-2</v>
      </c>
      <c r="AF68" s="84">
        <f t="shared" ref="AF68:AG68" si="287">+AF66-AB66</f>
        <v>1.1394123738090345E-2</v>
      </c>
      <c r="AG68" s="84">
        <f t="shared" si="287"/>
        <v>-2.2673651238352521E-2</v>
      </c>
      <c r="AH68" s="84">
        <f t="shared" ref="AH68" si="288">+AH66-AD66</f>
        <v>-6.3124750562366994E-2</v>
      </c>
      <c r="AI68" s="84">
        <f t="shared" ref="AI68:AJ68" si="289">+AI66-AE66</f>
        <v>7.5869913080789386E-3</v>
      </c>
      <c r="AJ68" s="84">
        <f t="shared" si="289"/>
        <v>-2.1632156524620028E-2</v>
      </c>
      <c r="AK68" s="84">
        <f t="shared" ref="AK68" si="290">+AK66-AG66</f>
        <v>-1.1581501706866337E-2</v>
      </c>
      <c r="AL68" s="84">
        <f t="shared" ref="AL68" si="291">+AL66-AH66</f>
        <v>-5.2683422014105918E-2</v>
      </c>
      <c r="AM68" s="1801">
        <f t="shared" ref="AM68" si="292">+AM66-AI66</f>
        <v>6.008172846848514E-3</v>
      </c>
      <c r="AN68" s="84">
        <f t="shared" ref="AN68" si="293">+AN66-AJ66</f>
        <v>2.1552114900975194E-2</v>
      </c>
      <c r="AO68" s="84">
        <f t="shared" ref="AO68" si="294">+AO66-AK66</f>
        <v>-1.3654345102799725E-2</v>
      </c>
      <c r="AP68" s="84">
        <f t="shared" ref="AP68" si="295">+AP66-AL66</f>
        <v>-5.4055956822822937E-2</v>
      </c>
      <c r="AQ68" s="84">
        <f t="shared" ref="AQ68" si="296">+AQ66-AM66</f>
        <v>-2.3108243861973521E-2</v>
      </c>
      <c r="AR68" s="84">
        <f t="shared" ref="AR68" si="297">+AR66-AN66</f>
        <v>-1.1784637870983494E-2</v>
      </c>
      <c r="AS68" s="84">
        <f t="shared" ref="AS68" si="298">+AS66-AO66</f>
        <v>-2.7948463817023761E-2</v>
      </c>
      <c r="AT68" s="84">
        <f t="shared" ref="AT68" si="299">+AT66-AP66</f>
        <v>8.0338871081364061E-2</v>
      </c>
      <c r="AU68" s="84">
        <f t="shared" ref="AU68" si="300">+AU66-AQ66</f>
        <v>8.684759338977055E-3</v>
      </c>
      <c r="AV68" s="84">
        <f t="shared" ref="AV68" si="301">+AV66-AR66</f>
        <v>-1.3700537498957943E-2</v>
      </c>
      <c r="AW68" s="84">
        <f t="shared" ref="AW68" si="302">+AW66-AS66</f>
        <v>2.2536581117393539E-2</v>
      </c>
      <c r="AX68" s="84">
        <f t="shared" ref="AX68" si="303">+AX66-AT66</f>
        <v>5.9645379603311288E-2</v>
      </c>
      <c r="AY68" s="84"/>
      <c r="AZ68" s="84"/>
      <c r="BA68" s="84"/>
      <c r="BB68" s="84">
        <v>8.8596482092818118E-2</v>
      </c>
      <c r="BC68" s="2184"/>
      <c r="BE68" s="84"/>
      <c r="BF68" s="84"/>
      <c r="BG68" s="84"/>
      <c r="BH68" s="84"/>
      <c r="BI68" s="84"/>
      <c r="BJ68" s="1999"/>
      <c r="BK68" s="84"/>
      <c r="BL68" s="84"/>
      <c r="BM68" s="84"/>
      <c r="BN68" s="84"/>
      <c r="BO68" s="1801"/>
      <c r="BP68" s="84"/>
      <c r="BQ68" s="84"/>
      <c r="BR68" s="84"/>
      <c r="BS68" s="84"/>
      <c r="BT68" s="84"/>
      <c r="BU68" s="84"/>
    </row>
    <row r="69" spans="2:73" ht="13.5" customHeight="1">
      <c r="B69" s="94"/>
      <c r="C69" s="84"/>
      <c r="D69" s="84"/>
      <c r="E69" s="84"/>
      <c r="F69" s="84"/>
      <c r="G69" s="84"/>
      <c r="H69" s="84"/>
      <c r="I69" s="84"/>
      <c r="J69" s="84"/>
      <c r="K69" s="84"/>
      <c r="L69" s="84"/>
      <c r="M69" s="84"/>
      <c r="N69" s="84"/>
      <c r="O69" s="84"/>
      <c r="P69" s="84"/>
      <c r="Q69" s="84"/>
      <c r="R69" s="84"/>
      <c r="S69" s="1801"/>
      <c r="T69" s="84"/>
      <c r="U69" s="84"/>
      <c r="V69" s="84"/>
      <c r="W69" s="1801"/>
      <c r="X69" s="84"/>
      <c r="Y69" s="84"/>
      <c r="Z69" s="84"/>
      <c r="AA69" s="84"/>
      <c r="AB69" s="84"/>
      <c r="AC69" s="84"/>
      <c r="AD69" s="84"/>
      <c r="AE69" s="84"/>
      <c r="AF69" s="84"/>
      <c r="AG69" s="84"/>
      <c r="AH69" s="84"/>
      <c r="AI69" s="84"/>
      <c r="AJ69" s="84"/>
      <c r="AK69" s="84"/>
      <c r="AL69" s="84"/>
      <c r="AM69" s="1801"/>
      <c r="AN69" s="84"/>
      <c r="AO69" s="84"/>
      <c r="AP69" s="84"/>
      <c r="AQ69" s="84"/>
      <c r="AR69" s="84"/>
      <c r="AS69" s="84"/>
      <c r="AT69" s="84"/>
      <c r="AU69" s="84"/>
      <c r="AV69" s="84"/>
      <c r="AW69" s="84"/>
      <c r="AX69" s="84"/>
      <c r="AY69" s="84"/>
      <c r="AZ69" s="84"/>
      <c r="BA69" s="84"/>
      <c r="BB69" s="84"/>
      <c r="BC69" s="2184"/>
      <c r="BE69" s="84"/>
      <c r="BF69" s="84"/>
      <c r="BG69" s="84"/>
      <c r="BH69" s="84"/>
      <c r="BI69" s="84"/>
      <c r="BJ69" s="1999"/>
      <c r="BK69" s="84"/>
      <c r="BL69" s="84"/>
      <c r="BM69" s="84"/>
      <c r="BN69" s="84"/>
      <c r="BO69" s="1801"/>
      <c r="BP69" s="84"/>
      <c r="BQ69" s="84"/>
      <c r="BR69" s="84"/>
      <c r="BS69" s="84"/>
      <c r="BT69" s="84"/>
      <c r="BU69" s="84"/>
    </row>
    <row r="70" spans="2:73">
      <c r="B70" s="75" t="s">
        <v>276</v>
      </c>
      <c r="C70" s="90">
        <v>-648</v>
      </c>
      <c r="D70" s="90">
        <v>-745.8</v>
      </c>
      <c r="E70" s="90">
        <v>-762.9</v>
      </c>
      <c r="F70" s="90">
        <v>-842.1</v>
      </c>
      <c r="G70" s="90">
        <v>-694.86437614061208</v>
      </c>
      <c r="H70" s="90">
        <v>-780.86445476264169</v>
      </c>
      <c r="I70" s="90">
        <v>-770.98338864337666</v>
      </c>
      <c r="J70" s="90">
        <v>-863.45686673107559</v>
      </c>
      <c r="K70" s="90">
        <v>-736.02438187830364</v>
      </c>
      <c r="L70" s="90">
        <v>-809.6534824381713</v>
      </c>
      <c r="M70" s="90">
        <v>-985.065297830899</v>
      </c>
      <c r="N70" s="90">
        <v>-1534.6059976337401</v>
      </c>
      <c r="O70" s="90">
        <v>-1282.9864687119498</v>
      </c>
      <c r="P70" s="90">
        <v>-1449.6160440882677</v>
      </c>
      <c r="Q70" s="90">
        <v>-1534.3646750588937</v>
      </c>
      <c r="R70" s="90">
        <v>-1785.8738696003638</v>
      </c>
      <c r="S70" s="1804">
        <v>-1398.5</v>
      </c>
      <c r="T70" s="90">
        <v>-1594.9</v>
      </c>
      <c r="U70" s="90">
        <v>-1613.7</v>
      </c>
      <c r="V70" s="90">
        <v>-1998</v>
      </c>
      <c r="W70" s="1804">
        <v>-3523.2</v>
      </c>
      <c r="X70" s="90">
        <v>-3378.1</v>
      </c>
      <c r="Y70" s="90">
        <v>-4280.3</v>
      </c>
      <c r="Z70" s="90">
        <v>-5244.7</v>
      </c>
      <c r="AA70" s="90">
        <v>-4255</v>
      </c>
      <c r="AB70" s="90">
        <v>-4248.1000000000004</v>
      </c>
      <c r="AC70" s="90">
        <f>+AC211+AC477+AC552+AC620</f>
        <v>-4288.3999999999996</v>
      </c>
      <c r="AD70" s="90">
        <v>-5042.3</v>
      </c>
      <c r="AE70" s="90">
        <v>-3849.2</v>
      </c>
      <c r="AF70" s="90">
        <f>+AF211+AF477+AF552+AF620</f>
        <v>-3856.7000000000003</v>
      </c>
      <c r="AG70" s="90">
        <v>-4119.8999999999996</v>
      </c>
      <c r="AH70" s="90">
        <f>+AH211+AH477+AH552+AH620</f>
        <v>-4334.8</v>
      </c>
      <c r="AI70" s="90">
        <v>-3320.4</v>
      </c>
      <c r="AJ70" s="90">
        <v>-3497.4</v>
      </c>
      <c r="AK70" s="90">
        <v>-3394.732</v>
      </c>
      <c r="AL70" s="90">
        <v>-3023.2</v>
      </c>
      <c r="AM70" s="1804">
        <v>-1954.1999999999998</v>
      </c>
      <c r="AN70" s="90">
        <v>-2447.1999999999998</v>
      </c>
      <c r="AO70" s="90">
        <v>-2623.8994396002008</v>
      </c>
      <c r="AP70" s="90">
        <v>-3188.2</v>
      </c>
      <c r="AQ70" s="77">
        <f t="shared" ref="AQ70:AR70" si="304">+AQ211</f>
        <v>-2244.4</v>
      </c>
      <c r="AR70" s="77">
        <f t="shared" si="304"/>
        <v>-2344.4</v>
      </c>
      <c r="AS70" s="77">
        <f>+AS211</f>
        <v>-2308</v>
      </c>
      <c r="AT70" s="77">
        <f t="shared" ref="AT70:AX70" si="305">+AT211</f>
        <v>-2513</v>
      </c>
      <c r="AU70" s="77">
        <f t="shared" si="305"/>
        <v>-2031.9653910938423</v>
      </c>
      <c r="AV70" s="77">
        <f t="shared" si="305"/>
        <v>-2431.3009593295233</v>
      </c>
      <c r="AW70" s="77">
        <f t="shared" si="305"/>
        <v>-2206.0797106919754</v>
      </c>
      <c r="AX70" s="77">
        <f t="shared" si="305"/>
        <v>-2764.4691056592997</v>
      </c>
      <c r="AY70" s="77"/>
      <c r="AZ70" s="77"/>
      <c r="BA70" s="77"/>
      <c r="BB70" s="77">
        <v>-2823.9435846573874</v>
      </c>
      <c r="BC70" s="2179">
        <f>+AT70/BB70-1</f>
        <v>-0.11010970132220699</v>
      </c>
      <c r="BD70" s="978"/>
      <c r="BE70" s="77">
        <f>+SUM(C70:F70)</f>
        <v>-2998.7999999999997</v>
      </c>
      <c r="BF70" s="77">
        <f>+SUM(G70:J70)</f>
        <v>-3110.1690862777059</v>
      </c>
      <c r="BG70" s="77">
        <f>+SUM(K70:N70)</f>
        <v>-4065.3491597811139</v>
      </c>
      <c r="BH70" s="77">
        <f>+SUM(O70:R70)</f>
        <v>-6052.8410574594745</v>
      </c>
      <c r="BI70" s="77"/>
      <c r="BJ70" s="1998">
        <f>+SUM(S70:V70)</f>
        <v>-6605.1</v>
      </c>
      <c r="BK70" s="77">
        <f>+SUM(W70:Z70)</f>
        <v>-16426.3</v>
      </c>
      <c r="BL70" s="77">
        <f>+SUM(AA70:AD70)</f>
        <v>-17833.8</v>
      </c>
      <c r="BM70" s="77">
        <f>+SUM(AE70:AH70)</f>
        <v>-16160.599999999999</v>
      </c>
      <c r="BN70" s="77">
        <f>+SUM(AI70:AL70)</f>
        <v>-13235.732</v>
      </c>
      <c r="BO70" s="1791">
        <f>+SUM(AM70:AP70)</f>
        <v>-10213.4994396002</v>
      </c>
      <c r="BP70" s="77">
        <f>+SUM(AQ70:AT70)</f>
        <v>-9409.7999999999993</v>
      </c>
      <c r="BQ70" s="77">
        <f>+SUM(AU70:AX70)</f>
        <v>-9433.8151667746406</v>
      </c>
      <c r="BR70" s="77">
        <f>+BR211</f>
        <v>-9742.7695860908061</v>
      </c>
      <c r="BS70" s="77">
        <f>+BS211</f>
        <v>-10120.206282358306</v>
      </c>
      <c r="BT70" s="77">
        <f>+BT211</f>
        <v>-10508.917245589671</v>
      </c>
      <c r="BU70" s="77">
        <f>+BU211</f>
        <v>-10883.567925337633</v>
      </c>
    </row>
    <row r="71" spans="2:73" s="93" customFormat="1" ht="13.5" customHeight="1">
      <c r="B71" s="96" t="s">
        <v>274</v>
      </c>
      <c r="C71" s="84">
        <f t="shared" ref="C71:T71" si="306">+C70/C$57</f>
        <v>-0.39468875624314775</v>
      </c>
      <c r="D71" s="84">
        <f t="shared" si="306"/>
        <v>-0.3866452382186738</v>
      </c>
      <c r="E71" s="84">
        <f t="shared" si="306"/>
        <v>-0.38223357883661502</v>
      </c>
      <c r="F71" s="84">
        <f t="shared" si="306"/>
        <v>-0.36104441776710683</v>
      </c>
      <c r="G71" s="84">
        <f t="shared" si="306"/>
        <v>-0.41123514304063957</v>
      </c>
      <c r="H71" s="84">
        <f t="shared" si="306"/>
        <v>-0.38548682191737832</v>
      </c>
      <c r="I71" s="84">
        <f t="shared" si="306"/>
        <v>-0.40522621078701604</v>
      </c>
      <c r="J71" s="84">
        <f t="shared" si="306"/>
        <v>-0.37628109921712077</v>
      </c>
      <c r="K71" s="84">
        <f t="shared" si="306"/>
        <v>-0.42579046294550854</v>
      </c>
      <c r="L71" s="84">
        <f t="shared" si="306"/>
        <v>-0.39966726508559497</v>
      </c>
      <c r="M71" s="84">
        <f t="shared" si="306"/>
        <v>-0.41644383355066755</v>
      </c>
      <c r="N71" s="84">
        <f t="shared" si="306"/>
        <v>-0.41110289523794907</v>
      </c>
      <c r="O71" s="84">
        <f t="shared" si="306"/>
        <v>-0.47736787755896454</v>
      </c>
      <c r="P71" s="84">
        <f t="shared" si="306"/>
        <v>-0.46761167110690144</v>
      </c>
      <c r="Q71" s="84">
        <f t="shared" si="306"/>
        <v>-0.47329161257394431</v>
      </c>
      <c r="R71" s="84">
        <f t="shared" si="306"/>
        <v>-0.41191303801223533</v>
      </c>
      <c r="S71" s="1801">
        <f t="shared" si="306"/>
        <v>-0.47973517657753456</v>
      </c>
      <c r="T71" s="84">
        <f t="shared" si="306"/>
        <v>-0.46857707283436983</v>
      </c>
      <c r="U71" s="84">
        <f>+U70/U$57</f>
        <v>-0.46453451551614944</v>
      </c>
      <c r="V71" s="84">
        <f t="shared" ref="V71:AD71" si="307">+V70/V$57</f>
        <v>-0.20695012688383654</v>
      </c>
      <c r="W71" s="1801">
        <f t="shared" si="307"/>
        <v>-0.46863527533918592</v>
      </c>
      <c r="X71" s="84">
        <f t="shared" si="307"/>
        <v>-0.48347669276237643</v>
      </c>
      <c r="Y71" s="84">
        <f t="shared" si="307"/>
        <v>-0.41079706319880988</v>
      </c>
      <c r="Z71" s="84">
        <f t="shared" si="307"/>
        <v>-0.43715669358939097</v>
      </c>
      <c r="AA71" s="84">
        <f t="shared" si="307"/>
        <v>-0.45002644103648864</v>
      </c>
      <c r="AB71" s="84">
        <f t="shared" si="307"/>
        <v>-0.44636027403017697</v>
      </c>
      <c r="AC71" s="84">
        <f t="shared" si="307"/>
        <v>-0.44908474008293892</v>
      </c>
      <c r="AD71" s="84">
        <f t="shared" si="307"/>
        <v>-0.43306822866565897</v>
      </c>
      <c r="AE71" s="84">
        <f t="shared" ref="AE71:AH71" si="308">+AE70/AE$57</f>
        <v>-0.46638314371221212</v>
      </c>
      <c r="AF71" s="84">
        <f t="shared" si="308"/>
        <v>-0.44317659496230932</v>
      </c>
      <c r="AG71" s="84">
        <f t="shared" si="308"/>
        <v>-0.45757855104012785</v>
      </c>
      <c r="AH71" s="84">
        <f t="shared" si="308"/>
        <v>-0.41721688579183436</v>
      </c>
      <c r="AI71" s="84">
        <f t="shared" ref="AI71:AL71" si="309">+AI70/AI$57</f>
        <v>-0.45359416409387732</v>
      </c>
      <c r="AJ71" s="84">
        <f t="shared" si="309"/>
        <v>-0.4499111524380367</v>
      </c>
      <c r="AK71" s="84">
        <f t="shared" si="309"/>
        <v>-0.45159161029529243</v>
      </c>
      <c r="AL71" s="84">
        <f t="shared" si="309"/>
        <v>-0.45713248858378441</v>
      </c>
      <c r="AM71" s="1801">
        <f t="shared" ref="AM71:AP71" si="310">+AM70/AM$57</f>
        <v>-0.42696089141358956</v>
      </c>
      <c r="AN71" s="84">
        <f t="shared" si="310"/>
        <v>-0.42268165880788294</v>
      </c>
      <c r="AO71" s="84">
        <f t="shared" si="310"/>
        <v>-0.43910380644030439</v>
      </c>
      <c r="AP71" s="84">
        <f t="shared" si="310"/>
        <v>-0.44963754830338754</v>
      </c>
      <c r="AQ71" s="84">
        <f t="shared" ref="AQ71:AT71" si="311">+AQ70/AQ$57</f>
        <v>-0.43639507330589561</v>
      </c>
      <c r="AR71" s="84">
        <f t="shared" si="311"/>
        <v>-0.41220944544079902</v>
      </c>
      <c r="AS71" s="84">
        <f t="shared" si="311"/>
        <v>-0.44435887562572196</v>
      </c>
      <c r="AT71" s="84">
        <f t="shared" si="311"/>
        <v>-0.40578072016793154</v>
      </c>
      <c r="AU71" s="84">
        <f t="shared" ref="AU71:AX71" si="312">+AU70/AU$57</f>
        <v>-0.435</v>
      </c>
      <c r="AV71" s="84">
        <f t="shared" si="312"/>
        <v>-0.435</v>
      </c>
      <c r="AW71" s="84">
        <f t="shared" si="312"/>
        <v>-0.435</v>
      </c>
      <c r="AX71" s="84">
        <f t="shared" si="312"/>
        <v>-0.435</v>
      </c>
      <c r="AY71" s="84"/>
      <c r="AZ71" s="84"/>
      <c r="BA71" s="84"/>
      <c r="BB71" s="84">
        <v>-0.44500000000000001</v>
      </c>
      <c r="BC71" s="2184">
        <f>+AT71-BB71</f>
        <v>3.9219279832068465E-2</v>
      </c>
      <c r="BE71" s="84">
        <f t="shared" ref="BE71:BK71" si="313">+BE70/BE$57</f>
        <v>-0.37964299278389668</v>
      </c>
      <c r="BF71" s="84">
        <f t="shared" si="313"/>
        <v>-0.3930618412166707</v>
      </c>
      <c r="BG71" s="84">
        <f t="shared" si="313"/>
        <v>-0.41261070702473662</v>
      </c>
      <c r="BH71" s="84">
        <f t="shared" si="313"/>
        <v>-0.45288304997715861</v>
      </c>
      <c r="BI71" s="84"/>
      <c r="BJ71" s="1999">
        <f t="shared" si="313"/>
        <v>-0.33964344097767701</v>
      </c>
      <c r="BK71" s="84">
        <f t="shared" si="313"/>
        <v>-0.44489313930214863</v>
      </c>
      <c r="BL71" s="84">
        <f t="shared" ref="BL71" si="314">+BL70/BL$57</f>
        <v>-0.44401786647943714</v>
      </c>
      <c r="BM71" s="84">
        <f>+BM70/BM$57</f>
        <v>-0.44459300342235869</v>
      </c>
      <c r="BN71" s="84">
        <f>+BN70/BN$57</f>
        <v>-0.45290010753234267</v>
      </c>
      <c r="BO71" s="1801">
        <f t="shared" ref="BO71:BP71" si="315">+BO70/BO$57</f>
        <v>-0.43586191369198068</v>
      </c>
      <c r="BP71" s="84">
        <f t="shared" si="315"/>
        <v>-0.42353202695154818</v>
      </c>
      <c r="BQ71" s="84">
        <f t="shared" ref="BQ71" si="316">+BQ70/BQ$57</f>
        <v>-0.435</v>
      </c>
      <c r="BR71" s="84">
        <f t="shared" ref="BR71:BU71" si="317">+BR70/BR$57</f>
        <v>-0.43</v>
      </c>
      <c r="BS71" s="84">
        <f t="shared" si="317"/>
        <v>-0.43</v>
      </c>
      <c r="BT71" s="84">
        <f t="shared" si="317"/>
        <v>-0.43</v>
      </c>
      <c r="BU71" s="84">
        <f t="shared" si="317"/>
        <v>-0.43000000000000005</v>
      </c>
    </row>
    <row r="72" spans="2:73" ht="13.5" customHeight="1">
      <c r="B72" s="94" t="s">
        <v>108</v>
      </c>
      <c r="C72" s="84"/>
      <c r="D72" s="84"/>
      <c r="E72" s="84"/>
      <c r="F72" s="84"/>
      <c r="G72" s="84">
        <f t="shared" ref="G72:S72" si="318">+G70/C70-1</f>
        <v>7.2321568118228541E-2</v>
      </c>
      <c r="H72" s="84">
        <f t="shared" si="318"/>
        <v>4.7015895364228566E-2</v>
      </c>
      <c r="I72" s="84">
        <f t="shared" si="318"/>
        <v>1.0595607082680036E-2</v>
      </c>
      <c r="J72" s="84">
        <f t="shared" si="318"/>
        <v>2.5361437752138283E-2</v>
      </c>
      <c r="K72" s="84">
        <f t="shared" si="318"/>
        <v>5.9234589009010463E-2</v>
      </c>
      <c r="L72" s="84">
        <f t="shared" si="318"/>
        <v>3.6868149779311743E-2</v>
      </c>
      <c r="M72" s="84">
        <f t="shared" si="318"/>
        <v>0.27767382843905519</v>
      </c>
      <c r="N72" s="84">
        <f t="shared" si="318"/>
        <v>0.77728159536623909</v>
      </c>
      <c r="O72" s="84">
        <f t="shared" si="318"/>
        <v>0.74313039119413626</v>
      </c>
      <c r="P72" s="84">
        <f t="shared" si="318"/>
        <v>0.79041537587527988</v>
      </c>
      <c r="Q72" s="84">
        <f t="shared" si="318"/>
        <v>0.55762737601004186</v>
      </c>
      <c r="R72" s="84">
        <f t="shared" si="318"/>
        <v>0.16373445194014757</v>
      </c>
      <c r="S72" s="1801">
        <f t="shared" si="318"/>
        <v>9.0034878858870293E-2</v>
      </c>
      <c r="T72" s="84">
        <f t="shared" ref="T72:AD72" si="319">+T70/P70-1</f>
        <v>0.10022237026433323</v>
      </c>
      <c r="U72" s="84">
        <f t="shared" si="319"/>
        <v>5.170565135570615E-2</v>
      </c>
      <c r="V72" s="84">
        <f t="shared" si="319"/>
        <v>0.11878001801275295</v>
      </c>
      <c r="W72" s="1801">
        <f t="shared" si="319"/>
        <v>1.5192706471219162</v>
      </c>
      <c r="X72" s="84">
        <f t="shared" si="319"/>
        <v>1.1180638284531943</v>
      </c>
      <c r="Y72" s="84">
        <f t="shared" si="319"/>
        <v>1.6524756770155542</v>
      </c>
      <c r="Z72" s="84">
        <f t="shared" si="319"/>
        <v>1.6249749749749749</v>
      </c>
      <c r="AA72" s="84">
        <f t="shared" si="319"/>
        <v>0.20770890099909178</v>
      </c>
      <c r="AB72" s="84">
        <f t="shared" si="319"/>
        <v>0.25754122139664326</v>
      </c>
      <c r="AC72" s="84">
        <f t="shared" si="319"/>
        <v>1.8923907202765822E-3</v>
      </c>
      <c r="AD72" s="84">
        <f t="shared" si="319"/>
        <v>-3.8591339828779492E-2</v>
      </c>
      <c r="AE72" s="84">
        <f t="shared" ref="AE72" si="320">+AE70/AA70-1</f>
        <v>-9.5370152761457105E-2</v>
      </c>
      <c r="AF72" s="84">
        <f t="shared" ref="AF72" si="321">+AF70/AB70-1</f>
        <v>-9.2135307549257361E-2</v>
      </c>
      <c r="AG72" s="84">
        <f t="shared" ref="AG72" si="322">+AG70/AC70-1</f>
        <v>-3.9292043652644382E-2</v>
      </c>
      <c r="AH72" s="84">
        <f t="shared" ref="AH72" si="323">+AH70/AD70-1</f>
        <v>-0.14031295242250563</v>
      </c>
      <c r="AI72" s="84">
        <f t="shared" ref="AI72" si="324">+AI70/AE70-1</f>
        <v>-0.13737919567702372</v>
      </c>
      <c r="AJ72" s="84">
        <f t="shared" ref="AJ72" si="325">+AJ70/AF70-1</f>
        <v>-9.3162548292581748E-2</v>
      </c>
      <c r="AK72" s="84">
        <f t="shared" ref="AK72" si="326">+AK70/AG70-1</f>
        <v>-0.17601592271657074</v>
      </c>
      <c r="AL72" s="84">
        <f t="shared" ref="AL72" si="327">+AL70/AH70-1</f>
        <v>-0.30257451324167217</v>
      </c>
      <c r="AM72" s="1801">
        <f t="shared" ref="AM72" si="328">+AM70/AI70-1</f>
        <v>-0.41145645102999651</v>
      </c>
      <c r="AN72" s="84">
        <f t="shared" ref="AN72" si="329">+AN70/AJ70-1</f>
        <v>-0.30028020815462919</v>
      </c>
      <c r="AO72" s="84">
        <f t="shared" ref="AO72" si="330">+AO70/AK70-1</f>
        <v>-0.22706727965559559</v>
      </c>
      <c r="AP72" s="84">
        <f t="shared" ref="AP72" si="331">+AP70/AL70-1</f>
        <v>5.457793066948935E-2</v>
      </c>
      <c r="AQ72" s="84">
        <f t="shared" ref="AQ72" si="332">+AQ70/AM70-1</f>
        <v>0.14850066523385541</v>
      </c>
      <c r="AR72" s="84">
        <f t="shared" ref="AR72" si="333">+AR70/AN70-1</f>
        <v>-4.2007191892775353E-2</v>
      </c>
      <c r="AS72" s="84">
        <f t="shared" ref="AS72" si="334">+AS70/AO70-1</f>
        <v>-0.1203931198096273</v>
      </c>
      <c r="AT72" s="84">
        <f t="shared" ref="AT72" si="335">+AT70/AP70-1</f>
        <v>-0.21178094222445265</v>
      </c>
      <c r="AU72" s="84">
        <f t="shared" ref="AU72" si="336">+AU70/AQ70-1</f>
        <v>-9.4650957452396045E-2</v>
      </c>
      <c r="AV72" s="84">
        <f t="shared" ref="AV72" si="337">+AV70/AR70-1</f>
        <v>3.7067462604301049E-2</v>
      </c>
      <c r="AW72" s="84">
        <f t="shared" ref="AW72" si="338">+AW70/AS70-1</f>
        <v>-4.415957075737631E-2</v>
      </c>
      <c r="AX72" s="84">
        <f t="shared" ref="AX72" si="339">+AX70/AT70-1</f>
        <v>0.10006729234353351</v>
      </c>
      <c r="AY72" s="84"/>
      <c r="AZ72" s="84"/>
      <c r="BA72" s="84"/>
      <c r="BB72" s="84">
        <v>-0.11425143194988152</v>
      </c>
      <c r="BC72" s="2184"/>
      <c r="BE72" s="84"/>
      <c r="BF72" s="84">
        <f t="shared" ref="BF72:BQ72" si="340">+BF70/BE70-1</f>
        <v>3.7137883912800485E-2</v>
      </c>
      <c r="BG72" s="84">
        <f t="shared" si="340"/>
        <v>0.30711515901747344</v>
      </c>
      <c r="BH72" s="84">
        <f t="shared" si="340"/>
        <v>0.48888590366131579</v>
      </c>
      <c r="BI72" s="84"/>
      <c r="BJ72" s="1999">
        <f>+BJ70/BH70-1</f>
        <v>9.1239624053885526E-2</v>
      </c>
      <c r="BK72" s="84">
        <f>+BK70/BJ70-1</f>
        <v>1.486911628892825</v>
      </c>
      <c r="BL72" s="84">
        <f t="shared" si="340"/>
        <v>8.5685760031169567E-2</v>
      </c>
      <c r="BM72" s="84">
        <f t="shared" si="340"/>
        <v>-9.3821843914364877E-2</v>
      </c>
      <c r="BN72" s="84">
        <f t="shared" si="340"/>
        <v>-0.18098758709453855</v>
      </c>
      <c r="BO72" s="1801">
        <f t="shared" si="340"/>
        <v>-0.22833890565325743</v>
      </c>
      <c r="BP72" s="84">
        <f t="shared" si="340"/>
        <v>-7.8689918607530829E-2</v>
      </c>
      <c r="BQ72" s="84">
        <f t="shared" si="340"/>
        <v>2.5521442299136776E-3</v>
      </c>
      <c r="BR72" s="84">
        <f t="shared" ref="BR72" si="341">+BR70/BQ70-1</f>
        <v>3.2749679091051753E-2</v>
      </c>
      <c r="BS72" s="84">
        <f t="shared" ref="BS72" si="342">+BS70/BR70-1</f>
        <v>3.8740185009234374E-2</v>
      </c>
      <c r="BT72" s="84">
        <f t="shared" ref="BT72" si="343">+BT70/BS70-1</f>
        <v>3.840939130944121E-2</v>
      </c>
      <c r="BU72" s="84">
        <f t="shared" ref="BU72" si="344">+BU70/BT70-1</f>
        <v>3.5650740318199148E-2</v>
      </c>
    </row>
    <row r="73" spans="2:73" ht="13.5" customHeight="1">
      <c r="B73" s="94"/>
      <c r="C73" s="84"/>
      <c r="D73" s="84"/>
      <c r="E73" s="84"/>
      <c r="F73" s="84"/>
      <c r="G73" s="84"/>
      <c r="H73" s="84"/>
      <c r="I73" s="84"/>
      <c r="J73" s="84"/>
      <c r="K73" s="84"/>
      <c r="L73" s="84"/>
      <c r="M73" s="84"/>
      <c r="N73" s="84"/>
      <c r="O73" s="84"/>
      <c r="P73" s="84"/>
      <c r="Q73" s="84"/>
      <c r="R73" s="84"/>
      <c r="S73" s="1801"/>
      <c r="T73" s="84"/>
      <c r="U73" s="84"/>
      <c r="V73" s="84"/>
      <c r="W73" s="1801"/>
      <c r="X73" s="84"/>
      <c r="Y73" s="84"/>
      <c r="Z73" s="84"/>
      <c r="AA73" s="84"/>
      <c r="AB73" s="84"/>
      <c r="AC73" s="84"/>
      <c r="AD73" s="84"/>
      <c r="AE73" s="84"/>
      <c r="AF73" s="84"/>
      <c r="AG73" s="84"/>
      <c r="AH73" s="84"/>
      <c r="AI73" s="84"/>
      <c r="AJ73" s="84"/>
      <c r="AK73" s="84"/>
      <c r="AL73" s="84"/>
      <c r="AM73" s="1801"/>
      <c r="AN73" s="84"/>
      <c r="AO73" s="84"/>
      <c r="AP73" s="84"/>
      <c r="AQ73" s="84"/>
      <c r="AR73" s="84"/>
      <c r="AS73" s="84"/>
      <c r="AT73" s="84"/>
      <c r="AU73" s="84"/>
      <c r="AV73" s="84"/>
      <c r="AW73" s="84"/>
      <c r="AX73" s="84"/>
      <c r="AY73" s="84"/>
      <c r="AZ73" s="84"/>
      <c r="BA73" s="84"/>
      <c r="BB73" s="84"/>
      <c r="BC73" s="2184"/>
      <c r="BE73" s="84"/>
      <c r="BF73" s="84"/>
      <c r="BG73" s="84"/>
      <c r="BH73" s="84"/>
      <c r="BI73" s="84"/>
      <c r="BJ73" s="1999"/>
      <c r="BK73" s="84"/>
      <c r="BL73" s="84"/>
      <c r="BM73" s="84"/>
      <c r="BN73" s="84"/>
      <c r="BO73" s="1801"/>
      <c r="BP73" s="84"/>
      <c r="BQ73" s="84"/>
      <c r="BR73" s="84"/>
      <c r="BS73" s="84"/>
      <c r="BT73" s="84"/>
      <c r="BU73" s="84"/>
    </row>
    <row r="74" spans="2:73">
      <c r="B74" s="75" t="s">
        <v>277</v>
      </c>
      <c r="C74" s="90">
        <v>-278.39999999999998</v>
      </c>
      <c r="D74" s="90">
        <v>-299.10000000000002</v>
      </c>
      <c r="E74" s="90">
        <v>-314.2</v>
      </c>
      <c r="F74" s="90">
        <v>-401.8</v>
      </c>
      <c r="G74" s="90">
        <v>-327.58135152010129</v>
      </c>
      <c r="H74" s="90">
        <v>-321.79427063546893</v>
      </c>
      <c r="I74" s="90">
        <v>-320.89211520373647</v>
      </c>
      <c r="J74" s="90">
        <v>-356.8251722608623</v>
      </c>
      <c r="K74" s="90">
        <v>-355.47475595700053</v>
      </c>
      <c r="L74" s="90">
        <v>-356.20540185957947</v>
      </c>
      <c r="M74" s="90">
        <v>-384.02427837637407</v>
      </c>
      <c r="N74" s="90">
        <v>-562.12459856902831</v>
      </c>
      <c r="O74" s="90">
        <v>-448.80932792248024</v>
      </c>
      <c r="P74" s="90">
        <v>-503.51076776960696</v>
      </c>
      <c r="Q74" s="90">
        <v>-488.96383474395276</v>
      </c>
      <c r="R74" s="90">
        <v>-703.59362907435457</v>
      </c>
      <c r="S74" s="1804">
        <v>-498.4</v>
      </c>
      <c r="T74" s="90">
        <v>-531.4</v>
      </c>
      <c r="U74" s="90">
        <v>-569.29999999999995</v>
      </c>
      <c r="V74" s="90">
        <v>-652.5</v>
      </c>
      <c r="W74" s="1804">
        <v>-1228</v>
      </c>
      <c r="X74" s="90">
        <v>-1266.2</v>
      </c>
      <c r="Y74" s="90">
        <v>-1469.2</v>
      </c>
      <c r="Z74" s="90">
        <v>-1619.1</v>
      </c>
      <c r="AA74" s="90">
        <v>-1506.6</v>
      </c>
      <c r="AB74" s="90">
        <v>-1671.4</v>
      </c>
      <c r="AC74" s="90">
        <v>-1655.4</v>
      </c>
      <c r="AD74" s="90">
        <v>-1566.1</v>
      </c>
      <c r="AE74" s="90">
        <v>-1423.4</v>
      </c>
      <c r="AF74" s="90">
        <v>-1491.1</v>
      </c>
      <c r="AG74" s="90">
        <v>-1474.7</v>
      </c>
      <c r="AH74" s="90">
        <v>-1771.7</v>
      </c>
      <c r="AI74" s="90">
        <v>-1310.9</v>
      </c>
      <c r="AJ74" s="90">
        <v>-1317.3000000000002</v>
      </c>
      <c r="AK74" s="90">
        <v>-1200.7329999999999</v>
      </c>
      <c r="AL74" s="90">
        <v>-699.1</v>
      </c>
      <c r="AM74" s="1804">
        <v>-629.1</v>
      </c>
      <c r="AN74" s="90">
        <v>-748.1</v>
      </c>
      <c r="AO74" s="90">
        <v>-733.35786389161535</v>
      </c>
      <c r="AP74" s="90">
        <v>-863.5</v>
      </c>
      <c r="AQ74" s="90">
        <v>-653.70000000000005</v>
      </c>
      <c r="AR74" s="90">
        <v>-834.5</v>
      </c>
      <c r="AS74" s="90">
        <v>-831.09999999999991</v>
      </c>
      <c r="AT74" s="90">
        <v>-766</v>
      </c>
      <c r="AU74" s="77">
        <f>+AU214</f>
        <v>-654.84800000000007</v>
      </c>
      <c r="AV74" s="77">
        <f>+AV214</f>
        <v>-842.88</v>
      </c>
      <c r="AW74" s="77">
        <f>+AW214</f>
        <v>-839.24</v>
      </c>
      <c r="AX74" s="77">
        <f>+AX214</f>
        <v>-748.76</v>
      </c>
      <c r="AY74" s="77"/>
      <c r="AZ74" s="77"/>
      <c r="BA74" s="77"/>
      <c r="BB74" s="77">
        <v>-820.32499999999993</v>
      </c>
      <c r="BC74" s="2179">
        <f>+AT74/BB74-1</f>
        <v>-6.6223752780909972E-2</v>
      </c>
      <c r="BD74" s="978"/>
      <c r="BE74" s="77">
        <f>+SUM(C74:F74)</f>
        <v>-1293.5</v>
      </c>
      <c r="BF74" s="77">
        <f>+SUM(G74:J74)</f>
        <v>-1327.0929096201689</v>
      </c>
      <c r="BG74" s="77">
        <f>+SUM(K74:N74)</f>
        <v>-1657.8290347619823</v>
      </c>
      <c r="BH74" s="77">
        <f>+SUM(O74:R74)</f>
        <v>-2144.8775595103943</v>
      </c>
      <c r="BI74" s="77"/>
      <c r="BJ74" s="1998">
        <f>+SUM(S74:V74)</f>
        <v>-2251.6</v>
      </c>
      <c r="BK74" s="77">
        <f>+SUM(W74:Z74)</f>
        <v>-5582.5</v>
      </c>
      <c r="BL74" s="77">
        <f>+SUM(AA74:AD74)</f>
        <v>-6399.5</v>
      </c>
      <c r="BM74" s="77">
        <f>+SUM(AE74:AH74)</f>
        <v>-6160.9</v>
      </c>
      <c r="BN74" s="77">
        <f>+SUM(AI74:AL74)</f>
        <v>-4528.0330000000004</v>
      </c>
      <c r="BO74" s="1791">
        <f>+SUM(AM74:AP74)</f>
        <v>-2974.0578638916154</v>
      </c>
      <c r="BP74" s="77">
        <f>+SUM(AQ74:AT74)</f>
        <v>-3085.3</v>
      </c>
      <c r="BQ74" s="77">
        <f>+SUM(AU74:AX74)</f>
        <v>-3085.7280000000001</v>
      </c>
      <c r="BR74" s="77">
        <f>+BR214</f>
        <v>-3240.0144</v>
      </c>
      <c r="BS74" s="77">
        <f>+BS214</f>
        <v>-3337.2148320000001</v>
      </c>
      <c r="BT74" s="77">
        <f>+BT214</f>
        <v>-3437.3312769600002</v>
      </c>
      <c r="BU74" s="77">
        <f>+BU214</f>
        <v>-3540.4512152688003</v>
      </c>
    </row>
    <row r="75" spans="2:73" s="93" customFormat="1" ht="13.5" customHeight="1">
      <c r="B75" s="96" t="s">
        <v>274</v>
      </c>
      <c r="C75" s="84">
        <f t="shared" ref="C75:T75" si="345">+C74/C$57</f>
        <v>-0.16956998416372274</v>
      </c>
      <c r="D75" s="84">
        <f t="shared" si="345"/>
        <v>-0.15506247083830163</v>
      </c>
      <c r="E75" s="84">
        <f t="shared" si="345"/>
        <v>-0.15742271656896636</v>
      </c>
      <c r="F75" s="84">
        <f t="shared" si="345"/>
        <v>-0.17226890756302521</v>
      </c>
      <c r="G75" s="84">
        <f t="shared" si="345"/>
        <v>-0.19386943492200914</v>
      </c>
      <c r="H75" s="84">
        <f t="shared" si="345"/>
        <v>-0.15885913354347037</v>
      </c>
      <c r="I75" s="84">
        <f t="shared" si="345"/>
        <v>-0.1686597893428658</v>
      </c>
      <c r="J75" s="84">
        <f t="shared" si="345"/>
        <v>-0.15549887113060992</v>
      </c>
      <c r="K75" s="84">
        <f t="shared" si="345"/>
        <v>-0.20564231923691742</v>
      </c>
      <c r="L75" s="84">
        <f t="shared" si="345"/>
        <v>-0.17583279990499509</v>
      </c>
      <c r="M75" s="84">
        <f t="shared" si="345"/>
        <v>-0.16234917930388748</v>
      </c>
      <c r="N75" s="84">
        <f t="shared" si="345"/>
        <v>-0.15058656770045495</v>
      </c>
      <c r="O75" s="84">
        <f t="shared" si="345"/>
        <v>-0.16699097108491914</v>
      </c>
      <c r="P75" s="84">
        <f t="shared" si="345"/>
        <v>-0.16242060268113889</v>
      </c>
      <c r="Q75" s="84">
        <f t="shared" si="345"/>
        <v>-0.15082625766747551</v>
      </c>
      <c r="R75" s="84">
        <f t="shared" si="345"/>
        <v>-0.16228435513361641</v>
      </c>
      <c r="S75" s="1801">
        <f t="shared" si="345"/>
        <v>-0.17096890382999158</v>
      </c>
      <c r="T75" s="84">
        <f t="shared" si="345"/>
        <v>-0.15612380494337208</v>
      </c>
      <c r="U75" s="84">
        <f>+U74/U$57</f>
        <v>-0.1638839311416892</v>
      </c>
      <c r="V75" s="84">
        <f>+V74/V$57</f>
        <v>-6.7585063959811481E-2</v>
      </c>
      <c r="W75" s="1801">
        <f t="shared" ref="W75:AD75" si="346">+W74/W$57</f>
        <v>-0.163341314179303</v>
      </c>
      <c r="X75" s="84">
        <f t="shared" si="346"/>
        <v>-0.18121967626053731</v>
      </c>
      <c r="Y75" s="84">
        <f t="shared" si="346"/>
        <v>-0.14100484668170254</v>
      </c>
      <c r="Z75" s="84">
        <f t="shared" si="346"/>
        <v>-0.13495536495711535</v>
      </c>
      <c r="AA75" s="84">
        <f t="shared" si="346"/>
        <v>-0.15934426229508195</v>
      </c>
      <c r="AB75" s="84">
        <f t="shared" si="346"/>
        <v>-0.17561887950237465</v>
      </c>
      <c r="AC75" s="84">
        <f t="shared" si="346"/>
        <v>-0.17335483600720483</v>
      </c>
      <c r="AD75" s="84">
        <f t="shared" si="346"/>
        <v>-0.13450769547890615</v>
      </c>
      <c r="AE75" s="84">
        <f t="shared" ref="AE75:AH75" si="347">+AE74/AE$57</f>
        <v>-0.17246434759429563</v>
      </c>
      <c r="AF75" s="84">
        <f t="shared" si="347"/>
        <v>-0.171343537414966</v>
      </c>
      <c r="AG75" s="84">
        <f t="shared" si="347"/>
        <v>-0.1637882203982807</v>
      </c>
      <c r="AH75" s="84">
        <f t="shared" si="347"/>
        <v>-0.1705230129550136</v>
      </c>
      <c r="AI75" s="84">
        <f t="shared" ref="AI75:AL75" si="348">+AI74/AI$57</f>
        <v>-0.17907980656266226</v>
      </c>
      <c r="AJ75" s="84">
        <f t="shared" si="348"/>
        <v>-0.1694595874382758</v>
      </c>
      <c r="AK75" s="84">
        <f t="shared" si="348"/>
        <v>-0.15973011978698093</v>
      </c>
      <c r="AL75" s="84">
        <f t="shared" si="348"/>
        <v>-0.10570961986270301</v>
      </c>
      <c r="AM75" s="1801">
        <f t="shared" ref="AM75:AP75" si="349">+AM74/AM$57</f>
        <v>-0.13744811011579636</v>
      </c>
      <c r="AN75" s="84">
        <f t="shared" si="349"/>
        <v>-0.12921222170406066</v>
      </c>
      <c r="AO75" s="84">
        <f t="shared" si="349"/>
        <v>-0.12272582731554858</v>
      </c>
      <c r="AP75" s="84">
        <f t="shared" si="349"/>
        <v>-0.12178094942600061</v>
      </c>
      <c r="AQ75" s="84">
        <f t="shared" ref="AQ75:AT75" si="350">+AQ74/AQ$57</f>
        <v>-0.12710366219036892</v>
      </c>
      <c r="AR75" s="84">
        <f t="shared" si="350"/>
        <v>-0.14672785455568452</v>
      </c>
      <c r="AS75" s="84">
        <f t="shared" si="350"/>
        <v>-0.16001155179052751</v>
      </c>
      <c r="AT75" s="84">
        <f t="shared" si="350"/>
        <v>-0.12368803487808816</v>
      </c>
      <c r="AU75" s="84">
        <f t="shared" ref="AU75:AX75" si="351">+AU74/AU$57</f>
        <v>-0.1401888443811809</v>
      </c>
      <c r="AV75" s="84">
        <f t="shared" si="351"/>
        <v>-0.15080518871720075</v>
      </c>
      <c r="AW75" s="84">
        <f t="shared" si="351"/>
        <v>-0.16548332239794256</v>
      </c>
      <c r="AX75" s="84">
        <f t="shared" si="351"/>
        <v>-0.11782030746273112</v>
      </c>
      <c r="AY75" s="84"/>
      <c r="AZ75" s="84"/>
      <c r="BA75" s="84"/>
      <c r="BB75" s="84">
        <v>-0.12926767623238081</v>
      </c>
      <c r="BC75" s="2184">
        <f>+AT75-BB75</f>
        <v>5.5796413542926471E-3</v>
      </c>
      <c r="BE75" s="84">
        <f t="shared" ref="BE75:BK75" si="352">+BE74/BE$57</f>
        <v>-0.16375490568426382</v>
      </c>
      <c r="BF75" s="84">
        <f t="shared" si="352"/>
        <v>-0.1677174353067685</v>
      </c>
      <c r="BG75" s="84">
        <f t="shared" si="352"/>
        <v>-0.16826058064742169</v>
      </c>
      <c r="BH75" s="84">
        <f>+BH74/BH$57</f>
        <v>-0.16048309905337962</v>
      </c>
      <c r="BI75" s="84"/>
      <c r="BJ75" s="1999">
        <f t="shared" si="352"/>
        <v>-0.11578040782203713</v>
      </c>
      <c r="BK75" s="84">
        <f t="shared" si="352"/>
        <v>-0.15119752775453052</v>
      </c>
      <c r="BL75" s="84">
        <f t="shared" ref="BL75:BQ75" si="353">+BL74/BL$57</f>
        <v>-0.15933184943955622</v>
      </c>
      <c r="BM75" s="84">
        <f t="shared" si="353"/>
        <v>-0.16949203833922066</v>
      </c>
      <c r="BN75" s="84">
        <f t="shared" si="353"/>
        <v>-0.15494017502092036</v>
      </c>
      <c r="BO75" s="1801">
        <f t="shared" si="353"/>
        <v>-0.12691815960360259</v>
      </c>
      <c r="BP75" s="84">
        <f t="shared" si="353"/>
        <v>-0.13886834605981124</v>
      </c>
      <c r="BQ75" s="84">
        <f t="shared" si="353"/>
        <v>-0.14228513663565032</v>
      </c>
      <c r="BR75" s="84">
        <f t="shared" ref="BR75:BU75" si="354">+BR74/BR$57</f>
        <v>-0.14299898808948544</v>
      </c>
      <c r="BS75" s="84">
        <f t="shared" si="354"/>
        <v>-0.14179576361615448</v>
      </c>
      <c r="BT75" s="84">
        <f t="shared" si="354"/>
        <v>-0.14064745344846077</v>
      </c>
      <c r="BU75" s="84">
        <f t="shared" si="354"/>
        <v>-0.13988004972352447</v>
      </c>
    </row>
    <row r="76" spans="2:73" ht="13.5" customHeight="1">
      <c r="B76" s="94" t="s">
        <v>108</v>
      </c>
      <c r="C76" s="84"/>
      <c r="D76" s="84"/>
      <c r="E76" s="84"/>
      <c r="F76" s="84"/>
      <c r="G76" s="84">
        <f t="shared" ref="G76:S76" si="355">+G74/C74-1</f>
        <v>0.17665715344863986</v>
      </c>
      <c r="H76" s="84">
        <f t="shared" si="355"/>
        <v>7.5875194368000276E-2</v>
      </c>
      <c r="I76" s="84">
        <f t="shared" si="355"/>
        <v>2.129890262169476E-2</v>
      </c>
      <c r="J76" s="84">
        <f t="shared" si="355"/>
        <v>-0.11193336918650498</v>
      </c>
      <c r="K76" s="84">
        <f t="shared" si="355"/>
        <v>8.5149549287416137E-2</v>
      </c>
      <c r="L76" s="84">
        <f t="shared" si="355"/>
        <v>0.10693518923179246</v>
      </c>
      <c r="M76" s="84">
        <f t="shared" si="355"/>
        <v>0.19673952765263358</v>
      </c>
      <c r="N76" s="84">
        <f t="shared" si="355"/>
        <v>0.57535017781222808</v>
      </c>
      <c r="O76" s="84">
        <f t="shared" si="355"/>
        <v>0.26256315083248771</v>
      </c>
      <c r="P76" s="84">
        <f t="shared" si="355"/>
        <v>0.41354051662612656</v>
      </c>
      <c r="Q76" s="84">
        <f t="shared" si="355"/>
        <v>0.27326281768240102</v>
      </c>
      <c r="R76" s="84">
        <f t="shared" si="355"/>
        <v>0.25166845725210507</v>
      </c>
      <c r="S76" s="1801">
        <f t="shared" si="355"/>
        <v>0.11049385338551865</v>
      </c>
      <c r="T76" s="84">
        <f>+T74/P74-1</f>
        <v>5.5389544803447821E-2</v>
      </c>
      <c r="U76" s="84">
        <f>+U74/Q74-1</f>
        <v>0.16429878765597339</v>
      </c>
      <c r="V76" s="84">
        <f>+V74/R74-1</f>
        <v>-7.2618095109208358E-2</v>
      </c>
      <c r="W76" s="1801">
        <f t="shared" ref="W76:AD76" si="356">+W74/S74-1</f>
        <v>1.4638844301765652</v>
      </c>
      <c r="X76" s="84">
        <f t="shared" si="356"/>
        <v>1.3827625141136624</v>
      </c>
      <c r="Y76" s="84">
        <f t="shared" si="356"/>
        <v>1.5807131565079926</v>
      </c>
      <c r="Z76" s="84">
        <f t="shared" si="356"/>
        <v>1.4813793103448276</v>
      </c>
      <c r="AA76" s="84">
        <f t="shared" si="356"/>
        <v>0.22687296416938096</v>
      </c>
      <c r="AB76" s="84">
        <f t="shared" si="356"/>
        <v>0.32001263623440224</v>
      </c>
      <c r="AC76" s="84">
        <f t="shared" si="356"/>
        <v>0.12673563844268987</v>
      </c>
      <c r="AD76" s="84">
        <f t="shared" si="356"/>
        <v>-3.2734235068865414E-2</v>
      </c>
      <c r="AE76" s="84">
        <f t="shared" ref="AE76" si="357">+AE74/AA74-1</f>
        <v>-5.5223682463825696E-2</v>
      </c>
      <c r="AF76" s="84">
        <f t="shared" ref="AF76" si="358">+AF74/AB74-1</f>
        <v>-0.10787363886562173</v>
      </c>
      <c r="AG76" s="84">
        <f t="shared" ref="AG76" si="359">+AG74/AC74-1</f>
        <v>-0.10915790745439169</v>
      </c>
      <c r="AH76" s="84">
        <f t="shared" ref="AH76" si="360">+AH74/AD74-1</f>
        <v>0.13128152736096044</v>
      </c>
      <c r="AI76" s="84">
        <f t="shared" ref="AI76" si="361">+AI74/AE74-1</f>
        <v>-7.9036110720809294E-2</v>
      </c>
      <c r="AJ76" s="84">
        <f t="shared" ref="AJ76" si="362">+AJ74/AF74-1</f>
        <v>-0.11655824559050343</v>
      </c>
      <c r="AK76" s="84">
        <f t="shared" ref="AK76" si="363">+AK74/AG74-1</f>
        <v>-0.18577812436427754</v>
      </c>
      <c r="AL76" s="84">
        <f t="shared" ref="AL76" si="364">+AL74/AH74-1</f>
        <v>-0.60540723598803403</v>
      </c>
      <c r="AM76" s="1801">
        <f t="shared" ref="AM76" si="365">+AM74/AI74-1</f>
        <v>-0.52010069417957128</v>
      </c>
      <c r="AN76" s="84">
        <f t="shared" ref="AN76" si="366">+AN74/AJ74-1</f>
        <v>-0.432095953844986</v>
      </c>
      <c r="AO76" s="84">
        <f t="shared" ref="AO76" si="367">+AO74/AK74-1</f>
        <v>-0.38924151839616683</v>
      </c>
      <c r="AP76" s="84">
        <f t="shared" ref="AP76" si="368">+AP74/AL74-1</f>
        <v>0.23515949077385212</v>
      </c>
      <c r="AQ76" s="84">
        <f t="shared" ref="AQ76" si="369">+AQ74/AM74-1</f>
        <v>3.91034811635671E-2</v>
      </c>
      <c r="AR76" s="84">
        <f t="shared" ref="AR76" si="370">+AR74/AN74-1</f>
        <v>0.11549258120572103</v>
      </c>
      <c r="AS76" s="84">
        <f t="shared" ref="AS76" si="371">+AS74/AO74-1</f>
        <v>0.13328027273029974</v>
      </c>
      <c r="AT76" s="84">
        <f t="shared" ref="AT76" si="372">+AT74/AP74-1</f>
        <v>-0.11291256514186454</v>
      </c>
      <c r="AU76" s="84">
        <f t="shared" ref="AU76" si="373">+AU74/AQ74-1</f>
        <v>1.756157258681279E-3</v>
      </c>
      <c r="AV76" s="84">
        <f t="shared" ref="AV76" si="374">+AV74/AR74-1</f>
        <v>1.0041941282204814E-2</v>
      </c>
      <c r="AW76" s="84">
        <f t="shared" ref="AW76" si="375">+AW74/AS74-1</f>
        <v>9.7942485862112516E-3</v>
      </c>
      <c r="AX76" s="84">
        <f t="shared" ref="AX76" si="376">+AX74/AT74-1</f>
        <v>-2.2506527415143585E-2</v>
      </c>
      <c r="AY76" s="84"/>
      <c r="AZ76" s="84"/>
      <c r="BA76" s="84"/>
      <c r="BB76" s="84">
        <v>-5.0000000000000044E-2</v>
      </c>
      <c r="BC76" s="2184"/>
      <c r="BE76" s="84"/>
      <c r="BF76" s="84">
        <f t="shared" ref="BF76:BQ76" si="377">+BF74/BE74-1</f>
        <v>2.5970552470173214E-2</v>
      </c>
      <c r="BG76" s="84">
        <f t="shared" si="377"/>
        <v>0.24921851570774667</v>
      </c>
      <c r="BH76" s="84">
        <f t="shared" si="377"/>
        <v>0.29378694336737721</v>
      </c>
      <c r="BI76" s="84"/>
      <c r="BJ76" s="1999">
        <f>+BJ74/BH74-1</f>
        <v>4.975689172391129E-2</v>
      </c>
      <c r="BK76" s="84">
        <f>+BK74/BJ74-1</f>
        <v>1.4793480191863564</v>
      </c>
      <c r="BL76" s="84">
        <f t="shared" si="377"/>
        <v>0.14635020152261524</v>
      </c>
      <c r="BM76" s="84">
        <f t="shared" si="377"/>
        <v>-3.7284162825220735E-2</v>
      </c>
      <c r="BN76" s="84">
        <f t="shared" si="377"/>
        <v>-0.26503708873703502</v>
      </c>
      <c r="BO76" s="1801">
        <f t="shared" si="377"/>
        <v>-0.34318988755346636</v>
      </c>
      <c r="BP76" s="84">
        <f t="shared" si="377"/>
        <v>3.7404159972470152E-2</v>
      </c>
      <c r="BQ76" s="84">
        <f t="shared" si="377"/>
        <v>1.3872232846079413E-4</v>
      </c>
      <c r="BR76" s="84">
        <f t="shared" ref="BR76" si="378">+BR74/BQ74-1</f>
        <v>5.0000000000000044E-2</v>
      </c>
      <c r="BS76" s="84">
        <f t="shared" ref="BS76" si="379">+BS74/BR74-1</f>
        <v>3.0000000000000027E-2</v>
      </c>
      <c r="BT76" s="84">
        <f t="shared" ref="BT76:BU76" si="380">+BT74/BS74-1</f>
        <v>3.0000000000000027E-2</v>
      </c>
      <c r="BU76" s="84">
        <f t="shared" si="380"/>
        <v>3.0000000000000027E-2</v>
      </c>
    </row>
    <row r="77" spans="2:73" ht="13.5" customHeight="1">
      <c r="B77" s="94"/>
      <c r="C77" s="84"/>
      <c r="D77" s="84"/>
      <c r="E77" s="84"/>
      <c r="F77" s="84"/>
      <c r="G77" s="84"/>
      <c r="H77" s="84"/>
      <c r="I77" s="84"/>
      <c r="J77" s="84"/>
      <c r="K77" s="84"/>
      <c r="L77" s="84"/>
      <c r="M77" s="84"/>
      <c r="N77" s="84"/>
      <c r="O77" s="84"/>
      <c r="P77" s="84"/>
      <c r="Q77" s="84"/>
      <c r="R77" s="84"/>
      <c r="S77" s="1801"/>
      <c r="T77" s="84"/>
      <c r="U77" s="84"/>
      <c r="V77" s="84"/>
      <c r="W77" s="1801"/>
      <c r="X77" s="84"/>
      <c r="Y77" s="84"/>
      <c r="Z77" s="84"/>
      <c r="AA77" s="84"/>
      <c r="AB77" s="84"/>
      <c r="AC77" s="84"/>
      <c r="AD77" s="84"/>
      <c r="AE77" s="84"/>
      <c r="AF77" s="84"/>
      <c r="AG77" s="84"/>
      <c r="AH77" s="84"/>
      <c r="AI77" s="84"/>
      <c r="AJ77" s="84"/>
      <c r="AK77" s="84"/>
      <c r="AL77" s="84"/>
      <c r="AM77" s="1801"/>
      <c r="AN77" s="84"/>
      <c r="AO77" s="84"/>
      <c r="AP77" s="84"/>
      <c r="AQ77" s="84"/>
      <c r="AR77" s="84"/>
      <c r="AS77" s="84"/>
      <c r="AT77" s="84"/>
      <c r="AU77" s="84"/>
      <c r="AV77" s="84"/>
      <c r="AW77" s="84"/>
      <c r="AX77" s="84"/>
      <c r="AY77" s="84"/>
      <c r="AZ77" s="84"/>
      <c r="BA77" s="84"/>
      <c r="BB77" s="84"/>
      <c r="BC77" s="2184"/>
      <c r="BE77" s="84"/>
      <c r="BF77" s="84"/>
      <c r="BG77" s="84"/>
      <c r="BH77" s="84"/>
      <c r="BI77" s="84"/>
      <c r="BJ77" s="1999"/>
      <c r="BK77" s="84"/>
      <c r="BL77" s="84"/>
      <c r="BM77" s="84"/>
      <c r="BN77" s="84"/>
      <c r="BO77" s="1801"/>
      <c r="BP77" s="84"/>
      <c r="BQ77" s="84"/>
      <c r="BR77" s="84"/>
      <c r="BS77" s="84"/>
      <c r="BT77" s="84"/>
      <c r="BU77" s="84"/>
    </row>
    <row r="78" spans="2:73">
      <c r="B78" s="94"/>
      <c r="C78" s="84"/>
      <c r="D78" s="84"/>
      <c r="E78" s="84"/>
      <c r="F78" s="84"/>
      <c r="G78" s="84"/>
      <c r="H78" s="84"/>
      <c r="I78" s="84"/>
      <c r="J78" s="84"/>
      <c r="K78" s="84"/>
      <c r="L78" s="84"/>
      <c r="M78" s="84"/>
      <c r="N78" s="84"/>
      <c r="O78" s="84"/>
      <c r="P78" s="84"/>
      <c r="Q78" s="84"/>
      <c r="R78" s="84"/>
      <c r="S78" s="1801"/>
      <c r="T78" s="84"/>
      <c r="U78" s="84"/>
      <c r="V78" s="84"/>
      <c r="W78" s="1801"/>
      <c r="X78" s="84"/>
      <c r="Y78" s="84"/>
      <c r="Z78" s="84"/>
      <c r="AA78" s="84"/>
      <c r="AB78" s="84"/>
      <c r="AC78" s="84"/>
      <c r="AD78" s="84"/>
      <c r="AE78" s="84"/>
      <c r="AF78" s="84"/>
      <c r="AG78" s="84"/>
      <c r="AH78" s="84"/>
      <c r="AI78" s="84"/>
      <c r="AJ78" s="84"/>
      <c r="AK78" s="84"/>
      <c r="AL78" s="84"/>
      <c r="AM78" s="1801"/>
      <c r="AN78" s="84"/>
      <c r="AO78" s="84"/>
      <c r="AP78" s="84"/>
      <c r="AQ78" s="84"/>
      <c r="AR78" s="84"/>
      <c r="AS78" s="84"/>
      <c r="AT78" s="84"/>
      <c r="AU78" s="84"/>
      <c r="AV78" s="84"/>
      <c r="AW78" s="84"/>
      <c r="AX78" s="84"/>
      <c r="AY78" s="84"/>
      <c r="AZ78" s="84"/>
      <c r="BA78" s="84"/>
      <c r="BB78" s="84"/>
      <c r="BC78" s="2184"/>
      <c r="BE78" s="84"/>
      <c r="BF78" s="84"/>
      <c r="BG78" s="84"/>
      <c r="BH78" s="84"/>
      <c r="BI78" s="84"/>
      <c r="BJ78" s="1999"/>
      <c r="BK78" s="84"/>
      <c r="BL78" s="84"/>
      <c r="BM78" s="84"/>
      <c r="BN78" s="84"/>
      <c r="BO78" s="1801"/>
      <c r="BP78" s="84"/>
      <c r="BQ78" s="84"/>
      <c r="BR78" s="84"/>
      <c r="BS78" s="84"/>
      <c r="BT78" s="84"/>
      <c r="BU78" s="84"/>
    </row>
    <row r="79" spans="2:73" ht="13.5" customHeight="1">
      <c r="B79" s="75" t="s">
        <v>278</v>
      </c>
      <c r="C79" s="90">
        <v>8.5</v>
      </c>
      <c r="D79" s="90">
        <v>9.9</v>
      </c>
      <c r="E79" s="90">
        <v>36.6</v>
      </c>
      <c r="F79" s="90">
        <v>10.8</v>
      </c>
      <c r="G79" s="90">
        <v>7.7405845346991047</v>
      </c>
      <c r="H79" s="90">
        <v>-4.4156492948109216</v>
      </c>
      <c r="I79" s="90">
        <v>7.5</v>
      </c>
      <c r="J79" s="90">
        <v>43.561688238603764</v>
      </c>
      <c r="K79" s="90">
        <v>180.06242820148304</v>
      </c>
      <c r="L79" s="90">
        <v>-22.649430813208348</v>
      </c>
      <c r="M79" s="90">
        <v>89.449308694357256</v>
      </c>
      <c r="N79" s="90">
        <v>-42.423780762646551</v>
      </c>
      <c r="O79" s="90">
        <v>-13.162212719757402</v>
      </c>
      <c r="P79" s="90">
        <v>-3.2399166778859785</v>
      </c>
      <c r="Q79" s="90">
        <v>38.003935366262731</v>
      </c>
      <c r="R79" s="90">
        <v>37.266905210130247</v>
      </c>
      <c r="S79" s="1804">
        <v>21.1</v>
      </c>
      <c r="T79" s="90">
        <v>80.3</v>
      </c>
      <c r="U79" s="90">
        <v>13</v>
      </c>
      <c r="V79" s="90">
        <v>2</v>
      </c>
      <c r="W79" s="1804">
        <v>-15.1</v>
      </c>
      <c r="X79" s="90">
        <f>119.1-0.2</f>
        <v>118.89999999999999</v>
      </c>
      <c r="Y79" s="90">
        <v>-38.6</v>
      </c>
      <c r="Z79" s="90">
        <v>-18.8</v>
      </c>
      <c r="AA79" s="90">
        <v>8.6999999999999993</v>
      </c>
      <c r="AB79" s="90">
        <v>-20.6</v>
      </c>
      <c r="AC79" s="90">
        <v>244.6</v>
      </c>
      <c r="AD79" s="90">
        <v>34.9</v>
      </c>
      <c r="AE79" s="90">
        <v>21.4</v>
      </c>
      <c r="AF79" s="90">
        <v>93.6</v>
      </c>
      <c r="AG79" s="90">
        <v>22.6</v>
      </c>
      <c r="AH79" s="90">
        <v>-435.2</v>
      </c>
      <c r="AI79" s="90">
        <v>-11.7</v>
      </c>
      <c r="AJ79" s="90">
        <v>-80.199999999999989</v>
      </c>
      <c r="AK79" s="90">
        <v>-65.463999999999999</v>
      </c>
      <c r="AL79" s="90">
        <v>-544.79999999999995</v>
      </c>
      <c r="AM79" s="1804">
        <v>89.6</v>
      </c>
      <c r="AN79" s="90">
        <v>25.3</v>
      </c>
      <c r="AO79" s="90">
        <v>-58.665199048641561</v>
      </c>
      <c r="AP79" s="90">
        <v>-510.99999999999994</v>
      </c>
      <c r="AQ79" s="90">
        <v>19.7</v>
      </c>
      <c r="AR79" s="90">
        <v>26.5</v>
      </c>
      <c r="AS79" s="90">
        <v>2.1000000000000014</v>
      </c>
      <c r="AT79" s="90">
        <v>-409</v>
      </c>
      <c r="AU79" s="1318">
        <f t="shared" ref="AU79:AX79" si="381">+AU217</f>
        <v>0</v>
      </c>
      <c r="AV79" s="1318">
        <f t="shared" si="381"/>
        <v>0</v>
      </c>
      <c r="AW79" s="1318">
        <f t="shared" si="381"/>
        <v>0</v>
      </c>
      <c r="AX79" s="1318">
        <f t="shared" si="381"/>
        <v>0</v>
      </c>
      <c r="AY79" s="1318"/>
      <c r="AZ79" s="1318"/>
      <c r="BA79" s="77"/>
      <c r="BB79" s="1318">
        <v>0</v>
      </c>
      <c r="BC79" s="2179"/>
      <c r="BE79" s="77">
        <f>+SUM(C79:F79)</f>
        <v>65.8</v>
      </c>
      <c r="BF79" s="77">
        <f>+SUM(G79:J79)</f>
        <v>54.386623478491948</v>
      </c>
      <c r="BG79" s="77">
        <f>+SUM(K79:N79)</f>
        <v>204.43852531998542</v>
      </c>
      <c r="BH79" s="77">
        <f>+SUM(O79:R79)</f>
        <v>58.868711178749592</v>
      </c>
      <c r="BI79" s="77"/>
      <c r="BJ79" s="1998">
        <f>+SUM(S79:V79)</f>
        <v>116.4</v>
      </c>
      <c r="BK79" s="77">
        <f>+SUM(W79:Z79)</f>
        <v>46.399999999999991</v>
      </c>
      <c r="BL79" s="77">
        <f>+SUM(AA79:AD79)</f>
        <v>267.59999999999997</v>
      </c>
      <c r="BM79" s="77">
        <f>+SUM(AE79:AH79)</f>
        <v>-297.60000000000002</v>
      </c>
      <c r="BN79" s="77">
        <f>+SUM(AI79:AL79)</f>
        <v>-702.16399999999999</v>
      </c>
      <c r="BO79" s="1791">
        <f>+SUM(AM79:AP79)</f>
        <v>-454.76519904864153</v>
      </c>
      <c r="BP79" s="77">
        <f>+SUM(AQ79:AT79)</f>
        <v>-360.7</v>
      </c>
      <c r="BQ79" s="77">
        <f>+SUM(AU79:AX79)</f>
        <v>0</v>
      </c>
      <c r="BR79" s="1318">
        <f t="shared" ref="BR79:BU79" si="382">+BR217</f>
        <v>0</v>
      </c>
      <c r="BS79" s="1318">
        <f t="shared" si="382"/>
        <v>0</v>
      </c>
      <c r="BT79" s="1318">
        <f t="shared" si="382"/>
        <v>0</v>
      </c>
      <c r="BU79" s="1318">
        <f t="shared" si="382"/>
        <v>0</v>
      </c>
    </row>
    <row r="80" spans="2:73" ht="13.5" customHeight="1">
      <c r="B80" s="75" t="s">
        <v>279</v>
      </c>
      <c r="C80" s="90">
        <v>0</v>
      </c>
      <c r="D80" s="90">
        <v>0</v>
      </c>
      <c r="E80" s="90">
        <v>0</v>
      </c>
      <c r="F80" s="90">
        <v>0</v>
      </c>
      <c r="G80" s="90">
        <v>0</v>
      </c>
      <c r="H80" s="90">
        <v>0</v>
      </c>
      <c r="I80" s="90">
        <v>0</v>
      </c>
      <c r="J80" s="90">
        <v>0</v>
      </c>
      <c r="K80" s="90">
        <v>0</v>
      </c>
      <c r="L80" s="90">
        <v>0</v>
      </c>
      <c r="M80" s="90">
        <v>-29.146999999999998</v>
      </c>
      <c r="N80" s="90">
        <v>-22.485057518729995</v>
      </c>
      <c r="O80" s="90">
        <v>-0.1</v>
      </c>
      <c r="P80" s="90">
        <v>0</v>
      </c>
      <c r="Q80" s="90">
        <v>0</v>
      </c>
      <c r="R80" s="90">
        <v>0</v>
      </c>
      <c r="S80" s="1804">
        <v>0</v>
      </c>
      <c r="T80" s="90">
        <v>-55.6</v>
      </c>
      <c r="U80" s="90">
        <v>-32</v>
      </c>
      <c r="V80" s="90">
        <v>-37.5</v>
      </c>
      <c r="W80" s="1804">
        <v>-298.3</v>
      </c>
      <c r="X80" s="90">
        <v>-5.6</v>
      </c>
      <c r="Y80" s="90">
        <v>0</v>
      </c>
      <c r="Z80" s="90">
        <v>0</v>
      </c>
      <c r="AA80" s="90">
        <v>0</v>
      </c>
      <c r="AB80" s="90">
        <v>0</v>
      </c>
      <c r="AC80" s="90">
        <v>0</v>
      </c>
      <c r="AD80" s="90">
        <v>0</v>
      </c>
      <c r="AE80" s="90">
        <v>0</v>
      </c>
      <c r="AF80" s="90">
        <v>0</v>
      </c>
      <c r="AG80" s="90">
        <v>0</v>
      </c>
      <c r="AH80" s="90">
        <v>0</v>
      </c>
      <c r="AI80" s="90">
        <v>0</v>
      </c>
      <c r="AJ80" s="90">
        <v>0</v>
      </c>
      <c r="AK80" s="90">
        <v>0</v>
      </c>
      <c r="AL80" s="90">
        <v>0</v>
      </c>
      <c r="AM80" s="1804">
        <v>0</v>
      </c>
      <c r="AN80" s="90">
        <v>0</v>
      </c>
      <c r="AO80" s="90">
        <v>0</v>
      </c>
      <c r="AP80" s="90">
        <v>0</v>
      </c>
      <c r="AQ80" s="90">
        <v>0</v>
      </c>
      <c r="AR80" s="90">
        <v>0</v>
      </c>
      <c r="AS80" s="90">
        <v>0</v>
      </c>
      <c r="AT80" s="90">
        <v>0</v>
      </c>
      <c r="AU80" s="90">
        <v>0</v>
      </c>
      <c r="AV80" s="90">
        <v>0</v>
      </c>
      <c r="AW80" s="90">
        <v>0</v>
      </c>
      <c r="AX80" s="90">
        <v>0</v>
      </c>
      <c r="AY80" s="90"/>
      <c r="AZ80" s="90"/>
      <c r="BA80" s="77"/>
      <c r="BB80" s="90">
        <v>0</v>
      </c>
      <c r="BC80" s="2179"/>
      <c r="BD80" s="978"/>
      <c r="BE80" s="77">
        <f>+SUM(C80:F80)</f>
        <v>0</v>
      </c>
      <c r="BF80" s="77">
        <f>+SUM(G80:J80)</f>
        <v>0</v>
      </c>
      <c r="BG80" s="77">
        <f>+SUM(K80:N80)</f>
        <v>-51.632057518729994</v>
      </c>
      <c r="BH80" s="77">
        <f>+SUM(O80:R80)</f>
        <v>-0.1</v>
      </c>
      <c r="BI80" s="77"/>
      <c r="BJ80" s="1998">
        <f>+SUM(S80:V80)</f>
        <v>-125.1</v>
      </c>
      <c r="BK80" s="77">
        <f>+SUM(W80:Z80)</f>
        <v>-303.90000000000003</v>
      </c>
      <c r="BL80" s="77">
        <f>+SUM(AA80:AD80)</f>
        <v>0</v>
      </c>
      <c r="BM80" s="77">
        <f>+SUM(AE80:AH80)</f>
        <v>0</v>
      </c>
      <c r="BN80" s="77">
        <f>+SUM(AI80:AL80)</f>
        <v>0</v>
      </c>
      <c r="BO80" s="1791">
        <f>+SUM(AM80:AP80)</f>
        <v>0</v>
      </c>
      <c r="BP80" s="77">
        <f>+SUM(AQ80:AT80)</f>
        <v>0</v>
      </c>
      <c r="BQ80" s="77">
        <f>+SUM(AU80:AX80)</f>
        <v>0</v>
      </c>
      <c r="BR80" s="90">
        <v>0</v>
      </c>
      <c r="BS80" s="90">
        <v>0</v>
      </c>
      <c r="BT80" s="90">
        <v>0</v>
      </c>
      <c r="BU80" s="90">
        <v>0</v>
      </c>
    </row>
    <row r="81" spans="2:78" ht="13.5" customHeight="1">
      <c r="B81" s="75" t="s">
        <v>280</v>
      </c>
      <c r="C81" s="90">
        <v>0</v>
      </c>
      <c r="D81" s="90">
        <v>0</v>
      </c>
      <c r="E81" s="90">
        <v>0</v>
      </c>
      <c r="F81" s="90">
        <v>0</v>
      </c>
      <c r="G81" s="90">
        <v>0</v>
      </c>
      <c r="H81" s="90">
        <v>0</v>
      </c>
      <c r="I81" s="90">
        <v>0</v>
      </c>
      <c r="J81" s="90">
        <v>0</v>
      </c>
      <c r="K81" s="90">
        <v>0</v>
      </c>
      <c r="L81" s="90">
        <v>0</v>
      </c>
      <c r="M81" s="90">
        <v>0</v>
      </c>
      <c r="N81" s="90">
        <v>-12.6</v>
      </c>
      <c r="O81" s="90">
        <v>-15.811330683815903</v>
      </c>
      <c r="P81" s="90">
        <v>-21.55661644581042</v>
      </c>
      <c r="Q81" s="90">
        <v>-24.87184795125297</v>
      </c>
      <c r="R81" s="90">
        <v>-39.69938179138574</v>
      </c>
      <c r="S81" s="1804">
        <v>-38.6</v>
      </c>
      <c r="T81" s="90">
        <v>-32.9</v>
      </c>
      <c r="U81" s="90">
        <v>-32.799999999999997</v>
      </c>
      <c r="V81" s="90">
        <v>-38.799999999999997</v>
      </c>
      <c r="W81" s="1804">
        <v>-30.2</v>
      </c>
      <c r="X81" s="90">
        <v>-78.099999999999994</v>
      </c>
      <c r="Y81" s="90">
        <v>-99.8</v>
      </c>
      <c r="Z81" s="90">
        <v>-171.3</v>
      </c>
      <c r="AA81" s="90">
        <v>-110.9</v>
      </c>
      <c r="AB81" s="90">
        <v>-148.4</v>
      </c>
      <c r="AC81" s="90">
        <v>-142.30000000000001</v>
      </c>
      <c r="AD81" s="90">
        <v>-157.4</v>
      </c>
      <c r="AE81" s="90">
        <v>-109.9</v>
      </c>
      <c r="AF81" s="90">
        <v>-88.7</v>
      </c>
      <c r="AG81" s="90">
        <v>-72.5</v>
      </c>
      <c r="AH81" s="90">
        <v>-121</v>
      </c>
      <c r="AI81" s="90">
        <v>-70.099999999999994</v>
      </c>
      <c r="AJ81" s="90">
        <v>-83.63</v>
      </c>
      <c r="AK81" s="90">
        <v>-74.700999999999993</v>
      </c>
      <c r="AL81" s="90">
        <v>-94.8</v>
      </c>
      <c r="AM81" s="1804">
        <v>-59.200000000000017</v>
      </c>
      <c r="AN81" s="90">
        <v>-85.9</v>
      </c>
      <c r="AO81" s="90">
        <v>-43.7</v>
      </c>
      <c r="AP81" s="90">
        <v>-90</v>
      </c>
      <c r="AQ81" s="90">
        <f>-42.9-68.5-AR81</f>
        <v>-30.700000000000017</v>
      </c>
      <c r="AR81" s="90">
        <f>-36.9-43.8</f>
        <v>-80.699999999999989</v>
      </c>
      <c r="AS81" s="90">
        <v>-32</v>
      </c>
      <c r="AT81" s="90">
        <v>0</v>
      </c>
      <c r="AU81" s="157">
        <f>+AQ81*0.95</f>
        <v>-29.165000000000013</v>
      </c>
      <c r="AV81" s="157">
        <f t="shared" ref="AV81:AX81" si="383">+AR81*0.95</f>
        <v>-76.664999999999992</v>
      </c>
      <c r="AW81" s="157">
        <f t="shared" si="383"/>
        <v>-30.4</v>
      </c>
      <c r="AX81" s="157">
        <f t="shared" si="383"/>
        <v>0</v>
      </c>
      <c r="AY81" s="157"/>
      <c r="AZ81" s="157"/>
      <c r="BA81" s="77"/>
      <c r="BB81" s="157">
        <v>-90</v>
      </c>
      <c r="BC81" s="2179"/>
      <c r="BD81" s="978"/>
      <c r="BE81" s="77">
        <f>+SUM(C81:F81)</f>
        <v>0</v>
      </c>
      <c r="BF81" s="77">
        <f>+SUM(G81:J81)</f>
        <v>0</v>
      </c>
      <c r="BG81" s="77">
        <f>+SUM(K81:N81)</f>
        <v>-12.6</v>
      </c>
      <c r="BH81" s="77">
        <f>+SUM(O81:R81)</f>
        <v>-101.93917687226502</v>
      </c>
      <c r="BI81" s="77"/>
      <c r="BJ81" s="1998">
        <f>+SUM(S81:V81)</f>
        <v>-143.1</v>
      </c>
      <c r="BK81" s="77">
        <f>+SUM(W81:Z81)</f>
        <v>-379.4</v>
      </c>
      <c r="BL81" s="77">
        <f>+SUM(AA81:AD81)</f>
        <v>-559</v>
      </c>
      <c r="BM81" s="77">
        <f>+SUM(AE81:AH81)</f>
        <v>-392.1</v>
      </c>
      <c r="BN81" s="77">
        <f>+SUM(AI81:AL81)</f>
        <v>-323.23099999999999</v>
      </c>
      <c r="BO81" s="1791">
        <f>+SUM(AM81:AP81)</f>
        <v>-278.8</v>
      </c>
      <c r="BP81" s="77">
        <f>+SUM(AQ81:AT81)</f>
        <v>-143.4</v>
      </c>
      <c r="BQ81" s="77">
        <f>+SUM(AU81:AX81)</f>
        <v>-136.23000000000002</v>
      </c>
      <c r="BR81" s="157">
        <f t="shared" ref="BR81" si="384">+BQ81</f>
        <v>-136.23000000000002</v>
      </c>
      <c r="BS81" s="157">
        <f t="shared" ref="BS81" si="385">+BR81</f>
        <v>-136.23000000000002</v>
      </c>
      <c r="BT81" s="157">
        <f t="shared" ref="BT81" si="386">+BS81</f>
        <v>-136.23000000000002</v>
      </c>
      <c r="BU81" s="157">
        <f t="shared" ref="BU81" si="387">+BT81</f>
        <v>-136.23000000000002</v>
      </c>
    </row>
    <row r="82" spans="2:78" s="558" customFormat="1" ht="13.5" customHeight="1">
      <c r="B82" s="1231" t="s">
        <v>274</v>
      </c>
      <c r="C82" s="1232">
        <f t="shared" ref="C82:T82" si="388">+C81/C$57</f>
        <v>0</v>
      </c>
      <c r="D82" s="1232">
        <f t="shared" si="388"/>
        <v>0</v>
      </c>
      <c r="E82" s="1232">
        <f t="shared" si="388"/>
        <v>0</v>
      </c>
      <c r="F82" s="1232">
        <f t="shared" si="388"/>
        <v>0</v>
      </c>
      <c r="G82" s="1232">
        <f t="shared" si="388"/>
        <v>0</v>
      </c>
      <c r="H82" s="1232">
        <f t="shared" si="388"/>
        <v>0</v>
      </c>
      <c r="I82" s="1232">
        <f t="shared" si="388"/>
        <v>0</v>
      </c>
      <c r="J82" s="1232">
        <f t="shared" si="388"/>
        <v>0</v>
      </c>
      <c r="K82" s="1232">
        <f t="shared" si="388"/>
        <v>0</v>
      </c>
      <c r="L82" s="1232">
        <f t="shared" si="388"/>
        <v>0</v>
      </c>
      <c r="M82" s="1232">
        <f t="shared" si="388"/>
        <v>0</v>
      </c>
      <c r="N82" s="1232">
        <f t="shared" si="388"/>
        <v>-3.3753917865466526E-3</v>
      </c>
      <c r="O82" s="1232">
        <f t="shared" si="388"/>
        <v>-5.8830093332891817E-3</v>
      </c>
      <c r="P82" s="1232">
        <f t="shared" si="388"/>
        <v>-6.9536519554567935E-3</v>
      </c>
      <c r="Q82" s="1232">
        <f t="shared" si="388"/>
        <v>-7.671994289161173E-3</v>
      </c>
      <c r="R82" s="1232">
        <f t="shared" si="388"/>
        <v>-9.156689752427288E-3</v>
      </c>
      <c r="S82" s="1805">
        <f t="shared" si="388"/>
        <v>-1.3241171123269814E-2</v>
      </c>
      <c r="T82" s="1232">
        <f t="shared" si="388"/>
        <v>-9.6659261999189703E-3</v>
      </c>
      <c r="U82" s="1232">
        <f>+U81/U$57</f>
        <v>-9.4421095054407263E-3</v>
      </c>
      <c r="V82" s="1232">
        <f>+V81/V$57</f>
        <v>-4.0188513128592883E-3</v>
      </c>
      <c r="W82" s="1805">
        <f t="shared" ref="W82:AH82" si="389">+W81/W$57</f>
        <v>-4.0170258047353014E-3</v>
      </c>
      <c r="X82" s="1232">
        <f t="shared" si="389"/>
        <v>-1.1177741838531007E-2</v>
      </c>
      <c r="Y82" s="1232">
        <f t="shared" si="389"/>
        <v>-9.5781947310331576E-3</v>
      </c>
      <c r="Z82" s="1232">
        <f t="shared" si="389"/>
        <v>-1.4278212597834515E-2</v>
      </c>
      <c r="AA82" s="1232">
        <f t="shared" si="389"/>
        <v>-1.1729243786356426E-2</v>
      </c>
      <c r="AB82" s="1232">
        <f t="shared" si="389"/>
        <v>-1.5592821418064135E-2</v>
      </c>
      <c r="AC82" s="1232">
        <f t="shared" si="389"/>
        <v>-1.4901771876178112E-2</v>
      </c>
      <c r="AD82" s="1232">
        <f t="shared" si="389"/>
        <v>-1.3518620310567542E-2</v>
      </c>
      <c r="AE82" s="1232">
        <f t="shared" si="389"/>
        <v>-1.3315885766905362E-2</v>
      </c>
      <c r="AF82" s="1232">
        <f t="shared" si="389"/>
        <v>-1.0192590549733408E-2</v>
      </c>
      <c r="AG82" s="1232">
        <f t="shared" si="389"/>
        <v>-8.0522451880893405E-3</v>
      </c>
      <c r="AH82" s="1232">
        <f t="shared" si="389"/>
        <v>-1.1646037459816358E-2</v>
      </c>
      <c r="AI82" s="1232">
        <f t="shared" ref="AI82:AL82" si="390">+AI81/AI$57</f>
        <v>-9.5762410863091171E-3</v>
      </c>
      <c r="AJ82" s="1232">
        <f t="shared" si="390"/>
        <v>-1.0758297500541261E-2</v>
      </c>
      <c r="AK82" s="1232">
        <f t="shared" si="390"/>
        <v>-9.9372630536574431E-3</v>
      </c>
      <c r="AL82" s="1232">
        <f t="shared" si="390"/>
        <v>-1.4334532918014939E-2</v>
      </c>
      <c r="AM82" s="1805">
        <f t="shared" ref="AM82:AP82" si="391">+AM81/AM$57</f>
        <v>-1.2934236399388246E-2</v>
      </c>
      <c r="AN82" s="1232">
        <f t="shared" si="391"/>
        <v>-1.4836692747465328E-2</v>
      </c>
      <c r="AO82" s="1232">
        <f t="shared" si="391"/>
        <v>-7.3130989899388345E-3</v>
      </c>
      <c r="AP82" s="1232">
        <f t="shared" si="391"/>
        <v>-1.2692860970862831E-2</v>
      </c>
      <c r="AQ82" s="1232">
        <f t="shared" ref="AQ82:AT82" si="392">+AQ81/AQ$57</f>
        <v>-5.9692250715073086E-3</v>
      </c>
      <c r="AR82" s="1232">
        <f t="shared" si="392"/>
        <v>-1.4189260470513766E-2</v>
      </c>
      <c r="AS82" s="1232">
        <f t="shared" si="392"/>
        <v>-6.1609549480169425E-3</v>
      </c>
      <c r="AT82" s="1232">
        <f t="shared" si="392"/>
        <v>0</v>
      </c>
      <c r="AU82" s="1232">
        <f t="shared" ref="AU82:AX82" si="393">+AU81/AU$57</f>
        <v>-6.243597974456885E-3</v>
      </c>
      <c r="AV82" s="1232">
        <f t="shared" si="393"/>
        <v>-1.3716637947280981E-2</v>
      </c>
      <c r="AW82" s="1232">
        <f t="shared" si="393"/>
        <v>-5.9943436929810944E-3</v>
      </c>
      <c r="AX82" s="1232">
        <f t="shared" si="393"/>
        <v>0</v>
      </c>
      <c r="AY82" s="1232"/>
      <c r="AZ82" s="1232"/>
      <c r="BA82" s="1232"/>
      <c r="BB82" s="1232">
        <v>-1.4182294652624597E-2</v>
      </c>
      <c r="BC82" s="2186">
        <f>+AT82-BB82</f>
        <v>1.4182294652624597E-2</v>
      </c>
      <c r="BE82" s="1232">
        <f t="shared" ref="BE82:BK82" si="394">+BE81/BE$57</f>
        <v>0</v>
      </c>
      <c r="BF82" s="1232">
        <f t="shared" si="394"/>
        <v>0</v>
      </c>
      <c r="BG82" s="1232">
        <f t="shared" si="394"/>
        <v>-1.2788310927742304E-3</v>
      </c>
      <c r="BH82" s="1232">
        <f>+BH81/BH$57</f>
        <v>-7.6272489060615831E-3</v>
      </c>
      <c r="BI82" s="1232"/>
      <c r="BJ82" s="2006">
        <f t="shared" si="394"/>
        <v>-7.3584012965595639E-3</v>
      </c>
      <c r="BK82" s="1232">
        <f t="shared" si="394"/>
        <v>-1.0275744206013234E-2</v>
      </c>
      <c r="BL82" s="1232">
        <f t="shared" ref="BL82:BP82" si="395">+BL81/BL$57</f>
        <v>-1.3917728547028977E-2</v>
      </c>
      <c r="BM82" s="1232">
        <f t="shared" si="395"/>
        <v>-1.0787032451883399E-2</v>
      </c>
      <c r="BN82" s="1232">
        <f t="shared" si="395"/>
        <v>-1.1060314205348571E-2</v>
      </c>
      <c r="BO82" s="1805">
        <f t="shared" si="395"/>
        <v>-1.1897812523117049E-2</v>
      </c>
      <c r="BP82" s="1232">
        <f t="shared" si="395"/>
        <v>-6.4543871989683112E-3</v>
      </c>
      <c r="BQ82" s="1232">
        <f t="shared" ref="BQ82:BU82" si="396">+BQ81/BQ$57</f>
        <v>-6.2816632457153212E-3</v>
      </c>
      <c r="BR82" s="1232">
        <f t="shared" si="396"/>
        <v>-6.0125511008317133E-3</v>
      </c>
      <c r="BS82" s="1232">
        <f t="shared" si="396"/>
        <v>-5.7883108669549172E-3</v>
      </c>
      <c r="BT82" s="1232">
        <f t="shared" si="396"/>
        <v>-5.5742088962194561E-3</v>
      </c>
      <c r="BU82" s="1232">
        <f t="shared" si="396"/>
        <v>-5.3823250244641402E-3</v>
      </c>
    </row>
    <row r="83" spans="2:78" ht="13.5" customHeight="1">
      <c r="B83" s="75" t="s">
        <v>281</v>
      </c>
      <c r="C83" s="91"/>
      <c r="D83" s="91"/>
      <c r="E83" s="91"/>
      <c r="F83" s="91"/>
      <c r="G83" s="91"/>
      <c r="H83" s="91"/>
      <c r="I83" s="91"/>
      <c r="J83" s="91"/>
      <c r="K83" s="91"/>
      <c r="L83" s="91"/>
      <c r="M83" s="91"/>
      <c r="N83" s="91"/>
      <c r="O83" s="90">
        <v>-0.21562830280549861</v>
      </c>
      <c r="P83" s="90">
        <v>-37.452318826820829</v>
      </c>
      <c r="Q83" s="90">
        <v>-24.693321175976283</v>
      </c>
      <c r="R83" s="90">
        <v>-36.104530214635375</v>
      </c>
      <c r="S83" s="1804">
        <v>-6.8</v>
      </c>
      <c r="T83" s="90">
        <v>-19.5</v>
      </c>
      <c r="U83" s="90">
        <v>-6.4</v>
      </c>
      <c r="V83" s="90">
        <v>-18.7</v>
      </c>
      <c r="W83" s="1804">
        <v>-25.1</v>
      </c>
      <c r="X83" s="90">
        <v>-54.6</v>
      </c>
      <c r="Y83" s="90">
        <v>-90.3</v>
      </c>
      <c r="Z83" s="90">
        <v>-87</v>
      </c>
      <c r="AA83" s="90">
        <v>-134.1</v>
      </c>
      <c r="AB83" s="90">
        <v>-181.3</v>
      </c>
      <c r="AC83" s="90">
        <v>-105.1</v>
      </c>
      <c r="AD83" s="90">
        <v>-89.7</v>
      </c>
      <c r="AE83" s="90">
        <v>-80.099999999999994</v>
      </c>
      <c r="AF83" s="90">
        <v>-281.60000000000002</v>
      </c>
      <c r="AG83" s="90">
        <v>-162.4</v>
      </c>
      <c r="AH83" s="90">
        <v>-117</v>
      </c>
      <c r="AI83" s="90">
        <v>-85</v>
      </c>
      <c r="AJ83" s="90">
        <v>-239.1</v>
      </c>
      <c r="AK83" s="90">
        <v>-219.28099999999998</v>
      </c>
      <c r="AL83" s="90">
        <v>-226.8</v>
      </c>
      <c r="AM83" s="1804">
        <v>-42.3</v>
      </c>
      <c r="AN83" s="90">
        <v>-67.599999999999994</v>
      </c>
      <c r="AO83" s="90">
        <v>-132.09350873415752</v>
      </c>
      <c r="AP83" s="90">
        <v>-259.7</v>
      </c>
      <c r="AQ83" s="90">
        <v>-125.9</v>
      </c>
      <c r="AR83" s="90">
        <v>-98.7</v>
      </c>
      <c r="AS83" s="90">
        <v>-98.100000000000009</v>
      </c>
      <c r="AT83" s="90">
        <v>-105</v>
      </c>
      <c r="AU83" s="1318">
        <f t="shared" ref="AU83:AX83" si="397">+AU218</f>
        <v>0</v>
      </c>
      <c r="AV83" s="1318">
        <f t="shared" si="397"/>
        <v>0</v>
      </c>
      <c r="AW83" s="1318">
        <f t="shared" si="397"/>
        <v>0</v>
      </c>
      <c r="AX83" s="1318">
        <f t="shared" si="397"/>
        <v>0</v>
      </c>
      <c r="AY83" s="1318"/>
      <c r="AZ83" s="1318"/>
      <c r="BA83" s="77"/>
      <c r="BB83" s="1318">
        <v>-100</v>
      </c>
      <c r="BC83" s="2179"/>
      <c r="BD83" s="978"/>
      <c r="BE83" s="77">
        <f>+SUM(C83:F83)</f>
        <v>0</v>
      </c>
      <c r="BF83" s="77">
        <f>+SUM(G83:J83)</f>
        <v>0</v>
      </c>
      <c r="BG83" s="77">
        <f>+SUM(K83:N83)</f>
        <v>0</v>
      </c>
      <c r="BH83" s="77">
        <f>+SUM(O83:R83)</f>
        <v>-98.465798520237982</v>
      </c>
      <c r="BI83" s="77"/>
      <c r="BJ83" s="1998">
        <f>+SUM(S83:V83)</f>
        <v>-51.400000000000006</v>
      </c>
      <c r="BK83" s="77">
        <f>+SUM(W83:Z83)</f>
        <v>-257</v>
      </c>
      <c r="BL83" s="77">
        <f>+SUM(AA83:AD83)</f>
        <v>-510.2</v>
      </c>
      <c r="BM83" s="77">
        <f>+SUM(AE83:AH83)</f>
        <v>-641.1</v>
      </c>
      <c r="BN83" s="77">
        <f>+SUM(AI83:AL83)</f>
        <v>-770.18100000000004</v>
      </c>
      <c r="BO83" s="1791">
        <f>+SUM(AM83:AP83)</f>
        <v>-501.69350873415749</v>
      </c>
      <c r="BP83" s="77">
        <f>+SUM(AQ83:AT83)</f>
        <v>-427.70000000000005</v>
      </c>
      <c r="BQ83" s="77">
        <f>+SUM(AU83:AX83)</f>
        <v>0</v>
      </c>
      <c r="BR83" s="1318">
        <f t="shared" ref="BR83:BU83" si="398">+BR218</f>
        <v>0</v>
      </c>
      <c r="BS83" s="1318">
        <f t="shared" si="398"/>
        <v>-50</v>
      </c>
      <c r="BT83" s="1318">
        <f t="shared" si="398"/>
        <v>-50</v>
      </c>
      <c r="BU83" s="1318">
        <f t="shared" si="398"/>
        <v>-50</v>
      </c>
      <c r="BV83" s="558"/>
      <c r="BW83" s="558"/>
      <c r="BX83" s="558"/>
      <c r="BY83" s="558"/>
      <c r="BZ83" s="558"/>
    </row>
    <row r="84" spans="2:78" ht="13.5" customHeight="1">
      <c r="B84" s="1231" t="s">
        <v>274</v>
      </c>
      <c r="C84" s="1232"/>
      <c r="D84" s="1232"/>
      <c r="E84" s="1232"/>
      <c r="F84" s="1232"/>
      <c r="G84" s="1232"/>
      <c r="H84" s="1232"/>
      <c r="I84" s="1232"/>
      <c r="J84" s="1232"/>
      <c r="K84" s="1232"/>
      <c r="L84" s="1232"/>
      <c r="M84" s="1232"/>
      <c r="N84" s="1232"/>
      <c r="O84" s="1232">
        <f t="shared" ref="O84:AN84" si="399">+O83/O$57</f>
        <v>-8.0230016264507356E-5</v>
      </c>
      <c r="P84" s="1232">
        <f t="shared" si="399"/>
        <v>-1.2081227622210127E-2</v>
      </c>
      <c r="Q84" s="1232">
        <f t="shared" si="399"/>
        <v>-7.6169257472872634E-3</v>
      </c>
      <c r="R84" s="1232">
        <f t="shared" si="399"/>
        <v>-8.3275347603596356E-3</v>
      </c>
      <c r="S84" s="1805">
        <f t="shared" si="399"/>
        <v>-2.3326415450319877E-3</v>
      </c>
      <c r="T84" s="1232">
        <f t="shared" si="399"/>
        <v>-5.7290444042072926E-3</v>
      </c>
      <c r="U84" s="1232">
        <f t="shared" si="399"/>
        <v>-1.8423628303298981E-3</v>
      </c>
      <c r="V84" s="1232">
        <f t="shared" si="399"/>
        <v>-1.9369206069708425E-3</v>
      </c>
      <c r="W84" s="1805">
        <f t="shared" si="399"/>
        <v>-3.3386538973131153E-3</v>
      </c>
      <c r="X84" s="1232">
        <f t="shared" si="399"/>
        <v>-7.814400824376351E-3</v>
      </c>
      <c r="Y84" s="1232">
        <f t="shared" si="399"/>
        <v>-8.6664427275780966E-3</v>
      </c>
      <c r="Z84" s="1232">
        <f t="shared" si="399"/>
        <v>-7.251631617113851E-3</v>
      </c>
      <c r="AA84" s="1232">
        <f t="shared" si="399"/>
        <v>-1.4182971972501322E-2</v>
      </c>
      <c r="AB84" s="1232">
        <f t="shared" si="399"/>
        <v>-1.9049720506031185E-2</v>
      </c>
      <c r="AC84" s="1232">
        <f t="shared" si="399"/>
        <v>-1.1006157583881373E-2</v>
      </c>
      <c r="AD84" s="1232">
        <f t="shared" si="399"/>
        <v>-7.7040676102789621E-3</v>
      </c>
      <c r="AE84" s="1232">
        <f t="shared" si="399"/>
        <v>-9.7052088255606857E-3</v>
      </c>
      <c r="AF84" s="1232">
        <f t="shared" si="399"/>
        <v>-3.2358889501746646E-2</v>
      </c>
      <c r="AG84" s="1232">
        <f t="shared" si="399"/>
        <v>-1.8037029221320122E-2</v>
      </c>
      <c r="AH84" s="1232">
        <f t="shared" si="399"/>
        <v>-1.1261044485938133E-2</v>
      </c>
      <c r="AI84" s="1232">
        <f t="shared" si="399"/>
        <v>-1.1611704598235023E-2</v>
      </c>
      <c r="AJ84" s="1232">
        <f t="shared" si="399"/>
        <v>-3.0758207968186246E-2</v>
      </c>
      <c r="AK84" s="1232">
        <f t="shared" si="399"/>
        <v>-2.9170332119637724E-2</v>
      </c>
      <c r="AL84" s="1232">
        <f t="shared" si="399"/>
        <v>-3.4294009132972453E-2</v>
      </c>
      <c r="AM84" s="1805">
        <f t="shared" si="399"/>
        <v>-9.2418614813196392E-3</v>
      </c>
      <c r="AN84" s="1232">
        <f t="shared" si="399"/>
        <v>-1.1675907214536159E-2</v>
      </c>
      <c r="AO84" s="1232">
        <f t="shared" ref="AO84:AP84" si="400">+AO83/AO$57</f>
        <v>-2.2105558473712678E-2</v>
      </c>
      <c r="AP84" s="1232">
        <f t="shared" si="400"/>
        <v>-3.6625955490367526E-2</v>
      </c>
      <c r="AQ84" s="1232">
        <f t="shared" ref="AQ84:AT84" si="401">+AQ83/AQ$57</f>
        <v>-2.4479655912142337E-2</v>
      </c>
      <c r="AR84" s="1232">
        <f t="shared" si="401"/>
        <v>-1.7354151281780781E-2</v>
      </c>
      <c r="AS84" s="1232">
        <f t="shared" si="401"/>
        <v>-1.8887177512514442E-2</v>
      </c>
      <c r="AT84" s="1232">
        <f t="shared" si="401"/>
        <v>-1.6954626190860651E-2</v>
      </c>
      <c r="AU84" s="1232">
        <f t="shared" ref="AU84:AX84" si="402">+AU83/AU$57</f>
        <v>0</v>
      </c>
      <c r="AV84" s="1232">
        <f t="shared" si="402"/>
        <v>0</v>
      </c>
      <c r="AW84" s="1232">
        <f t="shared" si="402"/>
        <v>0</v>
      </c>
      <c r="AX84" s="1232">
        <f t="shared" si="402"/>
        <v>0</v>
      </c>
      <c r="AY84" s="1232"/>
      <c r="AZ84" s="1232"/>
      <c r="BA84" s="77"/>
      <c r="BB84" s="1232">
        <v>-1.5758105169582884E-2</v>
      </c>
      <c r="BC84" s="2179"/>
      <c r="BE84" s="77"/>
      <c r="BF84" s="77"/>
      <c r="BG84" s="77"/>
      <c r="BH84" s="1232">
        <f>+BH83/BH$57</f>
        <v>-7.367365296553607E-3</v>
      </c>
      <c r="BI84" s="1232"/>
      <c r="BJ84" s="2006">
        <f t="shared" ref="BJ84:BO84" si="403">+BJ83/BJ$57</f>
        <v>-2.643059585207279E-3</v>
      </c>
      <c r="BK84" s="1232">
        <f t="shared" si="403"/>
        <v>-6.9606385370200351E-3</v>
      </c>
      <c r="BL84" s="1232">
        <f t="shared" si="403"/>
        <v>-1.2702728273155963E-2</v>
      </c>
      <c r="BM84" s="1232">
        <f t="shared" si="403"/>
        <v>-1.7637251989039652E-2</v>
      </c>
      <c r="BN84" s="1232">
        <f t="shared" si="403"/>
        <v>-2.6354043563239813E-2</v>
      </c>
      <c r="BO84" s="1805">
        <f t="shared" si="403"/>
        <v>-2.1409811015006424E-2</v>
      </c>
      <c r="BP84" s="1232">
        <f t="shared" ref="BP84:BU84" si="404">+BP83/BP$57</f>
        <v>-1.9250637412822503E-2</v>
      </c>
      <c r="BQ84" s="1232">
        <f t="shared" si="404"/>
        <v>0</v>
      </c>
      <c r="BR84" s="1232">
        <f t="shared" si="404"/>
        <v>0</v>
      </c>
      <c r="BS84" s="1232">
        <f t="shared" si="404"/>
        <v>-2.1244626245888998E-3</v>
      </c>
      <c r="BT84" s="1232">
        <f t="shared" si="404"/>
        <v>-2.0458815592084914E-3</v>
      </c>
      <c r="BU84" s="1232">
        <f t="shared" si="404"/>
        <v>-1.9754551216560742E-3</v>
      </c>
      <c r="BV84" s="558"/>
      <c r="BW84" s="558"/>
      <c r="BX84" s="558"/>
      <c r="BY84" s="558"/>
      <c r="BZ84" s="558"/>
    </row>
    <row r="85" spans="2:78" ht="13.5" customHeight="1">
      <c r="B85" s="75"/>
      <c r="C85" s="91"/>
      <c r="D85" s="91"/>
      <c r="E85" s="91"/>
      <c r="F85" s="91"/>
      <c r="G85" s="91"/>
      <c r="H85" s="91"/>
      <c r="I85" s="91"/>
      <c r="J85" s="91"/>
      <c r="K85" s="91"/>
      <c r="L85" s="91"/>
      <c r="M85" s="91"/>
      <c r="N85" s="91"/>
      <c r="O85" s="90"/>
      <c r="P85" s="90"/>
      <c r="Q85" s="90"/>
      <c r="R85" s="90"/>
      <c r="S85" s="1804"/>
      <c r="T85" s="90"/>
      <c r="U85" s="90"/>
      <c r="V85" s="90"/>
      <c r="W85" s="1791"/>
      <c r="X85" s="77"/>
      <c r="Y85" s="77"/>
      <c r="Z85" s="77"/>
      <c r="AA85" s="77"/>
      <c r="AB85" s="77"/>
      <c r="AC85" s="77"/>
      <c r="AD85" s="77"/>
      <c r="AE85" s="77"/>
      <c r="AF85" s="77"/>
      <c r="AG85" s="131"/>
      <c r="AH85" s="131"/>
      <c r="AI85" s="131"/>
      <c r="AJ85" s="131"/>
      <c r="AK85" s="131"/>
      <c r="AL85" s="131"/>
      <c r="AM85" s="1095"/>
      <c r="AN85" s="131"/>
      <c r="AO85" s="131"/>
      <c r="AP85" s="77"/>
      <c r="AQ85" s="131"/>
      <c r="AR85" s="77"/>
      <c r="AS85" s="77"/>
      <c r="AT85" s="77"/>
      <c r="AU85" s="77"/>
      <c r="AV85" s="77"/>
      <c r="AW85" s="77"/>
      <c r="AX85" s="77"/>
      <c r="AY85" s="77"/>
      <c r="AZ85" s="77"/>
      <c r="BA85" s="77"/>
      <c r="BB85" s="77"/>
      <c r="BC85" s="2179"/>
      <c r="BE85" s="77"/>
      <c r="BF85" s="77"/>
      <c r="BG85" s="77"/>
      <c r="BH85" s="77"/>
      <c r="BI85" s="77"/>
      <c r="BJ85" s="1998"/>
      <c r="BK85" s="77"/>
      <c r="BL85" s="77"/>
      <c r="BM85" s="77"/>
      <c r="BN85" s="77"/>
      <c r="BO85" s="1791"/>
      <c r="BP85" s="77"/>
      <c r="BQ85" s="77"/>
      <c r="BR85" s="77"/>
      <c r="BS85" s="77"/>
      <c r="BT85" s="77"/>
      <c r="BU85" s="77"/>
      <c r="BV85" s="558"/>
      <c r="BW85" s="558"/>
      <c r="BX85" s="558"/>
      <c r="BY85" s="558"/>
      <c r="BZ85" s="558"/>
    </row>
    <row r="86" spans="2:78" s="85" customFormat="1" ht="13.5" customHeight="1">
      <c r="B86" s="78" t="s">
        <v>126</v>
      </c>
      <c r="C86" s="87">
        <f t="shared" ref="C86:AL86" si="405">+C115+C129</f>
        <v>228.73290225763429</v>
      </c>
      <c r="D86" s="87">
        <f t="shared" si="405"/>
        <v>304.26022290246334</v>
      </c>
      <c r="E86" s="87">
        <f t="shared" si="405"/>
        <v>337.08515456005347</v>
      </c>
      <c r="F86" s="87">
        <f t="shared" si="405"/>
        <v>386.39775621417647</v>
      </c>
      <c r="G86" s="87">
        <f t="shared" si="405"/>
        <v>153.92365825708342</v>
      </c>
      <c r="H86" s="87">
        <f t="shared" si="405"/>
        <v>280.35115570353503</v>
      </c>
      <c r="I86" s="87">
        <f t="shared" si="405"/>
        <v>251.42449615288677</v>
      </c>
      <c r="J86" s="87">
        <f t="shared" si="405"/>
        <v>397.17790480602935</v>
      </c>
      <c r="K86" s="87">
        <f t="shared" si="405"/>
        <v>297.23228301072555</v>
      </c>
      <c r="L86" s="87">
        <f t="shared" si="405"/>
        <v>232.00735198984771</v>
      </c>
      <c r="M86" s="87">
        <f t="shared" si="405"/>
        <v>367.31530510087174</v>
      </c>
      <c r="N86" s="87">
        <f t="shared" si="405"/>
        <v>462.10411444144745</v>
      </c>
      <c r="O86" s="87">
        <f t="shared" si="405"/>
        <v>190.59521126774135</v>
      </c>
      <c r="P86" s="87">
        <f t="shared" si="405"/>
        <v>189.77782517489098</v>
      </c>
      <c r="Q86" s="87">
        <f t="shared" si="405"/>
        <v>339.92475060436652</v>
      </c>
      <c r="R86" s="87">
        <f t="shared" si="405"/>
        <v>543.58063202638095</v>
      </c>
      <c r="S86" s="1813">
        <f t="shared" si="405"/>
        <v>184.77799999999996</v>
      </c>
      <c r="T86" s="87">
        <f t="shared" si="405"/>
        <v>285.15399999999966</v>
      </c>
      <c r="U86" s="87">
        <f t="shared" si="405"/>
        <v>265.49999999999949</v>
      </c>
      <c r="V86" s="87">
        <f t="shared" si="405"/>
        <v>3460.1000000000004</v>
      </c>
      <c r="W86" s="1813">
        <f t="shared" si="405"/>
        <v>-480.60000000000014</v>
      </c>
      <c r="X86" s="87">
        <f t="shared" si="405"/>
        <v>-52.000000000001705</v>
      </c>
      <c r="Y86" s="87">
        <f t="shared" si="405"/>
        <v>746.00000000000034</v>
      </c>
      <c r="Z86" s="87">
        <f t="shared" si="405"/>
        <v>576.40000000000055</v>
      </c>
      <c r="AA86" s="87">
        <f t="shared" si="405"/>
        <v>132.79999999999893</v>
      </c>
      <c r="AB86" s="87">
        <f t="shared" si="405"/>
        <v>-69.100000000000705</v>
      </c>
      <c r="AC86" s="87">
        <f t="shared" si="405"/>
        <v>289.60000000000093</v>
      </c>
      <c r="AD86" s="87">
        <f t="shared" si="405"/>
        <v>765.00000000000057</v>
      </c>
      <c r="AE86" s="87">
        <f t="shared" si="405"/>
        <v>-133.50000000000068</v>
      </c>
      <c r="AF86" s="87">
        <f t="shared" si="405"/>
        <v>-138.90000000000077</v>
      </c>
      <c r="AG86" s="87">
        <f t="shared" si="405"/>
        <v>-32.999999999998863</v>
      </c>
      <c r="AH86" s="87">
        <f t="shared" si="405"/>
        <v>-152.99999999999875</v>
      </c>
      <c r="AI86" s="87">
        <f t="shared" si="405"/>
        <v>27.399999999998727</v>
      </c>
      <c r="AJ86" s="87">
        <f t="shared" si="405"/>
        <v>-132.08728813559878</v>
      </c>
      <c r="AK86" s="87">
        <f t="shared" si="405"/>
        <v>-48.643000000000029</v>
      </c>
      <c r="AL86" s="87">
        <f t="shared" si="405"/>
        <v>-420.0999999999998</v>
      </c>
      <c r="AM86" s="1813">
        <f t="shared" ref="AM86:AX86" si="406">+AM61+AM65</f>
        <v>435.5</v>
      </c>
      <c r="AN86" s="87">
        <f t="shared" si="406"/>
        <v>467.80000000000064</v>
      </c>
      <c r="AO86" s="87">
        <f t="shared" si="406"/>
        <v>430.95194731501579</v>
      </c>
      <c r="AP86" s="87">
        <f t="shared" si="406"/>
        <v>-432.69999999999982</v>
      </c>
      <c r="AQ86" s="87">
        <f t="shared" si="406"/>
        <v>432.18672610834983</v>
      </c>
      <c r="AR86" s="87">
        <f t="shared" si="406"/>
        <v>446.50000000000045</v>
      </c>
      <c r="AS86" s="87">
        <f t="shared" si="406"/>
        <v>224.90000000000009</v>
      </c>
      <c r="AT86" s="87">
        <f t="shared" si="406"/>
        <v>203</v>
      </c>
      <c r="AU86" s="87">
        <f t="shared" si="406"/>
        <v>433.1028144652737</v>
      </c>
      <c r="AV86" s="87">
        <f t="shared" si="406"/>
        <v>362.21542566175594</v>
      </c>
      <c r="AW86" s="87">
        <f t="shared" si="406"/>
        <v>333.88657672913268</v>
      </c>
      <c r="AX86" s="87">
        <f t="shared" si="406"/>
        <v>587.36594741863337</v>
      </c>
      <c r="AY86" s="87"/>
      <c r="AZ86" s="87"/>
      <c r="BA86" s="159"/>
      <c r="BB86" s="87">
        <v>337.00836538563499</v>
      </c>
      <c r="BC86" s="2188"/>
      <c r="BE86" s="159">
        <f>+SUM(C86:F86)</f>
        <v>1256.4760359343277</v>
      </c>
      <c r="BF86" s="159">
        <f>+SUM(G86:J86)</f>
        <v>1082.8772149195345</v>
      </c>
      <c r="BG86" s="159">
        <f>+SUM(K86:N86)</f>
        <v>1358.6590545428926</v>
      </c>
      <c r="BH86" s="159">
        <f>+SUM(O86:R86)</f>
        <v>1263.8784190733797</v>
      </c>
      <c r="BI86" s="159"/>
      <c r="BJ86" s="2017">
        <f>+SUM(S86:V86)</f>
        <v>4195.5319999999992</v>
      </c>
      <c r="BK86" s="159">
        <f>+SUM(W86:Z86)</f>
        <v>789.79999999999905</v>
      </c>
      <c r="BL86" s="159">
        <f>+SUM(AA86:AD86)</f>
        <v>1118.2999999999997</v>
      </c>
      <c r="BM86" s="159">
        <f>+SUM(AE86:AH86)</f>
        <v>-458.39999999999907</v>
      </c>
      <c r="BN86" s="77">
        <f>+SUM(AI86:AL86)</f>
        <v>-573.43028813559988</v>
      </c>
      <c r="BO86" s="1791">
        <f t="shared" ref="BO86:BU86" si="407">+BO61+BO65</f>
        <v>901.55194731501797</v>
      </c>
      <c r="BP86" s="77">
        <f t="shared" si="407"/>
        <v>1306.5867261083513</v>
      </c>
      <c r="BQ86" s="77">
        <f t="shared" si="407"/>
        <v>1716.5707642747948</v>
      </c>
      <c r="BR86" s="391">
        <f t="shared" si="407"/>
        <v>1896.6130102376228</v>
      </c>
      <c r="BS86" s="391">
        <f t="shared" si="407"/>
        <v>1953.6840498375441</v>
      </c>
      <c r="BT86" s="391">
        <f t="shared" si="407"/>
        <v>2063.9407913522828</v>
      </c>
      <c r="BU86" s="391">
        <f t="shared" si="407"/>
        <v>2163.5845123401014</v>
      </c>
    </row>
    <row r="87" spans="2:78" ht="13.5" customHeight="1">
      <c r="B87" s="75"/>
      <c r="C87" s="91"/>
      <c r="D87" s="91"/>
      <c r="E87" s="91"/>
      <c r="F87" s="91"/>
      <c r="G87" s="91"/>
      <c r="H87" s="91"/>
      <c r="I87" s="91"/>
      <c r="J87" s="91"/>
      <c r="K87" s="91"/>
      <c r="L87" s="91"/>
      <c r="M87" s="91"/>
      <c r="N87" s="91"/>
      <c r="O87" s="90"/>
      <c r="P87" s="90"/>
      <c r="Q87" s="90"/>
      <c r="R87" s="90"/>
      <c r="S87" s="1804"/>
      <c r="T87" s="90"/>
      <c r="U87" s="90"/>
      <c r="V87" s="90"/>
      <c r="W87" s="1791"/>
      <c r="X87" s="77"/>
      <c r="Y87" s="77"/>
      <c r="Z87" s="77"/>
      <c r="AA87" s="77"/>
      <c r="AB87" s="77"/>
      <c r="AC87" s="77"/>
      <c r="AD87" s="77"/>
      <c r="AE87" s="77"/>
      <c r="AF87" s="77"/>
      <c r="AG87" s="131"/>
      <c r="AH87" s="131"/>
      <c r="AI87" s="131"/>
      <c r="AJ87" s="131"/>
      <c r="AK87" s="131"/>
      <c r="AL87" s="131"/>
      <c r="AM87" s="1791"/>
      <c r="AN87" s="77"/>
      <c r="AO87" s="77"/>
      <c r="AP87" s="77"/>
      <c r="AQ87" s="77"/>
      <c r="AR87" s="77"/>
      <c r="AS87" s="77"/>
      <c r="AT87" s="77"/>
      <c r="AU87" s="77"/>
      <c r="AV87" s="77"/>
      <c r="AW87" s="77"/>
      <c r="AX87" s="77"/>
      <c r="AY87" s="77"/>
      <c r="AZ87" s="77"/>
      <c r="BA87" s="77"/>
      <c r="BB87" s="77"/>
      <c r="BC87" s="2179"/>
      <c r="BE87" s="77"/>
      <c r="BF87" s="77"/>
      <c r="BG87" s="77"/>
      <c r="BH87" s="77"/>
      <c r="BI87" s="77"/>
      <c r="BJ87" s="1998"/>
      <c r="BK87" s="77"/>
      <c r="BL87" s="77"/>
      <c r="BM87" s="77"/>
      <c r="BN87" s="77"/>
      <c r="BO87" s="1791"/>
      <c r="BP87" s="77"/>
      <c r="BQ87" s="77"/>
      <c r="BR87" s="77"/>
      <c r="BS87" s="77"/>
      <c r="BT87" s="77"/>
      <c r="BU87" s="77"/>
      <c r="BV87" s="558"/>
      <c r="BW87" s="558"/>
      <c r="BX87" s="558"/>
      <c r="BY87" s="558"/>
      <c r="BZ87" s="558"/>
    </row>
    <row r="88" spans="2:78" ht="13.5" customHeight="1">
      <c r="B88" s="75"/>
      <c r="C88" s="91"/>
      <c r="D88" s="91"/>
      <c r="E88" s="91"/>
      <c r="F88" s="91"/>
      <c r="G88" s="91"/>
      <c r="H88" s="91"/>
      <c r="I88" s="91"/>
      <c r="J88" s="91"/>
      <c r="K88" s="91"/>
      <c r="L88" s="91"/>
      <c r="M88" s="91"/>
      <c r="N88" s="91"/>
      <c r="O88" s="90"/>
      <c r="P88" s="90"/>
      <c r="Q88" s="90"/>
      <c r="R88" s="90"/>
      <c r="S88" s="1804"/>
      <c r="T88" s="90"/>
      <c r="U88" s="90"/>
      <c r="V88" s="90"/>
      <c r="W88" s="1791"/>
      <c r="X88" s="77"/>
      <c r="Y88" s="77"/>
      <c r="Z88" s="77"/>
      <c r="AA88" s="77"/>
      <c r="AB88" s="77"/>
      <c r="AC88" s="77"/>
      <c r="AD88" s="77"/>
      <c r="AE88" s="77"/>
      <c r="AF88" s="77"/>
      <c r="AG88" s="131"/>
      <c r="AH88" s="131"/>
      <c r="AI88" s="131"/>
      <c r="AJ88" s="131"/>
      <c r="AK88" s="131"/>
      <c r="AL88" s="131"/>
      <c r="AM88" s="1095"/>
      <c r="AN88" s="131"/>
      <c r="AO88" s="131"/>
      <c r="AP88" s="77"/>
      <c r="AQ88" s="131"/>
      <c r="AR88" s="77"/>
      <c r="AS88" s="77"/>
      <c r="AT88" s="77"/>
      <c r="AU88" s="77"/>
      <c r="AV88" s="77"/>
      <c r="AW88" s="77"/>
      <c r="AX88" s="77"/>
      <c r="AY88" s="77"/>
      <c r="AZ88" s="77"/>
      <c r="BA88" s="77"/>
      <c r="BB88" s="77"/>
      <c r="BC88" s="2179"/>
      <c r="BE88" s="77"/>
      <c r="BF88" s="77"/>
      <c r="BG88" s="77"/>
      <c r="BH88" s="77"/>
      <c r="BI88" s="77"/>
      <c r="BJ88" s="1998"/>
      <c r="BK88" s="77"/>
      <c r="BL88" s="77"/>
      <c r="BM88" s="77"/>
      <c r="BN88" s="77"/>
      <c r="BO88" s="1791"/>
      <c r="BP88" s="77"/>
      <c r="BQ88" s="77"/>
      <c r="BR88" s="77"/>
      <c r="BS88" s="77"/>
      <c r="BT88" s="77"/>
      <c r="BU88" s="77"/>
      <c r="BV88" s="558"/>
      <c r="BW88" s="558"/>
      <c r="BX88" s="558"/>
      <c r="BY88" s="558"/>
      <c r="BZ88" s="558"/>
    </row>
    <row r="89" spans="2:78" s="870" customFormat="1" ht="13.5" customHeight="1">
      <c r="B89" s="2272" t="s">
        <v>282</v>
      </c>
      <c r="C89" s="2273">
        <f t="shared" ref="C89:T89" si="408">+C92+C96</f>
        <v>57.167097742365698</v>
      </c>
      <c r="D89" s="2273">
        <f t="shared" si="408"/>
        <v>52.939777097536705</v>
      </c>
      <c r="E89" s="2273">
        <f t="shared" si="408"/>
        <v>62.514845439946441</v>
      </c>
      <c r="F89" s="2273">
        <f t="shared" si="408"/>
        <v>66.80224378582335</v>
      </c>
      <c r="G89" s="2273">
        <f t="shared" si="408"/>
        <v>63.0733010656256</v>
      </c>
      <c r="H89" s="2273">
        <f t="shared" si="408"/>
        <v>64.374656297065371</v>
      </c>
      <c r="I89" s="2273">
        <f t="shared" si="408"/>
        <v>97.522503847113114</v>
      </c>
      <c r="J89" s="2273">
        <f t="shared" si="408"/>
        <v>64.947814951765167</v>
      </c>
      <c r="K89" s="2273">
        <f t="shared" si="408"/>
        <v>67.332450558351127</v>
      </c>
      <c r="L89" s="2273">
        <f t="shared" si="408"/>
        <v>66.620919847934289</v>
      </c>
      <c r="M89" s="2273">
        <f t="shared" si="408"/>
        <v>83.058378100304409</v>
      </c>
      <c r="N89" s="2273">
        <f t="shared" si="408"/>
        <v>166.29376986785368</v>
      </c>
      <c r="O89" s="2273">
        <f t="shared" si="408"/>
        <v>128.26159004370683</v>
      </c>
      <c r="P89" s="2273">
        <f t="shared" si="408"/>
        <v>144.66389866871302</v>
      </c>
      <c r="Q89" s="2273">
        <f t="shared" si="408"/>
        <v>143.08423980051893</v>
      </c>
      <c r="R89" s="2273">
        <f t="shared" si="408"/>
        <v>171.02724354056721</v>
      </c>
      <c r="S89" s="2274">
        <f t="shared" si="408"/>
        <v>264.3</v>
      </c>
      <c r="T89" s="2273">
        <f t="shared" si="408"/>
        <v>272.39999999999998</v>
      </c>
      <c r="U89" s="2273">
        <v>282.8</v>
      </c>
      <c r="V89" s="2273">
        <f>+V92+V96</f>
        <v>297.8</v>
      </c>
      <c r="W89" s="2275">
        <v>625.79999999999995</v>
      </c>
      <c r="X89" s="2276">
        <v>703.9</v>
      </c>
      <c r="Y89" s="2276">
        <v>711.1</v>
      </c>
      <c r="Z89" s="2276">
        <v>678</v>
      </c>
      <c r="AA89" s="2276">
        <v>696.4</v>
      </c>
      <c r="AB89" s="2276">
        <v>698.9</v>
      </c>
      <c r="AC89" s="2276">
        <v>664.4</v>
      </c>
      <c r="AD89" s="2276">
        <v>731.9</v>
      </c>
      <c r="AE89" s="2276">
        <v>649.29999999999995</v>
      </c>
      <c r="AF89" s="2276">
        <v>629.70000000000005</v>
      </c>
      <c r="AG89" s="2276">
        <v>622.29999999999995</v>
      </c>
      <c r="AH89" s="2276">
        <v>690.6</v>
      </c>
      <c r="AI89" s="2276">
        <v>603.5</v>
      </c>
      <c r="AJ89" s="2276">
        <v>587.79999999999995</v>
      </c>
      <c r="AK89" s="2276">
        <v>539.18590399999994</v>
      </c>
      <c r="AL89" s="2276">
        <v>364.4</v>
      </c>
      <c r="AM89" s="2275">
        <v>222.10000000000002</v>
      </c>
      <c r="AN89" s="2276">
        <v>237.4</v>
      </c>
      <c r="AO89" s="2276">
        <v>227.9</v>
      </c>
      <c r="AP89" s="2276">
        <v>261.59999999999997</v>
      </c>
      <c r="AQ89" s="2276">
        <v>218.49999999999997</v>
      </c>
      <c r="AR89" s="2276">
        <v>210.6</v>
      </c>
      <c r="AS89" s="2276">
        <v>239.2</v>
      </c>
      <c r="AT89" s="2276">
        <v>241</v>
      </c>
      <c r="AU89" s="2273">
        <f>+AU92+AU96</f>
        <v>178.24633344875491</v>
      </c>
      <c r="AV89" s="2273">
        <f>+AV92+AV96</f>
        <v>181.45200087421478</v>
      </c>
      <c r="AW89" s="2273">
        <f>+AW92+AW96</f>
        <v>311.15469204673326</v>
      </c>
      <c r="AX89" s="2273">
        <f>+AX92+AX96</f>
        <v>217.99477120996403</v>
      </c>
      <c r="AY89" s="2273"/>
      <c r="AZ89" s="2273"/>
      <c r="BA89" s="1527"/>
      <c r="BB89" s="2273">
        <v>239.2</v>
      </c>
      <c r="BC89" s="2277"/>
      <c r="BE89" s="2273">
        <f>+SUM(C89:F89)</f>
        <v>239.42396406567218</v>
      </c>
      <c r="BF89" s="2273">
        <f>+SUM(G89:J89)</f>
        <v>289.91827616156922</v>
      </c>
      <c r="BG89" s="2273">
        <f>+SUM(K89:N89)</f>
        <v>383.30551837444352</v>
      </c>
      <c r="BH89" s="2273">
        <f>+SUM(O89:R89)</f>
        <v>587.03697205350591</v>
      </c>
      <c r="BI89" s="2273"/>
      <c r="BJ89" s="2278">
        <f>+SUM(S89:V89)</f>
        <v>1117.3</v>
      </c>
      <c r="BK89" s="2273">
        <f>+SUM(W89:Z89)</f>
        <v>2718.7999999999997</v>
      </c>
      <c r="BL89" s="2273">
        <f>+SUM(AA89:AD89)</f>
        <v>2791.6</v>
      </c>
      <c r="BM89" s="2273">
        <f>+SUM(AE89:AH89)</f>
        <v>2591.9</v>
      </c>
      <c r="BN89" s="2273">
        <f>+SUM(AI89:AL89)</f>
        <v>2094.8859039999998</v>
      </c>
      <c r="BO89" s="2274">
        <f>+SUM(AM89:AP89)</f>
        <v>949</v>
      </c>
      <c r="BP89" s="2273">
        <f>+SUM(AQ89:AT89)</f>
        <v>909.3</v>
      </c>
      <c r="BQ89" s="2273">
        <f>+SUM(AU89:AX89)</f>
        <v>888.84779757966703</v>
      </c>
      <c r="BR89" s="2279">
        <f>+BR92+BR96</f>
        <v>787.82603698856678</v>
      </c>
      <c r="BS89" s="2279">
        <f>+BS92+BS96</f>
        <v>743.1902933518445</v>
      </c>
      <c r="BT89" s="2279">
        <f>+BT92+BT96</f>
        <v>722.63140051103619</v>
      </c>
      <c r="BU89" s="2279">
        <f>+BU92+BU96</f>
        <v>712.53625208724384</v>
      </c>
      <c r="BV89" s="558"/>
      <c r="BW89" s="558"/>
      <c r="BX89" s="558"/>
      <c r="BY89" s="558"/>
      <c r="BZ89" s="558"/>
    </row>
    <row r="90" spans="2:78" ht="13.5" customHeight="1">
      <c r="B90" s="75" t="s">
        <v>283</v>
      </c>
      <c r="C90" s="84">
        <f t="shared" ref="C90:S90" si="409">+C89/C$57</f>
        <v>3.4819769607970334E-2</v>
      </c>
      <c r="D90" s="84">
        <f t="shared" si="409"/>
        <v>2.7445578877876874E-2</v>
      </c>
      <c r="E90" s="84">
        <f t="shared" si="409"/>
        <v>3.132163206570792E-2</v>
      </c>
      <c r="F90" s="84">
        <f t="shared" si="409"/>
        <v>2.8640989446845889E-2</v>
      </c>
      <c r="G90" s="84">
        <f t="shared" si="409"/>
        <v>3.7328087143899125E-2</v>
      </c>
      <c r="H90" s="84">
        <f t="shared" si="409"/>
        <v>3.1779627714674803E-2</v>
      </c>
      <c r="I90" s="84">
        <f t="shared" si="409"/>
        <v>5.1257491772896624E-2</v>
      </c>
      <c r="J90" s="84">
        <f t="shared" si="409"/>
        <v>2.8303249581327128E-2</v>
      </c>
      <c r="K90" s="84">
        <f t="shared" si="409"/>
        <v>3.8951855400948102E-2</v>
      </c>
      <c r="L90" s="84">
        <f t="shared" si="409"/>
        <v>3.2885921459794153E-2</v>
      </c>
      <c r="M90" s="84">
        <f t="shared" si="409"/>
        <v>3.5113559944458951E-2</v>
      </c>
      <c r="N90" s="84">
        <f t="shared" si="409"/>
        <v>4.4548144838558137E-2</v>
      </c>
      <c r="O90" s="84">
        <f t="shared" si="409"/>
        <v>4.7722999816959856E-2</v>
      </c>
      <c r="P90" s="84">
        <f t="shared" si="409"/>
        <v>4.6665134316902827E-2</v>
      </c>
      <c r="Q90" s="84">
        <f t="shared" si="409"/>
        <v>4.4135903080866498E-2</v>
      </c>
      <c r="R90" s="84">
        <f t="shared" si="409"/>
        <v>3.944755151460845E-2</v>
      </c>
      <c r="S90" s="1801">
        <f t="shared" si="409"/>
        <v>9.0664288287052128E-2</v>
      </c>
      <c r="T90" s="84">
        <f t="shared" ref="T90:Z90" si="410">+T89/T$57</f>
        <v>8.0030343369541873E-2</v>
      </c>
      <c r="U90" s="84">
        <f t="shared" si="410"/>
        <v>8.1409407565202374E-2</v>
      </c>
      <c r="V90" s="84">
        <f t="shared" si="410"/>
        <v>3.0845719612615879E-2</v>
      </c>
      <c r="W90" s="1801">
        <f>+W89/W$57</f>
        <v>8.3240223463687146E-2</v>
      </c>
      <c r="X90" s="84">
        <f t="shared" si="410"/>
        <v>0.10074279744099841</v>
      </c>
      <c r="Y90" s="84">
        <f t="shared" si="410"/>
        <v>6.8247036805988759E-2</v>
      </c>
      <c r="Z90" s="84">
        <f t="shared" si="410"/>
        <v>5.6512715360956221E-2</v>
      </c>
      <c r="AA90" s="84">
        <f>+AA89/AA$57</f>
        <v>7.3654151242728713E-2</v>
      </c>
      <c r="AB90" s="84">
        <f>+AB89/AB$57</f>
        <v>7.3435464212163237E-2</v>
      </c>
      <c r="AC90" s="84">
        <f>+AC89/AC$57</f>
        <v>6.95765090269342E-2</v>
      </c>
      <c r="AD90" s="84">
        <f>+AD89/AD$57</f>
        <v>6.2860725573725434E-2</v>
      </c>
      <c r="AE90" s="84">
        <f t="shared" ref="AE90:AH90" si="411">+AE89/AE$57</f>
        <v>7.8671561678358967E-2</v>
      </c>
      <c r="AF90" s="84">
        <f t="shared" si="411"/>
        <v>7.2359349145063437E-2</v>
      </c>
      <c r="AG90" s="84">
        <f t="shared" si="411"/>
        <v>6.9116030076524088E-2</v>
      </c>
      <c r="AH90" s="84">
        <f t="shared" si="411"/>
        <v>6.6469036940075846E-2</v>
      </c>
      <c r="AI90" s="84">
        <f t="shared" ref="AI90:AL90" si="412">+AI89/AI$57</f>
        <v>8.2443102647468666E-2</v>
      </c>
      <c r="AJ90" s="84">
        <f t="shared" si="412"/>
        <v>7.5615535941864806E-2</v>
      </c>
      <c r="AK90" s="84">
        <f t="shared" si="412"/>
        <v>7.1726377998582197E-2</v>
      </c>
      <c r="AL90" s="84">
        <f t="shared" si="412"/>
        <v>5.5100251005534215E-2</v>
      </c>
      <c r="AM90" s="1801">
        <f t="shared" ref="AM90:AQ90" si="413">+AM89/AM$57</f>
        <v>4.8525234870002182E-2</v>
      </c>
      <c r="AN90" s="84">
        <f t="shared" si="413"/>
        <v>4.100385166761663E-2</v>
      </c>
      <c r="AO90" s="84">
        <f t="shared" si="413"/>
        <v>3.8138564297644402E-2</v>
      </c>
      <c r="AP90" s="84">
        <f t="shared" si="413"/>
        <v>3.6893915888641292E-2</v>
      </c>
      <c r="AQ90" s="84">
        <f t="shared" si="413"/>
        <v>4.2484549776037328E-2</v>
      </c>
      <c r="AR90" s="84">
        <f t="shared" ref="AR90:AT90" si="414">+AR89/AR$57</f>
        <v>3.7029222491824033E-2</v>
      </c>
      <c r="AS90" s="84">
        <f t="shared" si="414"/>
        <v>4.6053138236426643E-2</v>
      </c>
      <c r="AT90" s="84">
        <f t="shared" si="414"/>
        <v>3.8914903923784917E-2</v>
      </c>
      <c r="AU90" s="84">
        <f t="shared" ref="AU90:AX90" si="415">+AU89/AU$57</f>
        <v>3.8158698661923951E-2</v>
      </c>
      <c r="AV90" s="84">
        <f t="shared" si="415"/>
        <v>3.2464767505397722E-2</v>
      </c>
      <c r="AW90" s="84">
        <f t="shared" si="415"/>
        <v>6.1354215980651654E-2</v>
      </c>
      <c r="AX90" s="84">
        <f t="shared" si="415"/>
        <v>3.4302327807609501E-2</v>
      </c>
      <c r="AY90" s="84"/>
      <c r="AZ90" s="84"/>
      <c r="BA90" s="77"/>
      <c r="BB90" s="84">
        <v>3.7693387565642257E-2</v>
      </c>
      <c r="BC90" s="2179"/>
      <c r="BE90" s="84">
        <f t="shared" ref="BE90:BR90" si="416">+BE89/BE$57</f>
        <v>3.0310667687767082E-2</v>
      </c>
      <c r="BF90" s="84">
        <f t="shared" si="416"/>
        <v>3.663974795878816E-2</v>
      </c>
      <c r="BG90" s="84">
        <f t="shared" si="416"/>
        <v>3.8903413883268449E-2</v>
      </c>
      <c r="BH90" s="84">
        <f t="shared" si="416"/>
        <v>4.392302586986075E-2</v>
      </c>
      <c r="BI90" s="84"/>
      <c r="BJ90" s="1999">
        <f t="shared" si="416"/>
        <v>5.7453122072997909E-2</v>
      </c>
      <c r="BK90" s="84">
        <f t="shared" si="416"/>
        <v>7.3636513830545022E-2</v>
      </c>
      <c r="BL90" s="84">
        <f t="shared" ref="BL90:BQ90" si="417">+BL89/BL$57</f>
        <v>6.9503991076719299E-2</v>
      </c>
      <c r="BM90" s="84">
        <f t="shared" si="417"/>
        <v>7.1305558306647754E-2</v>
      </c>
      <c r="BN90" s="84">
        <f t="shared" si="417"/>
        <v>7.1682778949406709E-2</v>
      </c>
      <c r="BO90" s="1801">
        <f t="shared" si="417"/>
        <v>4.049865166584677E-2</v>
      </c>
      <c r="BP90" s="84">
        <f t="shared" si="417"/>
        <v>4.0927296234462236E-2</v>
      </c>
      <c r="BQ90" s="84">
        <f t="shared" si="417"/>
        <v>4.0985411004119537E-2</v>
      </c>
      <c r="BR90" s="84">
        <f t="shared" si="416"/>
        <v>3.4770933758786558E-2</v>
      </c>
      <c r="BS90" s="84">
        <f t="shared" ref="BS90:BU90" si="418">+BS89/BS$57</f>
        <v>3.1577600023665081E-2</v>
      </c>
      <c r="BT90" s="84">
        <f t="shared" si="418"/>
        <v>2.9568365128210688E-2</v>
      </c>
      <c r="BU90" s="84">
        <f t="shared" si="418"/>
        <v>2.815166777102739E-2</v>
      </c>
    </row>
    <row r="91" spans="2:78" ht="13.5" customHeight="1">
      <c r="B91" s="78"/>
      <c r="C91" s="84"/>
      <c r="D91" s="84"/>
      <c r="E91" s="84"/>
      <c r="F91" s="84"/>
      <c r="G91" s="84"/>
      <c r="H91" s="84"/>
      <c r="I91" s="84"/>
      <c r="J91" s="84"/>
      <c r="K91" s="84"/>
      <c r="L91" s="84"/>
      <c r="M91" s="84"/>
      <c r="N91" s="84"/>
      <c r="O91" s="84"/>
      <c r="P91" s="84"/>
      <c r="Q91" s="84"/>
      <c r="R91" s="84"/>
      <c r="S91" s="1801"/>
      <c r="T91" s="84"/>
      <c r="U91" s="84"/>
      <c r="V91" s="84"/>
      <c r="W91" s="1801"/>
      <c r="X91" s="84"/>
      <c r="Y91" s="84"/>
      <c r="Z91" s="84"/>
      <c r="AA91" s="84"/>
      <c r="AB91" s="84"/>
      <c r="AC91" s="84"/>
      <c r="AD91" s="84"/>
      <c r="AE91" s="84"/>
      <c r="AF91" s="84"/>
      <c r="AG91" s="84"/>
      <c r="AH91" s="84"/>
      <c r="AI91" s="84"/>
      <c r="AJ91" s="84"/>
      <c r="AK91" s="84"/>
      <c r="AL91" s="84"/>
      <c r="AM91" s="1801"/>
      <c r="AN91" s="84"/>
      <c r="AO91" s="84"/>
      <c r="AP91" s="84"/>
      <c r="AQ91" s="84"/>
      <c r="AR91" s="84"/>
      <c r="AS91" s="84"/>
      <c r="AT91" s="84"/>
      <c r="AU91" s="84"/>
      <c r="AV91" s="84"/>
      <c r="AW91" s="84"/>
      <c r="AX91" s="84"/>
      <c r="AY91" s="84"/>
      <c r="AZ91" s="84"/>
      <c r="BA91" s="77"/>
      <c r="BB91" s="84"/>
      <c r="BC91" s="2179"/>
      <c r="BE91" s="84"/>
      <c r="BF91" s="84"/>
      <c r="BG91" s="84"/>
      <c r="BH91" s="84"/>
      <c r="BI91" s="875"/>
      <c r="BJ91" s="2007"/>
      <c r="BK91" s="875"/>
      <c r="BL91" s="875"/>
      <c r="BM91" s="875"/>
      <c r="BN91" s="875"/>
      <c r="BO91" s="1808"/>
      <c r="BP91" s="875"/>
      <c r="BQ91" s="875"/>
      <c r="BR91" s="84"/>
      <c r="BS91" s="84"/>
      <c r="BT91" s="84"/>
      <c r="BU91" s="84"/>
    </row>
    <row r="92" spans="2:78" ht="13.5" customHeight="1">
      <c r="B92" s="78" t="s">
        <v>284</v>
      </c>
      <c r="C92" s="91">
        <v>57.167097742365698</v>
      </c>
      <c r="D92" s="91">
        <v>52.939777097536705</v>
      </c>
      <c r="E92" s="91">
        <v>62.514845439946441</v>
      </c>
      <c r="F92" s="91">
        <v>66.80224378582335</v>
      </c>
      <c r="G92" s="90">
        <v>63.0733010656256</v>
      </c>
      <c r="H92" s="90">
        <v>64.374656297065371</v>
      </c>
      <c r="I92" s="90">
        <v>97.522503847113114</v>
      </c>
      <c r="J92" s="90">
        <v>64.947814951765167</v>
      </c>
      <c r="K92" s="90">
        <v>67.332450558351127</v>
      </c>
      <c r="L92" s="90">
        <v>66.620919847934289</v>
      </c>
      <c r="M92" s="90">
        <v>83.058378100304409</v>
      </c>
      <c r="N92" s="90">
        <v>166.29376986785368</v>
      </c>
      <c r="O92" s="90">
        <v>128.26159004370683</v>
      </c>
      <c r="P92" s="90">
        <v>144.66389866871302</v>
      </c>
      <c r="Q92" s="90">
        <v>143.08423980051893</v>
      </c>
      <c r="R92" s="90">
        <v>171.02724354056721</v>
      </c>
      <c r="S92" s="1804">
        <f>264.3-S96</f>
        <v>135.86000000000001</v>
      </c>
      <c r="T92" s="90">
        <f>272.4-T96</f>
        <v>130.27699999999999</v>
      </c>
      <c r="U92" s="90">
        <f>282.8-U96</f>
        <v>124.59399999999999</v>
      </c>
      <c r="V92" s="90">
        <v>159.5</v>
      </c>
      <c r="W92" s="1791">
        <f t="shared" ref="W92:AK92" si="419">+W89-W96</f>
        <v>268.92399999999986</v>
      </c>
      <c r="X92" s="77">
        <f t="shared" si="419"/>
        <v>378.4380000000001</v>
      </c>
      <c r="Y92" s="77">
        <f t="shared" si="419"/>
        <v>392.88900000000001</v>
      </c>
      <c r="Z92" s="77">
        <f t="shared" si="419"/>
        <v>455.65499999999997</v>
      </c>
      <c r="AA92" s="77">
        <f t="shared" si="419"/>
        <v>440.28199999999998</v>
      </c>
      <c r="AB92" s="77">
        <f t="shared" si="419"/>
        <v>457.60399999999998</v>
      </c>
      <c r="AC92" s="77">
        <f t="shared" si="419"/>
        <v>422.77</v>
      </c>
      <c r="AD92" s="77">
        <f t="shared" si="419"/>
        <v>472.93499999999989</v>
      </c>
      <c r="AE92" s="77">
        <f t="shared" si="419"/>
        <v>402.14799999999997</v>
      </c>
      <c r="AF92" s="77">
        <f t="shared" si="419"/>
        <v>418.01900000000001</v>
      </c>
      <c r="AG92" s="77">
        <f t="shared" si="419"/>
        <v>376.63200000000001</v>
      </c>
      <c r="AH92" s="77">
        <f t="shared" si="419"/>
        <v>467.23499999999996</v>
      </c>
      <c r="AI92" s="77">
        <f t="shared" si="419"/>
        <v>432.30200000000002</v>
      </c>
      <c r="AJ92" s="77">
        <f t="shared" si="419"/>
        <v>416.97499999999991</v>
      </c>
      <c r="AK92" s="77">
        <f t="shared" si="419"/>
        <v>366.30290400000001</v>
      </c>
      <c r="AL92" s="90">
        <f>565.035+1015.809-AK92-AJ92-AI92</f>
        <v>365.264096</v>
      </c>
      <c r="AM92" s="1791">
        <f t="shared" ref="AM92:AT92" si="420">+AM89-AM96</f>
        <v>144.23400000000004</v>
      </c>
      <c r="AN92" s="77">
        <f t="shared" si="420"/>
        <v>153.26900000000001</v>
      </c>
      <c r="AO92" s="77">
        <f t="shared" si="420"/>
        <v>228.43300000000002</v>
      </c>
      <c r="AP92" s="77">
        <f t="shared" si="420"/>
        <v>806.41000000000008</v>
      </c>
      <c r="AQ92" s="77">
        <f t="shared" si="420"/>
        <v>130.19899999999996</v>
      </c>
      <c r="AR92" s="77">
        <f t="shared" si="420"/>
        <v>132.71499999999997</v>
      </c>
      <c r="AS92" s="77">
        <f t="shared" si="420"/>
        <v>236.59199999999998</v>
      </c>
      <c r="AT92" s="77">
        <f t="shared" si="420"/>
        <v>214.227</v>
      </c>
      <c r="AU92" s="151">
        <f t="shared" ref="AU92" si="421">+AT93*AU94</f>
        <v>156.17858344875492</v>
      </c>
      <c r="AV92" s="151">
        <f t="shared" ref="AV92" si="422">+AU93*AV94</f>
        <v>159.38425087421479</v>
      </c>
      <c r="AW92" s="151">
        <f t="shared" ref="AW92" si="423">+AV93*AW94</f>
        <v>289.08694204673327</v>
      </c>
      <c r="AX92" s="151">
        <f t="shared" ref="AX92" si="424">+AW93*AX94</f>
        <v>195.92702120996404</v>
      </c>
      <c r="AY92" s="151"/>
      <c r="AZ92" s="151"/>
      <c r="BA92" s="77"/>
      <c r="BB92" s="151">
        <v>191.57277599999998</v>
      </c>
      <c r="BC92" s="2179"/>
      <c r="BE92" s="77">
        <f>+SUM(C92:F92)</f>
        <v>239.42396406567218</v>
      </c>
      <c r="BF92" s="77">
        <f>+SUM(G92:J92)</f>
        <v>289.91827616156922</v>
      </c>
      <c r="BG92" s="77">
        <f>+SUM(K92:N92)</f>
        <v>383.30551837444352</v>
      </c>
      <c r="BH92" s="77">
        <f>+SUM(O92:R92)</f>
        <v>587.03697205350591</v>
      </c>
      <c r="BI92" s="77"/>
      <c r="BJ92" s="1998">
        <f>+SUM(S92:V92)</f>
        <v>550.23099999999999</v>
      </c>
      <c r="BK92" s="77">
        <f>+SUM(W92:Z92)</f>
        <v>1495.9059999999999</v>
      </c>
      <c r="BL92" s="77">
        <f>+SUM(AA92:AD92)</f>
        <v>1793.5909999999999</v>
      </c>
      <c r="BM92" s="77">
        <f>+SUM(AE92:AH92)</f>
        <v>1664.0339999999999</v>
      </c>
      <c r="BN92" s="77">
        <f>+SUM(AI92:AL92)</f>
        <v>1580.8440000000001</v>
      </c>
      <c r="BO92" s="1791">
        <f>+SUM(AM92:AP92)</f>
        <v>1332.346</v>
      </c>
      <c r="BP92" s="77">
        <f>+SUM(AQ92:AT92)</f>
        <v>713.73299999999995</v>
      </c>
      <c r="BQ92" s="77">
        <f>+SUM(AU92:AX92)</f>
        <v>800.57679757966707</v>
      </c>
      <c r="BR92" s="151">
        <f t="shared" ref="BR92" si="425">+BQ93*BR94</f>
        <v>708.24629799070192</v>
      </c>
      <c r="BS92" s="151">
        <f t="shared" ref="BS92" si="426">+BR93*BS94</f>
        <v>663.61055435397964</v>
      </c>
      <c r="BT92" s="151">
        <f t="shared" ref="BT92" si="427">+BS93*BT94</f>
        <v>640.58349998356118</v>
      </c>
      <c r="BU92" s="151">
        <f t="shared" ref="BU92" si="428">+BT93*BU94</f>
        <v>632.33947270697638</v>
      </c>
    </row>
    <row r="93" spans="2:78" s="85" customFormat="1" ht="13.5" customHeight="1">
      <c r="B93" s="78" t="s">
        <v>285</v>
      </c>
      <c r="C93" s="80">
        <f>+PROJ!C112</f>
        <v>1759.9449999999999</v>
      </c>
      <c r="D93" s="80">
        <f>+PROJ!D112</f>
        <v>1727.0150000000001</v>
      </c>
      <c r="E93" s="80">
        <f>+PROJ!E112</f>
        <v>1761.819</v>
      </c>
      <c r="F93" s="80">
        <f>+PROJ!F112</f>
        <v>1752.35</v>
      </c>
      <c r="G93" s="80">
        <f>+PROJ!G112</f>
        <v>1739.664</v>
      </c>
      <c r="H93" s="80">
        <f>+PROJ!H112</f>
        <v>1717.7339999999999</v>
      </c>
      <c r="I93" s="80">
        <f>+PROJ!I112</f>
        <v>1707.288</v>
      </c>
      <c r="J93" s="80">
        <f>+PROJ!J112</f>
        <v>1734.6880000000001</v>
      </c>
      <c r="K93" s="80">
        <f>+PROJ!K112</f>
        <v>1855.7370000000001</v>
      </c>
      <c r="L93" s="80">
        <f>+PROJ!L112</f>
        <v>1840.345</v>
      </c>
      <c r="M93" s="80">
        <f>+PROJ!M112</f>
        <v>2242.473</v>
      </c>
      <c r="N93" s="80">
        <f>+PROJ!N112</f>
        <v>2276.674</v>
      </c>
      <c r="O93" s="80">
        <f>+PROJ!O112</f>
        <v>2237.9319999999998</v>
      </c>
      <c r="P93" s="80">
        <f>+PROJ!P112</f>
        <v>2260.4029999999998</v>
      </c>
      <c r="Q93" s="80">
        <f>+PROJ!Q112</f>
        <v>2276.7820000000002</v>
      </c>
      <c r="R93" s="80">
        <f>+PROJ!R112</f>
        <v>2236.7139999999999</v>
      </c>
      <c r="S93" s="1795">
        <f>+PROJ!S112</f>
        <v>1720.0540000000001</v>
      </c>
      <c r="T93" s="80">
        <f>+PROJ!T112</f>
        <v>1669.2950000000001</v>
      </c>
      <c r="U93" s="80">
        <f>+PROJ!U112</f>
        <v>1707</v>
      </c>
      <c r="V93" s="80">
        <f>+PROJ!V112</f>
        <v>1773.9</v>
      </c>
      <c r="W93" s="1795">
        <f>+PROJ!W112</f>
        <v>5246.3</v>
      </c>
      <c r="X93" s="80">
        <f>+PROJ!X112</f>
        <v>5350.8</v>
      </c>
      <c r="Y93" s="80">
        <f>+PROJ!Y112</f>
        <v>5397.6</v>
      </c>
      <c r="Z93" s="80">
        <f>+PROJ!Z112</f>
        <v>5235.1000000000004</v>
      </c>
      <c r="AA93" s="80">
        <f>+PROJ!AA112</f>
        <v>5380.1</v>
      </c>
      <c r="AB93" s="80">
        <f>+PROJ!AB112</f>
        <v>5063</v>
      </c>
      <c r="AC93" s="80">
        <f>+PROJ!AC112</f>
        <v>5156.2</v>
      </c>
      <c r="AD93" s="80">
        <f>+PROJ!AD112</f>
        <v>5377.4</v>
      </c>
      <c r="AE93" s="80">
        <f>+PROJ!AE112</f>
        <v>4816.8</v>
      </c>
      <c r="AF93" s="80">
        <f>+PROJ!AF112</f>
        <v>5025.8</v>
      </c>
      <c r="AG93" s="80">
        <f>+PROJ!AG112</f>
        <v>4903</v>
      </c>
      <c r="AH93" s="80">
        <f>+PROJ!AH112</f>
        <v>4966.2</v>
      </c>
      <c r="AI93" s="80">
        <f>+PROJ!AI112</f>
        <v>4537.8999999999996</v>
      </c>
      <c r="AJ93" s="80">
        <f>+PROJ!AJ112</f>
        <v>4123.5</v>
      </c>
      <c r="AK93" s="80">
        <f>+PROJ!AK112</f>
        <v>3859.2</v>
      </c>
      <c r="AL93" s="80">
        <f>+PROJ!AL112</f>
        <v>3457.6</v>
      </c>
      <c r="AM93" s="1795">
        <f>+PROJ!AM112</f>
        <v>1639.85</v>
      </c>
      <c r="AN93" s="80">
        <f>+PROJ!AN112</f>
        <v>1672.1559999999999</v>
      </c>
      <c r="AO93" s="80">
        <f>+PROJ!AO112</f>
        <v>1924.644</v>
      </c>
      <c r="AP93" s="80">
        <f>+PROJ!AP112</f>
        <v>2058.395</v>
      </c>
      <c r="AQ93" s="80">
        <f>+PROJ!AQ112</f>
        <v>2011.153</v>
      </c>
      <c r="AR93" s="80">
        <f>+PROJ!AR112</f>
        <v>1952.3309999999999</v>
      </c>
      <c r="AS93" s="80">
        <f>+PROJ!AS112</f>
        <v>2429.3710000000001</v>
      </c>
      <c r="AT93" s="80">
        <f>+PROJ!AT112</f>
        <v>2469.1219999999998</v>
      </c>
      <c r="AU93" s="80">
        <f>+PROJ!AU112</f>
        <v>2415.2967961302775</v>
      </c>
      <c r="AV93" s="80">
        <f>+PROJ!AV112</f>
        <v>2385.5134520737843</v>
      </c>
      <c r="AW93" s="80">
        <f>+PROJ!AW112</f>
        <v>2221.8460952348282</v>
      </c>
      <c r="AX93" s="80">
        <f>+PROJ!AX112</f>
        <v>2184.3582290596878</v>
      </c>
      <c r="AY93" s="80"/>
      <c r="AZ93" s="80"/>
      <c r="BA93" s="80"/>
      <c r="BB93" s="80">
        <v>2405.8487287434846</v>
      </c>
      <c r="BC93" s="2181"/>
      <c r="BE93" s="80">
        <f>+F93</f>
        <v>1752.35</v>
      </c>
      <c r="BF93" s="80">
        <f>+J93</f>
        <v>1734.6880000000001</v>
      </c>
      <c r="BG93" s="80">
        <f>+N93</f>
        <v>2276.674</v>
      </c>
      <c r="BH93" s="80">
        <f>+R93</f>
        <v>2236.7139999999999</v>
      </c>
      <c r="BI93" s="80"/>
      <c r="BJ93" s="2000">
        <f>+V93</f>
        <v>1773.9</v>
      </c>
      <c r="BK93" s="80">
        <f>+PROJ!BI112</f>
        <v>5235.1000000000004</v>
      </c>
      <c r="BL93" s="80">
        <f>+PROJ!BJ112</f>
        <v>5377.4</v>
      </c>
      <c r="BM93" s="80">
        <f>+PROJ!BK112</f>
        <v>4966.2</v>
      </c>
      <c r="BN93" s="80">
        <f>+PROJ!BL112</f>
        <v>3457.6</v>
      </c>
      <c r="BO93" s="1795">
        <f>+PROJ!BM112</f>
        <v>2058.395</v>
      </c>
      <c r="BP93" s="80">
        <f>+PROJ!BN112</f>
        <v>2469.1219999999998</v>
      </c>
      <c r="BQ93" s="80">
        <f>+PROJ!BO112</f>
        <v>2184.3582290596878</v>
      </c>
      <c r="BR93" s="80">
        <f>+PROJ!BP112</f>
        <v>2046.6936140808562</v>
      </c>
      <c r="BS93" s="80">
        <f>+PROJ!BQ112</f>
        <v>1975.6740607874217</v>
      </c>
      <c r="BT93" s="80">
        <f>+PROJ!BR112</f>
        <v>1950.2480064991196</v>
      </c>
      <c r="BU93" s="80">
        <f>+PROJ!BS112</f>
        <v>1954.8084326266357</v>
      </c>
    </row>
    <row r="94" spans="2:78" ht="13.5" customHeight="1">
      <c r="B94" s="75" t="s">
        <v>286</v>
      </c>
      <c r="C94" s="131" t="e">
        <f t="shared" ref="C94:AR94" si="429">+C92/B93</f>
        <v>#VALUE!</v>
      </c>
      <c r="D94" s="131">
        <f t="shared" si="429"/>
        <v>3.0080358816631604E-2</v>
      </c>
      <c r="E94" s="131">
        <f t="shared" si="429"/>
        <v>3.6198206408135675E-2</v>
      </c>
      <c r="F94" s="131">
        <f t="shared" si="429"/>
        <v>3.791663263128809E-2</v>
      </c>
      <c r="G94" s="131">
        <f t="shared" si="429"/>
        <v>3.5993552124647249E-2</v>
      </c>
      <c r="H94" s="131">
        <f t="shared" si="429"/>
        <v>3.7004074520749622E-2</v>
      </c>
      <c r="I94" s="131">
        <f t="shared" si="429"/>
        <v>5.677392649101265E-2</v>
      </c>
      <c r="J94" s="131">
        <f t="shared" si="429"/>
        <v>3.8041510835761259E-2</v>
      </c>
      <c r="K94" s="131">
        <f t="shared" si="429"/>
        <v>3.8815308896096086E-2</v>
      </c>
      <c r="L94" s="131">
        <f t="shared" si="429"/>
        <v>3.5899979279356009E-2</v>
      </c>
      <c r="M94" s="131">
        <f t="shared" si="429"/>
        <v>4.5131960637980598E-2</v>
      </c>
      <c r="N94" s="131">
        <f t="shared" si="429"/>
        <v>7.4156420107557006E-2</v>
      </c>
      <c r="O94" s="131">
        <f t="shared" si="429"/>
        <v>5.6337266575586506E-2</v>
      </c>
      <c r="P94" s="131">
        <f t="shared" si="429"/>
        <v>6.4641775830862169E-2</v>
      </c>
      <c r="Q94" s="131">
        <f t="shared" si="429"/>
        <v>6.330032290725103E-2</v>
      </c>
      <c r="R94" s="131">
        <f t="shared" si="429"/>
        <v>7.5117970688703267E-2</v>
      </c>
      <c r="S94" s="131">
        <f t="shared" si="429"/>
        <v>6.0740890431230821E-2</v>
      </c>
      <c r="T94" s="131">
        <f t="shared" si="429"/>
        <v>7.5740063974735664E-2</v>
      </c>
      <c r="U94" s="131">
        <f t="shared" si="429"/>
        <v>7.4638694778334555E-2</v>
      </c>
      <c r="V94" s="131">
        <f t="shared" si="429"/>
        <v>9.3438781487990633E-2</v>
      </c>
      <c r="W94" s="131">
        <f t="shared" si="429"/>
        <v>0.1516004284345227</v>
      </c>
      <c r="X94" s="131">
        <f t="shared" si="429"/>
        <v>7.2134266054171531E-2</v>
      </c>
      <c r="Y94" s="131">
        <f t="shared" si="429"/>
        <v>7.3426216640502348E-2</v>
      </c>
      <c r="Z94" s="131">
        <f t="shared" si="429"/>
        <v>8.4418074699866591E-2</v>
      </c>
      <c r="AA94" s="131">
        <f t="shared" si="429"/>
        <v>8.4101927374835239E-2</v>
      </c>
      <c r="AB94" s="131">
        <f t="shared" si="429"/>
        <v>8.5054924629653722E-2</v>
      </c>
      <c r="AC94" s="131">
        <f t="shared" si="429"/>
        <v>8.3501876357890581E-2</v>
      </c>
      <c r="AD94" s="131">
        <f t="shared" si="429"/>
        <v>9.1721616694464894E-2</v>
      </c>
      <c r="AE94" s="131">
        <f t="shared" si="429"/>
        <v>7.4784840257373447E-2</v>
      </c>
      <c r="AF94" s="131">
        <f t="shared" si="429"/>
        <v>8.6783549244311572E-2</v>
      </c>
      <c r="AG94" s="131">
        <f t="shared" si="429"/>
        <v>7.4939711090771619E-2</v>
      </c>
      <c r="AH94" s="131">
        <f t="shared" si="429"/>
        <v>9.5295737303691605E-2</v>
      </c>
      <c r="AI94" s="131">
        <f t="shared" si="429"/>
        <v>8.7048850227538166E-2</v>
      </c>
      <c r="AJ94" s="131">
        <f t="shared" si="429"/>
        <v>9.188721655391259E-2</v>
      </c>
      <c r="AK94" s="131">
        <f t="shared" si="429"/>
        <v>8.8833006911604229E-2</v>
      </c>
      <c r="AL94" s="131">
        <f t="shared" si="429"/>
        <v>9.4647620232172477E-2</v>
      </c>
      <c r="AM94" s="131">
        <f t="shared" si="429"/>
        <v>4.1715062471078215E-2</v>
      </c>
      <c r="AN94" s="131">
        <f t="shared" si="429"/>
        <v>9.3465255968533723E-2</v>
      </c>
      <c r="AO94" s="131">
        <f t="shared" si="429"/>
        <v>0.13660986175930956</v>
      </c>
      <c r="AP94" s="131">
        <f t="shared" si="429"/>
        <v>0.41899177198484505</v>
      </c>
      <c r="AQ94" s="131">
        <f t="shared" si="429"/>
        <v>6.3252679879226267E-2</v>
      </c>
      <c r="AR94" s="131">
        <f t="shared" si="429"/>
        <v>6.5989509500271715E-2</v>
      </c>
      <c r="AS94" s="131">
        <f>+AS92/AR93</f>
        <v>0.12118436883909542</v>
      </c>
      <c r="AT94" s="131">
        <f>+AT92/AS93</f>
        <v>8.8182084992370457E-2</v>
      </c>
      <c r="AU94" s="2176">
        <f>+AQ94</f>
        <v>6.3252679879226267E-2</v>
      </c>
      <c r="AV94" s="2176">
        <f t="shared" ref="AV94:AX94" si="430">+AR94</f>
        <v>6.5989509500271715E-2</v>
      </c>
      <c r="AW94" s="2176">
        <f t="shared" si="430"/>
        <v>0.12118436883909542</v>
      </c>
      <c r="AX94" s="2176">
        <f t="shared" si="430"/>
        <v>8.8182084992370457E-2</v>
      </c>
      <c r="AY94" s="2176"/>
      <c r="AZ94" s="2176"/>
      <c r="BA94" s="77"/>
      <c r="BB94" s="2176">
        <v>7.8856945275134996E-2</v>
      </c>
      <c r="BC94" s="2179"/>
      <c r="BE94" s="131">
        <f>+BE92/BE93</f>
        <v>0.13663021888645088</v>
      </c>
      <c r="BF94" s="131">
        <f t="shared" ref="BF94:BQ94" si="431">+BF92/BE93</f>
        <v>0.16544541681831212</v>
      </c>
      <c r="BG94" s="131">
        <f t="shared" si="431"/>
        <v>0.22096510633292182</v>
      </c>
      <c r="BH94" s="131">
        <f t="shared" si="431"/>
        <v>0.25784849831530815</v>
      </c>
      <c r="BI94" s="131"/>
      <c r="BJ94" s="2001">
        <f>+BJ92/BH93</f>
        <v>0.24599971207762816</v>
      </c>
      <c r="BK94" s="131">
        <f>+BK92/BK93</f>
        <v>0.28574544898855797</v>
      </c>
      <c r="BL94" s="131">
        <f t="shared" si="431"/>
        <v>0.34260873717789531</v>
      </c>
      <c r="BM94" s="131">
        <f t="shared" si="431"/>
        <v>0.30944954810875142</v>
      </c>
      <c r="BN94" s="131">
        <f t="shared" si="431"/>
        <v>0.31832064757762474</v>
      </c>
      <c r="BO94" s="1095">
        <f t="shared" si="431"/>
        <v>0.38533838500694123</v>
      </c>
      <c r="BP94" s="131">
        <f t="shared" si="431"/>
        <v>0.34674248625749671</v>
      </c>
      <c r="BQ94" s="131">
        <f t="shared" si="431"/>
        <v>0.32423541549573781</v>
      </c>
      <c r="BR94" s="2176">
        <f t="shared" ref="BR94:BU94" si="432">+BQ94</f>
        <v>0.32423541549573781</v>
      </c>
      <c r="BS94" s="2176">
        <f t="shared" si="432"/>
        <v>0.32423541549573781</v>
      </c>
      <c r="BT94" s="2176">
        <f t="shared" si="432"/>
        <v>0.32423541549573781</v>
      </c>
      <c r="BU94" s="2176">
        <f t="shared" si="432"/>
        <v>0.32423541549573781</v>
      </c>
    </row>
    <row r="95" spans="2:78" ht="13.5" customHeight="1">
      <c r="B95" s="75"/>
      <c r="C95" s="91"/>
      <c r="D95" s="91"/>
      <c r="E95" s="91"/>
      <c r="F95" s="91"/>
      <c r="G95" s="90"/>
      <c r="H95" s="90"/>
      <c r="I95" s="90"/>
      <c r="J95" s="90"/>
      <c r="K95" s="90"/>
      <c r="L95" s="90"/>
      <c r="M95" s="90"/>
      <c r="N95" s="90"/>
      <c r="O95" s="90"/>
      <c r="P95" s="90"/>
      <c r="Q95" s="90"/>
      <c r="R95" s="90"/>
      <c r="S95" s="1804"/>
      <c r="T95" s="90"/>
      <c r="U95" s="77"/>
      <c r="V95" s="77"/>
      <c r="W95" s="1095"/>
      <c r="X95" s="77"/>
      <c r="Y95" s="77"/>
      <c r="Z95" s="77"/>
      <c r="AA95" s="77"/>
      <c r="AB95" s="77"/>
      <c r="AC95" s="77"/>
      <c r="AD95" s="77"/>
      <c r="AE95" s="77"/>
      <c r="AF95" s="77"/>
      <c r="AG95" s="77"/>
      <c r="AH95" s="77"/>
      <c r="AI95" s="77"/>
      <c r="AJ95" s="77"/>
      <c r="AK95" s="77"/>
      <c r="AL95" s="77"/>
      <c r="AM95" s="1791"/>
      <c r="AN95" s="77"/>
      <c r="AO95" s="77"/>
      <c r="AP95" s="77"/>
      <c r="AQ95" s="77"/>
      <c r="AR95" s="77"/>
      <c r="AS95" s="77"/>
      <c r="AT95" s="77"/>
      <c r="AU95" s="77"/>
      <c r="AV95" s="77"/>
      <c r="AW95" s="77"/>
      <c r="AX95" s="77"/>
      <c r="AY95" s="77"/>
      <c r="AZ95" s="77"/>
      <c r="BA95" s="77"/>
      <c r="BB95" s="77"/>
      <c r="BC95" s="2179"/>
      <c r="BE95" s="77"/>
      <c r="BF95" s="77"/>
      <c r="BG95" s="77"/>
      <c r="BH95" s="77"/>
      <c r="BI95" s="77"/>
      <c r="BJ95" s="1998"/>
      <c r="BK95" s="77"/>
      <c r="BL95" s="77"/>
      <c r="BM95" s="77"/>
      <c r="BN95" s="77"/>
      <c r="BO95" s="1791"/>
      <c r="BP95" s="77"/>
      <c r="BQ95" s="77"/>
      <c r="BR95" s="77"/>
      <c r="BS95" s="77"/>
      <c r="BT95" s="77"/>
      <c r="BU95" s="77"/>
    </row>
    <row r="96" spans="2:78" ht="13.5" customHeight="1">
      <c r="B96" s="78" t="s">
        <v>287</v>
      </c>
      <c r="C96" s="91"/>
      <c r="D96" s="91"/>
      <c r="E96" s="91"/>
      <c r="F96" s="91"/>
      <c r="G96" s="90"/>
      <c r="H96" s="90"/>
      <c r="I96" s="90"/>
      <c r="J96" s="90"/>
      <c r="K96" s="90"/>
      <c r="L96" s="90"/>
      <c r="M96" s="90"/>
      <c r="N96" s="90"/>
      <c r="O96" s="90"/>
      <c r="P96" s="90"/>
      <c r="Q96" s="90"/>
      <c r="R96" s="90"/>
      <c r="S96" s="1804">
        <v>128.44</v>
      </c>
      <c r="T96" s="90">
        <f>270.563-S96</f>
        <v>142.12299999999999</v>
      </c>
      <c r="U96" s="90">
        <f>428.769-T96-S96</f>
        <v>158.20600000000002</v>
      </c>
      <c r="V96" s="90">
        <v>138.30000000000001</v>
      </c>
      <c r="W96" s="1804">
        <f>930.974-574.098</f>
        <v>356.87600000000009</v>
      </c>
      <c r="X96" s="573">
        <f>1256.436-574.098-W96</f>
        <v>325.46199999999988</v>
      </c>
      <c r="Y96" s="90">
        <f>1574.647-574.098-X96-W96</f>
        <v>318.21100000000001</v>
      </c>
      <c r="Z96" s="90">
        <f>1796.992-574.098-Y96-X96-W96</f>
        <v>222.34500000000003</v>
      </c>
      <c r="AA96" s="90">
        <v>256.11799999999999</v>
      </c>
      <c r="AB96" s="90">
        <f>497.414-AA96</f>
        <v>241.29599999999999</v>
      </c>
      <c r="AC96" s="90">
        <f>739.044-AB96-AA96</f>
        <v>241.63</v>
      </c>
      <c r="AD96" s="90">
        <f>998.009-AC96-AB96-AA96</f>
        <v>258.96500000000009</v>
      </c>
      <c r="AE96" s="90">
        <v>247.15199999999999</v>
      </c>
      <c r="AF96" s="90">
        <f>458.833-AE96</f>
        <v>211.68100000000004</v>
      </c>
      <c r="AG96" s="90">
        <f>704.501-AF96-AE96</f>
        <v>245.66799999999995</v>
      </c>
      <c r="AH96" s="90">
        <f>927.866-AG96-AF96-AE96</f>
        <v>223.36500000000007</v>
      </c>
      <c r="AI96" s="90">
        <v>171.19800000000001</v>
      </c>
      <c r="AJ96" s="90">
        <f>342.023-AI96</f>
        <v>170.82500000000002</v>
      </c>
      <c r="AK96" s="90">
        <f>514.906-AJ96-AI96</f>
        <v>172.8829999999999</v>
      </c>
      <c r="AL96" s="90">
        <f>694.835-AK96-AJ96-AI96</f>
        <v>179.92900000000006</v>
      </c>
      <c r="AM96" s="1804">
        <v>77.866</v>
      </c>
      <c r="AN96" s="90">
        <f>161.997-AM96</f>
        <v>84.131000000000014</v>
      </c>
      <c r="AO96" s="90">
        <f>161.464-AN96-AM96</f>
        <v>-0.53300000000001546</v>
      </c>
      <c r="AP96" s="90">
        <f>-383.346-AO96-AN96-AM96</f>
        <v>-544.81000000000006</v>
      </c>
      <c r="AQ96" s="90">
        <v>88.301000000000002</v>
      </c>
      <c r="AR96" s="90">
        <f>166.186-AQ96</f>
        <v>77.885000000000005</v>
      </c>
      <c r="AS96" s="90">
        <f>168.794-AR96-AQ96</f>
        <v>2.6080000000000041</v>
      </c>
      <c r="AT96" s="90">
        <f>195.567-AS96-AR96-AQ96</f>
        <v>26.772999999999996</v>
      </c>
      <c r="AU96" s="151">
        <f>+$BP$96/4</f>
        <v>22.06774999999999</v>
      </c>
      <c r="AV96" s="151">
        <f t="shared" ref="AV96:AX96" si="433">+$BP$96/4</f>
        <v>22.06774999999999</v>
      </c>
      <c r="AW96" s="151">
        <f t="shared" si="433"/>
        <v>22.06774999999999</v>
      </c>
      <c r="AX96" s="151">
        <f t="shared" si="433"/>
        <v>22.06774999999999</v>
      </c>
      <c r="AY96" s="151"/>
      <c r="AZ96" s="151"/>
      <c r="BA96" s="77"/>
      <c r="BB96" s="151">
        <v>47.627223999999998</v>
      </c>
      <c r="BC96" s="2179"/>
      <c r="BE96" s="77">
        <f>+SUM(C96:F96)</f>
        <v>0</v>
      </c>
      <c r="BF96" s="77">
        <f>+SUM(G96:J96)</f>
        <v>0</v>
      </c>
      <c r="BG96" s="77">
        <f>+SUM(K96:N96)</f>
        <v>0</v>
      </c>
      <c r="BH96" s="77">
        <f>+SUM(O96:R96)</f>
        <v>0</v>
      </c>
      <c r="BI96" s="77"/>
      <c r="BJ96" s="1998">
        <f>+SUM(S96:V96)</f>
        <v>567.06899999999996</v>
      </c>
      <c r="BK96" s="77">
        <f>+SUM(W96:Z96)</f>
        <v>1222.894</v>
      </c>
      <c r="BL96" s="77">
        <f>+SUM(AA96:AD96)</f>
        <v>998.00900000000001</v>
      </c>
      <c r="BM96" s="77">
        <f>+SUM(AE96:AH96)</f>
        <v>927.86599999999999</v>
      </c>
      <c r="BN96" s="77">
        <f>+SUM(AI96:AL96)</f>
        <v>694.83500000000004</v>
      </c>
      <c r="BO96" s="1804">
        <f>719.586-527.575</f>
        <v>192.01099999999997</v>
      </c>
      <c r="BP96" s="90">
        <f>807.857-719.586</f>
        <v>88.270999999999958</v>
      </c>
      <c r="BQ96" s="151">
        <f t="shared" ref="BQ96:BU96" si="434">+BQ98*BP97</f>
        <v>79.579738997864908</v>
      </c>
      <c r="BR96" s="151">
        <f t="shared" si="434"/>
        <v>79.579738997864908</v>
      </c>
      <c r="BS96" s="151">
        <f t="shared" si="434"/>
        <v>79.579738997864908</v>
      </c>
      <c r="BT96" s="151">
        <f t="shared" si="434"/>
        <v>82.047900527475036</v>
      </c>
      <c r="BU96" s="151">
        <f t="shared" si="434"/>
        <v>80.196779380267444</v>
      </c>
    </row>
    <row r="97" spans="2:73" ht="13.5" customHeight="1">
      <c r="B97" s="75" t="s">
        <v>288</v>
      </c>
      <c r="C97" s="91"/>
      <c r="D97" s="91"/>
      <c r="E97" s="91"/>
      <c r="F97" s="91"/>
      <c r="G97" s="90"/>
      <c r="H97" s="90"/>
      <c r="I97" s="90"/>
      <c r="J97" s="90"/>
      <c r="K97" s="90"/>
      <c r="L97" s="90"/>
      <c r="M97" s="90"/>
      <c r="N97" s="90"/>
      <c r="O97" s="90"/>
      <c r="P97" s="90"/>
      <c r="Q97" s="90"/>
      <c r="R97" s="90"/>
      <c r="S97" s="1803">
        <f>+PROJ!S114</f>
        <v>2408.2489999999998</v>
      </c>
      <c r="T97" s="79">
        <f>+PROJ!T114</f>
        <v>2419.4</v>
      </c>
      <c r="U97" s="79">
        <f>+PROJ!U114</f>
        <v>2685.6</v>
      </c>
      <c r="V97" s="79">
        <f>+PROJ!V114</f>
        <v>2619.9</v>
      </c>
      <c r="W97" s="1803">
        <f>+PROJ!W114</f>
        <v>3736.5</v>
      </c>
      <c r="X97" s="79">
        <f>+PROJ!X114</f>
        <v>3810</v>
      </c>
      <c r="Y97" s="79">
        <f>+PROJ!Y114</f>
        <v>3846.4</v>
      </c>
      <c r="Z97" s="79">
        <f>+PROJ!Z114</f>
        <v>3402</v>
      </c>
      <c r="AA97" s="79">
        <f>+PROJ!AA114</f>
        <v>3388</v>
      </c>
      <c r="AB97" s="79">
        <f>+PROJ!AB114</f>
        <v>2954.2</v>
      </c>
      <c r="AC97" s="79">
        <f>+PROJ!AC114</f>
        <v>3035.7</v>
      </c>
      <c r="AD97" s="79">
        <f>+PROJ!AD114</f>
        <v>3096</v>
      </c>
      <c r="AE97" s="79">
        <f>+PROJ!AE114</f>
        <v>2777.3</v>
      </c>
      <c r="AF97" s="79">
        <f>+PROJ!AF114</f>
        <v>3027</v>
      </c>
      <c r="AG97" s="79">
        <f>+PROJ!AG114</f>
        <v>2988.1</v>
      </c>
      <c r="AH97" s="79">
        <f>+PROJ!AH114</f>
        <v>2941.9</v>
      </c>
      <c r="AI97" s="79">
        <f>+PROJ!AI114</f>
        <v>2094.3000000000002</v>
      </c>
      <c r="AJ97" s="79">
        <f>+PROJ!AJ114</f>
        <v>1982.6</v>
      </c>
      <c r="AK97" s="79">
        <f>+PROJ!AK114</f>
        <v>1973.4</v>
      </c>
      <c r="AL97" s="79">
        <f>+PROJ!AL114</f>
        <v>1050.8</v>
      </c>
      <c r="AM97" s="1803">
        <f>+PROJ!AM114</f>
        <v>705.19</v>
      </c>
      <c r="AN97" s="79">
        <f>+PROJ!AN114</f>
        <v>722.85400000000004</v>
      </c>
      <c r="AO97" s="79">
        <f>+PROJ!AO114</f>
        <v>727.74900000000002</v>
      </c>
      <c r="AP97" s="79">
        <f>+PROJ!AP114</f>
        <v>739.56100000000004</v>
      </c>
      <c r="AQ97" s="79">
        <f>+PROJ!AQ114</f>
        <v>679.45899999999995</v>
      </c>
      <c r="AR97" s="79">
        <f>+PROJ!AR114</f>
        <v>626.67399999999998</v>
      </c>
      <c r="AS97" s="79">
        <f>+PROJ!AS114</f>
        <v>649.87199999999996</v>
      </c>
      <c r="AT97" s="79">
        <f>+PROJ!AT114</f>
        <v>666.74300000000005</v>
      </c>
      <c r="AU97" s="152">
        <f>+AU100+AU105</f>
        <v>666.74300000000005</v>
      </c>
      <c r="AV97" s="152">
        <f>+AV100+AV105</f>
        <v>666.74300000000005</v>
      </c>
      <c r="AW97" s="152">
        <f>+AW100+AW105</f>
        <v>666.74300000000005</v>
      </c>
      <c r="AX97" s="152">
        <f>+AX100+AX105</f>
        <v>666.74300000000005</v>
      </c>
      <c r="AY97" s="152"/>
      <c r="AZ97" s="152"/>
      <c r="BA97" s="77"/>
      <c r="BB97" s="152">
        <v>649.87199999999996</v>
      </c>
      <c r="BC97" s="2179"/>
      <c r="BE97" s="77"/>
      <c r="BF97" s="77"/>
      <c r="BG97" s="77"/>
      <c r="BH97" s="77"/>
      <c r="BI97" s="80"/>
      <c r="BJ97" s="2000">
        <f>+V97</f>
        <v>2619.9</v>
      </c>
      <c r="BK97" s="80">
        <f>+Z97</f>
        <v>3402</v>
      </c>
      <c r="BL97" s="80">
        <f>+AD97</f>
        <v>3096</v>
      </c>
      <c r="BM97" s="80">
        <f>+AH97</f>
        <v>2941.9</v>
      </c>
      <c r="BN97" s="80">
        <f>+AL97</f>
        <v>1050.8</v>
      </c>
      <c r="BO97" s="1795">
        <f>+AP97</f>
        <v>739.56100000000004</v>
      </c>
      <c r="BP97" s="80">
        <f>+AT97</f>
        <v>666.74300000000005</v>
      </c>
      <c r="BQ97" s="152">
        <f>+BQ100+BQ105</f>
        <v>666.74300000000005</v>
      </c>
      <c r="BR97" s="152">
        <f>+BR100+BR105</f>
        <v>666.74300000000005</v>
      </c>
      <c r="BS97" s="152">
        <f>+BS100+BS105</f>
        <v>687.42200000000003</v>
      </c>
      <c r="BT97" s="152">
        <f>+BT100+BT105</f>
        <v>671.91275000000007</v>
      </c>
      <c r="BU97" s="152">
        <f>+BU100+BU105</f>
        <v>673.20518750000008</v>
      </c>
    </row>
    <row r="98" spans="2:73" ht="13.5" customHeight="1">
      <c r="B98" s="75" t="s">
        <v>289</v>
      </c>
      <c r="C98" s="91"/>
      <c r="D98" s="91"/>
      <c r="E98" s="91"/>
      <c r="F98" s="91"/>
      <c r="G98" s="90"/>
      <c r="H98" s="90"/>
      <c r="I98" s="90"/>
      <c r="J98" s="90"/>
      <c r="K98" s="90"/>
      <c r="L98" s="90"/>
      <c r="M98" s="90"/>
      <c r="N98" s="90"/>
      <c r="O98" s="90"/>
      <c r="P98" s="90"/>
      <c r="Q98" s="90"/>
      <c r="R98" s="90"/>
      <c r="S98" s="1095">
        <f>+S96/S97</f>
        <v>5.3333355479437551E-2</v>
      </c>
      <c r="T98" s="131">
        <f>+T96/S97</f>
        <v>5.9015076929337461E-2</v>
      </c>
      <c r="U98" s="131">
        <f>+U96/T97</f>
        <v>6.5390592708936102E-2</v>
      </c>
      <c r="V98" s="131">
        <f>+V96/U97</f>
        <v>5.149687220732798E-2</v>
      </c>
      <c r="W98" s="1095">
        <f t="shared" ref="W98:AB98" si="435">+W96/W97</f>
        <v>9.5510772112939943E-2</v>
      </c>
      <c r="X98" s="131">
        <f t="shared" si="435"/>
        <v>8.5423097112860863E-2</v>
      </c>
      <c r="Y98" s="131">
        <f t="shared" si="435"/>
        <v>8.2729565307820302E-2</v>
      </c>
      <c r="Z98" s="131">
        <f t="shared" si="435"/>
        <v>6.5357142857142864E-2</v>
      </c>
      <c r="AA98" s="131">
        <f t="shared" si="435"/>
        <v>7.5595631641086181E-2</v>
      </c>
      <c r="AB98" s="131">
        <f t="shared" si="435"/>
        <v>8.167896554058629E-2</v>
      </c>
      <c r="AC98" s="131">
        <f t="shared" ref="AC98:AD98" si="436">+AC96/AC97</f>
        <v>7.9596139275949537E-2</v>
      </c>
      <c r="AD98" s="131">
        <f t="shared" si="436"/>
        <v>8.3645025839793316E-2</v>
      </c>
      <c r="AE98" s="131">
        <f t="shared" ref="AE98:AF98" si="437">+AE96/AE97</f>
        <v>8.8990026284520921E-2</v>
      </c>
      <c r="AF98" s="131">
        <f t="shared" si="437"/>
        <v>6.9930954740667337E-2</v>
      </c>
      <c r="AG98" s="131">
        <f t="shared" ref="AG98:AH98" si="438">+AG96/AG97</f>
        <v>8.2215454636725666E-2</v>
      </c>
      <c r="AH98" s="131">
        <f t="shared" si="438"/>
        <v>7.5925422346102875E-2</v>
      </c>
      <c r="AI98" s="131">
        <f t="shared" ref="AI98:AJ98" si="439">+AI96/AI97</f>
        <v>8.1744735711216154E-2</v>
      </c>
      <c r="AJ98" s="131">
        <f t="shared" si="439"/>
        <v>8.6162110360133173E-2</v>
      </c>
      <c r="AK98" s="131">
        <f>+AK96/AJ97</f>
        <v>8.7200141228689548E-2</v>
      </c>
      <c r="AL98" s="131">
        <f>+AL96/AK97</f>
        <v>9.1177156177156202E-2</v>
      </c>
      <c r="AM98" s="1095">
        <f>+AM96/AL97</f>
        <v>7.4101636848115729E-2</v>
      </c>
      <c r="AN98" s="131">
        <f t="shared" ref="AN98:AO98" si="440">+AN96/AM97</f>
        <v>0.11930259929947959</v>
      </c>
      <c r="AO98" s="131">
        <f t="shared" si="440"/>
        <v>-7.3735498454738499E-4</v>
      </c>
      <c r="AP98" s="131">
        <f t="shared" ref="AP98" si="441">+AP96/AO97</f>
        <v>-0.74862349518858839</v>
      </c>
      <c r="AQ98" s="131">
        <f t="shared" ref="AQ98" si="442">+AQ96/AP97</f>
        <v>0.11939650684662928</v>
      </c>
      <c r="AR98" s="131">
        <f t="shared" ref="AR98" si="443">+AR96/AQ97</f>
        <v>0.11462796136337883</v>
      </c>
      <c r="AS98" s="131">
        <f t="shared" ref="AS98" si="444">+AS96/AR97</f>
        <v>4.1616534274598977E-3</v>
      </c>
      <c r="AT98" s="131">
        <f t="shared" ref="AT98" si="445">+AT96/AS97</f>
        <v>4.1197343476869284E-2</v>
      </c>
      <c r="AU98" s="131">
        <f t="shared" ref="AU98" si="446">+AU96/AT97</f>
        <v>3.3097835297858376E-2</v>
      </c>
      <c r="AV98" s="131">
        <f t="shared" ref="AV98" si="447">+AV96/AU97</f>
        <v>3.3097835297858376E-2</v>
      </c>
      <c r="AW98" s="131">
        <f t="shared" ref="AW98" si="448">+AW96/AV97</f>
        <v>3.3097835297858376E-2</v>
      </c>
      <c r="AX98" s="131">
        <f t="shared" ref="AX98" si="449">+AX96/AW97</f>
        <v>3.3097835297858376E-2</v>
      </c>
      <c r="AY98" s="131"/>
      <c r="AZ98" s="131"/>
      <c r="BA98" s="77"/>
      <c r="BB98" s="131">
        <v>7.3287084225816784E-2</v>
      </c>
      <c r="BC98" s="2179"/>
      <c r="BE98" s="77"/>
      <c r="BF98" s="77"/>
      <c r="BG98" s="77"/>
      <c r="BH98" s="77"/>
      <c r="BI98" s="131"/>
      <c r="BJ98" s="2001">
        <f t="shared" ref="BJ98:BM98" si="450">+BJ96/BJ97</f>
        <v>0.21644681094698268</v>
      </c>
      <c r="BK98" s="131">
        <f t="shared" si="450"/>
        <v>0.35946325690770137</v>
      </c>
      <c r="BL98" s="131">
        <f t="shared" si="450"/>
        <v>0.32235432816537468</v>
      </c>
      <c r="BM98" s="131">
        <f t="shared" si="450"/>
        <v>0.31539685237431592</v>
      </c>
      <c r="BN98" s="131">
        <f>+BN96/BM97</f>
        <v>0.23618579829361977</v>
      </c>
      <c r="BO98" s="1095">
        <f>+BO96/BN97</f>
        <v>0.18272839741149599</v>
      </c>
      <c r="BP98" s="131">
        <f>+BP96/BO97</f>
        <v>0.11935594224141072</v>
      </c>
      <c r="BQ98" s="2176">
        <f>+BP98</f>
        <v>0.11935594224141072</v>
      </c>
      <c r="BR98" s="2176">
        <f>+BQ98</f>
        <v>0.11935594224141072</v>
      </c>
      <c r="BS98" s="2176">
        <f>+BR98</f>
        <v>0.11935594224141072</v>
      </c>
      <c r="BT98" s="2176">
        <f t="shared" ref="BT98:BU98" si="451">+BS98</f>
        <v>0.11935594224141072</v>
      </c>
      <c r="BU98" s="2176">
        <f t="shared" si="451"/>
        <v>0.11935594224141072</v>
      </c>
    </row>
    <row r="99" spans="2:73" ht="13.5" customHeight="1">
      <c r="B99" s="75"/>
      <c r="C99" s="91"/>
      <c r="D99" s="91"/>
      <c r="E99" s="91"/>
      <c r="F99" s="91"/>
      <c r="G99" s="90"/>
      <c r="H99" s="90"/>
      <c r="I99" s="90"/>
      <c r="J99" s="90"/>
      <c r="K99" s="90"/>
      <c r="L99" s="90"/>
      <c r="M99" s="90"/>
      <c r="N99" s="90"/>
      <c r="O99" s="90"/>
      <c r="P99" s="90"/>
      <c r="Q99" s="90"/>
      <c r="R99" s="90"/>
      <c r="S99" s="1958"/>
      <c r="T99" s="150"/>
      <c r="U99" s="97"/>
      <c r="V99" s="97"/>
      <c r="W99" s="1806"/>
      <c r="X99" s="97"/>
      <c r="Y99" s="97"/>
      <c r="Z99" s="97"/>
      <c r="AA99" s="97"/>
      <c r="AB99" s="97"/>
      <c r="AC99" s="97"/>
      <c r="AD99" s="97"/>
      <c r="AE99" s="97"/>
      <c r="AF99" s="97"/>
      <c r="AG99" s="97"/>
      <c r="AH99" s="97"/>
      <c r="AI99" s="97"/>
      <c r="AJ99" s="97"/>
      <c r="AK99" s="97"/>
      <c r="AL99" s="97"/>
      <c r="AM99" s="1806"/>
      <c r="AN99" s="97"/>
      <c r="AO99" s="97"/>
      <c r="AP99" s="97"/>
      <c r="AQ99" s="97"/>
      <c r="AR99" s="97"/>
      <c r="AS99" s="97"/>
      <c r="AT99" s="97"/>
      <c r="AU99" s="97"/>
      <c r="AV99" s="97"/>
      <c r="AW99" s="97"/>
      <c r="AX99" s="97"/>
      <c r="AY99" s="97"/>
      <c r="AZ99" s="97"/>
      <c r="BA99" s="77"/>
      <c r="BB99" s="97"/>
      <c r="BC99" s="2179"/>
      <c r="BE99" s="77"/>
      <c r="BF99" s="77"/>
      <c r="BG99" s="77"/>
      <c r="BH99" s="77"/>
      <c r="BI99" s="131"/>
      <c r="BJ99" s="2001"/>
      <c r="BK99" s="131"/>
      <c r="BL99" s="131"/>
      <c r="BM99" s="131"/>
      <c r="BN99" s="131"/>
      <c r="BO99" s="1095"/>
      <c r="BP99" s="131"/>
      <c r="BQ99" s="131"/>
      <c r="BR99" s="97"/>
      <c r="BS99" s="97"/>
      <c r="BT99" s="97"/>
      <c r="BU99" s="97"/>
    </row>
    <row r="100" spans="2:73" ht="13.5" customHeight="1">
      <c r="B100" s="1589" t="s">
        <v>290</v>
      </c>
      <c r="C100" s="91"/>
      <c r="D100" s="91"/>
      <c r="E100" s="91"/>
      <c r="F100" s="91"/>
      <c r="G100" s="90"/>
      <c r="H100" s="90"/>
      <c r="I100" s="90"/>
      <c r="J100" s="90"/>
      <c r="K100" s="90"/>
      <c r="L100" s="90"/>
      <c r="M100" s="90"/>
      <c r="N100" s="90"/>
      <c r="O100" s="90"/>
      <c r="P100" s="90"/>
      <c r="Q100" s="90"/>
      <c r="R100" s="90"/>
      <c r="S100" s="1958"/>
      <c r="T100" s="150"/>
      <c r="U100" s="97"/>
      <c r="V100" s="97"/>
      <c r="W100" s="1806"/>
      <c r="X100" s="97"/>
      <c r="Y100" s="1584"/>
      <c r="Z100" s="1584"/>
      <c r="AA100" s="1584"/>
      <c r="AB100" s="1584"/>
      <c r="AC100" s="1584"/>
      <c r="AD100" s="1584">
        <f>3417.595-1458.512</f>
        <v>1959.0829999999999</v>
      </c>
      <c r="AE100" s="1584">
        <f>2953.335-1284.856</f>
        <v>1668.479</v>
      </c>
      <c r="AF100" s="1584">
        <f>3269.893-1379.514</f>
        <v>1890.3790000000001</v>
      </c>
      <c r="AG100" s="1584">
        <f>3281.02-1396.978</f>
        <v>1884.0419999999999</v>
      </c>
      <c r="AH100" s="1584">
        <f>3361.432-1525.308</f>
        <v>1836.1239999999998</v>
      </c>
      <c r="AI100" s="1584">
        <f>1912.89-929.712</f>
        <v>983.17800000000011</v>
      </c>
      <c r="AJ100" s="1584">
        <f>1831.753-874.46</f>
        <v>957.29299999999989</v>
      </c>
      <c r="AK100" s="1584">
        <f>1904.281-966.948</f>
        <v>937.33299999999997</v>
      </c>
      <c r="AL100" s="1584">
        <f>146.994-90.804</f>
        <v>56.19</v>
      </c>
      <c r="AM100" s="2393">
        <f>151.694-93.137</f>
        <v>58.556999999999988</v>
      </c>
      <c r="AN100" s="1584">
        <f>165.16-99.365</f>
        <v>65.795000000000002</v>
      </c>
      <c r="AO100" s="1584">
        <f>167.82-105.179</f>
        <v>62.640999999999991</v>
      </c>
      <c r="AP100" s="1584">
        <f>167.971-109.769</f>
        <v>58.201999999999998</v>
      </c>
      <c r="AQ100" s="1584">
        <f>130.986-78.153</f>
        <v>52.832999999999984</v>
      </c>
      <c r="AR100" s="1584">
        <f>123.374-78.847</f>
        <v>44.527000000000001</v>
      </c>
      <c r="AS100" s="1584">
        <f>167.971-81.76</f>
        <v>86.210999999999999</v>
      </c>
      <c r="AT100" s="1584">
        <f>+BP100</f>
        <v>96.108999999999995</v>
      </c>
      <c r="AU100" s="1586">
        <f t="shared" ref="AU100:AX100" si="452">+AT100</f>
        <v>96.108999999999995</v>
      </c>
      <c r="AV100" s="1586">
        <f t="shared" si="452"/>
        <v>96.108999999999995</v>
      </c>
      <c r="AW100" s="1586">
        <f t="shared" si="452"/>
        <v>96.108999999999995</v>
      </c>
      <c r="AX100" s="1586">
        <f t="shared" si="452"/>
        <v>96.108999999999995</v>
      </c>
      <c r="AY100" s="1586"/>
      <c r="AZ100" s="1586"/>
      <c r="BA100" s="77"/>
      <c r="BB100" s="1586">
        <v>86.210999999999999</v>
      </c>
      <c r="BC100" s="2179"/>
      <c r="BE100" s="77"/>
      <c r="BF100" s="77"/>
      <c r="BG100" s="77"/>
      <c r="BH100" s="77"/>
      <c r="BI100" s="92"/>
      <c r="BJ100" s="2008">
        <f>2350.377-463.332</f>
        <v>1887.0450000000001</v>
      </c>
      <c r="BK100" s="80">
        <f>3338.104-1291.346</f>
        <v>2046.7579999999998</v>
      </c>
      <c r="BL100" s="80">
        <f>+AD100</f>
        <v>1959.0829999999999</v>
      </c>
      <c r="BM100" s="80">
        <f>+AH100</f>
        <v>1836.1239999999998</v>
      </c>
      <c r="BN100" s="80">
        <f>+AL100</f>
        <v>56.19</v>
      </c>
      <c r="BO100" s="2677">
        <f>167.971-81.76</f>
        <v>86.210999999999999</v>
      </c>
      <c r="BP100" s="92">
        <f>148.653-52.544</f>
        <v>96.108999999999995</v>
      </c>
      <c r="BQ100" s="80">
        <f>+AX100</f>
        <v>96.108999999999995</v>
      </c>
      <c r="BR100" s="1583">
        <f>+BQ100</f>
        <v>96.108999999999995</v>
      </c>
      <c r="BS100" s="1583">
        <f t="shared" ref="BS100:BU100" si="453">+BR100</f>
        <v>96.108999999999995</v>
      </c>
      <c r="BT100" s="1583">
        <f t="shared" si="453"/>
        <v>96.108999999999995</v>
      </c>
      <c r="BU100" s="1583">
        <f t="shared" si="453"/>
        <v>96.108999999999995</v>
      </c>
    </row>
    <row r="101" spans="2:73" ht="13.5" customHeight="1">
      <c r="B101" s="1588" t="s">
        <v>291</v>
      </c>
      <c r="C101" s="91"/>
      <c r="D101" s="91"/>
      <c r="E101" s="91"/>
      <c r="F101" s="91"/>
      <c r="G101" s="90"/>
      <c r="H101" s="90"/>
      <c r="I101" s="90"/>
      <c r="J101" s="90"/>
      <c r="K101" s="90"/>
      <c r="L101" s="90"/>
      <c r="M101" s="90"/>
      <c r="N101" s="90"/>
      <c r="O101" s="90"/>
      <c r="P101" s="90"/>
      <c r="Q101" s="90"/>
      <c r="R101" s="90"/>
      <c r="S101" s="1958"/>
      <c r="T101" s="150"/>
      <c r="U101" s="97"/>
      <c r="V101" s="97"/>
      <c r="W101" s="1806"/>
      <c r="X101" s="97"/>
      <c r="Y101" s="1584"/>
      <c r="Z101" s="1584"/>
      <c r="AA101" s="1584"/>
      <c r="AB101" s="1584"/>
      <c r="AC101" s="1584"/>
      <c r="AD101" s="1584"/>
      <c r="AE101" s="1584">
        <v>-164.74799999999999</v>
      </c>
      <c r="AF101" s="1584">
        <f>-293.566-AE101</f>
        <v>-128.81799999999998</v>
      </c>
      <c r="AG101" s="1584">
        <f>-438.675-AF101-AE101</f>
        <v>-145.10900000000004</v>
      </c>
      <c r="AH101" s="1584">
        <f>-611.862-AG101-AF101-AE101</f>
        <v>-173.18699999999995</v>
      </c>
      <c r="AI101" s="1584">
        <v>-97.093000000000004</v>
      </c>
      <c r="AJ101" s="1584">
        <f>-187.207-AI101</f>
        <v>-90.11399999999999</v>
      </c>
      <c r="AK101" s="1584">
        <f>-285.042-AJ101-AI101</f>
        <v>-97.834999999999994</v>
      </c>
      <c r="AL101" s="1584">
        <f>-390.499-AK101-AJ101-AI101</f>
        <v>-105.45700000000006</v>
      </c>
      <c r="AM101" s="2393">
        <v>-5.5919999999999996</v>
      </c>
      <c r="AN101" s="1584">
        <f>-12.129-AM101</f>
        <v>-6.5369999999999999</v>
      </c>
      <c r="AO101" s="1584">
        <f>-17.691-AN101-AM101</f>
        <v>-5.5620000000000003</v>
      </c>
      <c r="AP101" s="1584">
        <f>-23.076-AO101-AN101-AM101</f>
        <v>-5.3850000000000007</v>
      </c>
      <c r="AQ101" s="1584">
        <v>-5.1070000000000002</v>
      </c>
      <c r="AR101" s="1584">
        <f>-9.746-AQ101</f>
        <v>-4.6390000000000002</v>
      </c>
      <c r="AS101" s="1584">
        <f>-14.363-AR101-AQ101</f>
        <v>-4.617</v>
      </c>
      <c r="AT101" s="1584">
        <f>+BP101-AS101-AR101-AQ101</f>
        <v>-11.934000000000001</v>
      </c>
      <c r="AU101" s="1583">
        <f t="shared" ref="AU101" si="454">+AU102*AT100</f>
        <v>-11.934000000000001</v>
      </c>
      <c r="AV101" s="1583">
        <f t="shared" ref="AV101" si="455">+AV102*AU100</f>
        <v>-11.934000000000001</v>
      </c>
      <c r="AW101" s="1583">
        <f t="shared" ref="AW101" si="456">+AW102*AV100</f>
        <v>-11.934000000000001</v>
      </c>
      <c r="AX101" s="1583">
        <f t="shared" ref="AX101" si="457">+AX102*AW100</f>
        <v>-11.934000000000001</v>
      </c>
      <c r="AY101" s="1583"/>
      <c r="AZ101" s="1583"/>
      <c r="BA101" s="77"/>
      <c r="BB101" s="1583">
        <v>-4.6201089481461137</v>
      </c>
      <c r="BC101" s="2179"/>
      <c r="BE101" s="77"/>
      <c r="BF101" s="77"/>
      <c r="BG101" s="77"/>
      <c r="BH101" s="77"/>
      <c r="BI101" s="90"/>
      <c r="BJ101" s="2009">
        <v>-466.59</v>
      </c>
      <c r="BK101" s="90">
        <v>-643.44100000000003</v>
      </c>
      <c r="BL101" s="90">
        <v>-659.10900000000004</v>
      </c>
      <c r="BM101" s="77">
        <f>+SUM(AE101:AH101)</f>
        <v>-611.86199999999997</v>
      </c>
      <c r="BN101" s="77">
        <f>+SUM(AI101:AL101)</f>
        <v>-390.49900000000002</v>
      </c>
      <c r="BO101" s="1791">
        <f>+SUM(AM101:AP101)</f>
        <v>-23.076000000000001</v>
      </c>
      <c r="BP101" s="90">
        <v>-26.297000000000001</v>
      </c>
      <c r="BQ101" s="77">
        <f>+SUM(AU101:AX101)</f>
        <v>-47.736000000000004</v>
      </c>
      <c r="BR101" s="1583">
        <f t="shared" ref="BR101" si="458">+BR102*BQ100</f>
        <v>-47.736000000000004</v>
      </c>
      <c r="BS101" s="1583">
        <f t="shared" ref="BS101" si="459">+BS102*BR100</f>
        <v>-47.736000000000004</v>
      </c>
      <c r="BT101" s="1583">
        <f t="shared" ref="BT101" si="460">+BT102*BS100</f>
        <v>-47.736000000000004</v>
      </c>
      <c r="BU101" s="1583">
        <f t="shared" ref="BU101" si="461">+BU102*BT100</f>
        <v>-47.736000000000004</v>
      </c>
    </row>
    <row r="102" spans="2:73" ht="13.5" customHeight="1">
      <c r="B102" s="1588" t="s">
        <v>292</v>
      </c>
      <c r="C102" s="91"/>
      <c r="D102" s="91"/>
      <c r="E102" s="91"/>
      <c r="F102" s="91"/>
      <c r="G102" s="90"/>
      <c r="H102" s="90"/>
      <c r="I102" s="90"/>
      <c r="J102" s="90"/>
      <c r="K102" s="90"/>
      <c r="L102" s="90"/>
      <c r="M102" s="90"/>
      <c r="N102" s="90"/>
      <c r="O102" s="90"/>
      <c r="P102" s="90"/>
      <c r="Q102" s="90"/>
      <c r="R102" s="90"/>
      <c r="S102" s="1958"/>
      <c r="T102" s="150"/>
      <c r="U102" s="97"/>
      <c r="V102" s="97"/>
      <c r="W102" s="1806"/>
      <c r="X102" s="97"/>
      <c r="Y102" s="97"/>
      <c r="Z102" s="97"/>
      <c r="AA102" s="97"/>
      <c r="AB102" s="97"/>
      <c r="AC102" s="97"/>
      <c r="AD102" s="97"/>
      <c r="AE102" s="1585">
        <f>+AE101/AD100</f>
        <v>-8.4094446228158787E-2</v>
      </c>
      <c r="AF102" s="1585">
        <f t="shared" ref="AF102:AR102" si="462">+AF101/AE100</f>
        <v>-7.7206845276446376E-2</v>
      </c>
      <c r="AG102" s="1585">
        <f t="shared" si="462"/>
        <v>-7.676185569137195E-2</v>
      </c>
      <c r="AH102" s="1585">
        <f t="shared" si="462"/>
        <v>-9.1923109994363164E-2</v>
      </c>
      <c r="AI102" s="1585">
        <f t="shared" si="462"/>
        <v>-5.2879326232868812E-2</v>
      </c>
      <c r="AJ102" s="1585">
        <f t="shared" si="462"/>
        <v>-9.1655834447068568E-2</v>
      </c>
      <c r="AK102" s="1585">
        <f t="shared" si="462"/>
        <v>-0.10219964002661673</v>
      </c>
      <c r="AL102" s="1585">
        <f t="shared" si="462"/>
        <v>-0.11250750800409254</v>
      </c>
      <c r="AM102" s="2394">
        <f t="shared" si="462"/>
        <v>-9.9519487453283498E-2</v>
      </c>
      <c r="AN102" s="1585">
        <f t="shared" si="462"/>
        <v>-0.11163481735744661</v>
      </c>
      <c r="AO102" s="1585">
        <f t="shared" si="462"/>
        <v>-8.4535299034881078E-2</v>
      </c>
      <c r="AP102" s="1585">
        <f t="shared" si="462"/>
        <v>-8.5966060567360059E-2</v>
      </c>
      <c r="AQ102" s="1585">
        <f t="shared" si="462"/>
        <v>-8.774612556269544E-2</v>
      </c>
      <c r="AR102" s="1585">
        <f t="shared" si="462"/>
        <v>-8.7804970378362046E-2</v>
      </c>
      <c r="AS102" s="1585">
        <f>+AS101/AS100</f>
        <v>-5.3554650798621983E-2</v>
      </c>
      <c r="AT102" s="1585">
        <f>+AT101/AT100</f>
        <v>-0.12417151359394023</v>
      </c>
      <c r="AU102" s="97">
        <f t="shared" ref="AU102" si="463">+AT102</f>
        <v>-0.12417151359394023</v>
      </c>
      <c r="AV102" s="97">
        <f t="shared" ref="AV102" si="464">+AU102</f>
        <v>-0.12417151359394023</v>
      </c>
      <c r="AW102" s="97">
        <f t="shared" ref="AW102" si="465">+AV102</f>
        <v>-0.12417151359394023</v>
      </c>
      <c r="AX102" s="97">
        <f t="shared" ref="AX102" si="466">+AW102</f>
        <v>-0.12417151359394023</v>
      </c>
      <c r="AY102" s="97"/>
      <c r="AZ102" s="97"/>
      <c r="BA102" s="77"/>
      <c r="BB102" s="97">
        <v>-5.3590712880561803E-2</v>
      </c>
      <c r="BC102" s="2179"/>
      <c r="BE102" s="77"/>
      <c r="BF102" s="77"/>
      <c r="BG102" s="77"/>
      <c r="BH102" s="77"/>
      <c r="BI102" s="131"/>
      <c r="BJ102" s="2001"/>
      <c r="BK102" s="1585">
        <f>+BK101/BJ100</f>
        <v>-0.34097809008264246</v>
      </c>
      <c r="BL102" s="1585">
        <f t="shared" ref="BL102" si="467">+BL101/BK100</f>
        <v>-0.32202585747802137</v>
      </c>
      <c r="BM102" s="1585">
        <f t="shared" ref="BM102" si="468">+BM101/BL100</f>
        <v>-0.31232061122474136</v>
      </c>
      <c r="BN102" s="1585">
        <f>+BN101/BM100</f>
        <v>-0.21267572342608673</v>
      </c>
      <c r="BO102" s="2394">
        <f>+BO101/BN100</f>
        <v>-0.41067805659369999</v>
      </c>
      <c r="BP102" s="1585">
        <f>+BP101/BO100</f>
        <v>-0.3050306805396063</v>
      </c>
      <c r="BQ102" s="1585">
        <f>+BQ101/BP100</f>
        <v>-0.49668605437576091</v>
      </c>
      <c r="BR102" s="97">
        <f t="shared" ref="BR102:BU102" si="469">+BQ102</f>
        <v>-0.49668605437576091</v>
      </c>
      <c r="BS102" s="97">
        <f t="shared" si="469"/>
        <v>-0.49668605437576091</v>
      </c>
      <c r="BT102" s="97">
        <f t="shared" si="469"/>
        <v>-0.49668605437576091</v>
      </c>
      <c r="BU102" s="97">
        <f t="shared" si="469"/>
        <v>-0.49668605437576091</v>
      </c>
    </row>
    <row r="103" spans="2:73" ht="13.5" customHeight="1">
      <c r="B103" s="1588"/>
      <c r="C103" s="91"/>
      <c r="D103" s="91"/>
      <c r="E103" s="91"/>
      <c r="F103" s="91"/>
      <c r="G103" s="90"/>
      <c r="H103" s="90"/>
      <c r="I103" s="90"/>
      <c r="J103" s="90"/>
      <c r="K103" s="90"/>
      <c r="L103" s="90"/>
      <c r="M103" s="90"/>
      <c r="N103" s="90"/>
      <c r="O103" s="90"/>
      <c r="P103" s="90"/>
      <c r="Q103" s="90"/>
      <c r="R103" s="90"/>
      <c r="S103" s="1958"/>
      <c r="T103" s="150"/>
      <c r="U103" s="97"/>
      <c r="V103" s="97"/>
      <c r="W103" s="1806"/>
      <c r="X103" s="97"/>
      <c r="Y103" s="97"/>
      <c r="Z103" s="97"/>
      <c r="AA103" s="97"/>
      <c r="AB103" s="97"/>
      <c r="AC103" s="97"/>
      <c r="AD103" s="97"/>
      <c r="AE103" s="97"/>
      <c r="AF103" s="97"/>
      <c r="AG103" s="97"/>
      <c r="AH103" s="97"/>
      <c r="AI103" s="97"/>
      <c r="AJ103" s="97"/>
      <c r="AK103" s="97"/>
      <c r="AL103" s="97"/>
      <c r="AM103" s="1806"/>
      <c r="AN103" s="97"/>
      <c r="AO103" s="97"/>
      <c r="AP103" s="97"/>
      <c r="AQ103" s="97"/>
      <c r="AR103" s="97"/>
      <c r="AS103" s="97"/>
      <c r="AT103" s="97"/>
      <c r="AU103" s="97"/>
      <c r="AV103" s="97"/>
      <c r="AW103" s="97"/>
      <c r="AX103" s="97"/>
      <c r="AY103" s="97"/>
      <c r="AZ103" s="97"/>
      <c r="BA103" s="77"/>
      <c r="BB103" s="97"/>
      <c r="BC103" s="2179"/>
      <c r="BE103" s="77"/>
      <c r="BF103" s="77"/>
      <c r="BG103" s="77"/>
      <c r="BH103" s="77"/>
      <c r="BI103" s="131"/>
      <c r="BJ103" s="2001"/>
      <c r="BK103" s="131"/>
      <c r="BL103" s="131"/>
      <c r="BM103" s="131"/>
      <c r="BN103" s="131"/>
      <c r="BO103" s="1095"/>
      <c r="BP103" s="131"/>
      <c r="BQ103" s="131"/>
      <c r="BR103" s="97"/>
      <c r="BS103" s="97"/>
      <c r="BT103" s="97"/>
      <c r="BU103" s="97"/>
    </row>
    <row r="104" spans="2:73" ht="13.5" customHeight="1">
      <c r="B104" s="1589"/>
      <c r="C104" s="91"/>
      <c r="D104" s="91"/>
      <c r="E104" s="91"/>
      <c r="F104" s="91"/>
      <c r="G104" s="90"/>
      <c r="H104" s="90"/>
      <c r="I104" s="90"/>
      <c r="J104" s="90"/>
      <c r="K104" s="90"/>
      <c r="L104" s="90"/>
      <c r="M104" s="90"/>
      <c r="N104" s="90"/>
      <c r="O104" s="90"/>
      <c r="P104" s="90"/>
      <c r="Q104" s="90"/>
      <c r="R104" s="90"/>
      <c r="S104" s="1958"/>
      <c r="T104" s="150"/>
      <c r="U104" s="97"/>
      <c r="V104" s="97"/>
      <c r="W104" s="1806"/>
      <c r="X104" s="97"/>
      <c r="Y104" s="97"/>
      <c r="Z104" s="97"/>
      <c r="AA104" s="97"/>
      <c r="AB104" s="97"/>
      <c r="AC104" s="97"/>
      <c r="AD104" s="97"/>
      <c r="AE104" s="97"/>
      <c r="AF104" s="97"/>
      <c r="AG104" s="97"/>
      <c r="AH104" s="97"/>
      <c r="AI104" s="97"/>
      <c r="AJ104" s="97"/>
      <c r="AK104" s="97"/>
      <c r="AL104" s="97"/>
      <c r="AM104" s="1806"/>
      <c r="AN104" s="97"/>
      <c r="AO104" s="97"/>
      <c r="AP104" s="97"/>
      <c r="AQ104" s="97"/>
      <c r="AR104" s="97"/>
      <c r="AS104" s="97"/>
      <c r="AT104" s="97"/>
      <c r="AU104" s="97"/>
      <c r="AV104" s="97"/>
      <c r="AW104" s="97"/>
      <c r="AX104" s="97"/>
      <c r="AY104" s="97"/>
      <c r="AZ104" s="97"/>
      <c r="BA104" s="77"/>
      <c r="BB104" s="97"/>
      <c r="BC104" s="2179"/>
      <c r="BE104" s="77"/>
      <c r="BF104" s="77"/>
      <c r="BG104" s="77"/>
      <c r="BH104" s="77"/>
      <c r="BI104" s="77"/>
      <c r="BJ104" s="1998"/>
      <c r="BK104" s="77"/>
      <c r="BL104" s="77"/>
      <c r="BM104" s="77"/>
      <c r="BN104" s="77"/>
      <c r="BO104" s="1791"/>
      <c r="BP104" s="77"/>
      <c r="BQ104" s="77"/>
      <c r="BR104" s="97"/>
      <c r="BS104" s="97"/>
      <c r="BT104" s="97"/>
      <c r="BU104" s="97"/>
    </row>
    <row r="105" spans="2:73" ht="13.5" customHeight="1">
      <c r="B105" s="1589" t="s">
        <v>269</v>
      </c>
      <c r="C105" s="91"/>
      <c r="D105" s="91"/>
      <c r="E105" s="91"/>
      <c r="F105" s="91"/>
      <c r="G105" s="90"/>
      <c r="H105" s="90"/>
      <c r="I105" s="90"/>
      <c r="J105" s="90"/>
      <c r="K105" s="90"/>
      <c r="L105" s="90"/>
      <c r="M105" s="90"/>
      <c r="N105" s="90"/>
      <c r="O105" s="90"/>
      <c r="P105" s="90"/>
      <c r="Q105" s="90"/>
      <c r="R105" s="90"/>
      <c r="S105" s="1958"/>
      <c r="T105" s="150"/>
      <c r="U105" s="97"/>
      <c r="V105" s="97"/>
      <c r="W105" s="1806"/>
      <c r="X105" s="97"/>
      <c r="Y105" s="97"/>
      <c r="Z105" s="97"/>
      <c r="AA105" s="97"/>
      <c r="AB105" s="97"/>
      <c r="AC105" s="97"/>
      <c r="AD105" s="1587">
        <f t="shared" ref="AD105:AQ105" si="470">+AD97-AD100</f>
        <v>1136.9170000000001</v>
      </c>
      <c r="AE105" s="1587">
        <f t="shared" si="470"/>
        <v>1108.8210000000001</v>
      </c>
      <c r="AF105" s="1587">
        <f t="shared" si="470"/>
        <v>1136.6209999999999</v>
      </c>
      <c r="AG105" s="1587">
        <f t="shared" si="470"/>
        <v>1104.058</v>
      </c>
      <c r="AH105" s="1587">
        <f t="shared" si="470"/>
        <v>1105.7760000000003</v>
      </c>
      <c r="AI105" s="1587">
        <f t="shared" si="470"/>
        <v>1111.1220000000001</v>
      </c>
      <c r="AJ105" s="1587">
        <f t="shared" si="470"/>
        <v>1025.307</v>
      </c>
      <c r="AK105" s="1587">
        <f t="shared" si="470"/>
        <v>1036.067</v>
      </c>
      <c r="AL105" s="1587">
        <f t="shared" si="470"/>
        <v>994.6099999999999</v>
      </c>
      <c r="AM105" s="2395">
        <f t="shared" si="470"/>
        <v>646.63300000000004</v>
      </c>
      <c r="AN105" s="1587">
        <f t="shared" si="470"/>
        <v>657.05900000000008</v>
      </c>
      <c r="AO105" s="1587">
        <f t="shared" si="470"/>
        <v>665.10800000000006</v>
      </c>
      <c r="AP105" s="1587">
        <f t="shared" si="470"/>
        <v>681.35900000000004</v>
      </c>
      <c r="AQ105" s="1587">
        <f t="shared" si="470"/>
        <v>626.62599999999998</v>
      </c>
      <c r="AR105" s="1587">
        <f t="shared" ref="AR105" si="471">+AR97-AR100</f>
        <v>582.14699999999993</v>
      </c>
      <c r="AS105" s="1587">
        <f>+AS97-AS100</f>
        <v>563.66099999999994</v>
      </c>
      <c r="AT105" s="1587">
        <f>+AT97-AT100</f>
        <v>570.63400000000001</v>
      </c>
      <c r="AU105" s="1583">
        <f t="shared" ref="AU105" si="472">+AT105</f>
        <v>570.63400000000001</v>
      </c>
      <c r="AV105" s="1583">
        <f t="shared" ref="AV105" si="473">+AU105</f>
        <v>570.63400000000001</v>
      </c>
      <c r="AW105" s="1583">
        <f t="shared" ref="AW105" si="474">+AV105</f>
        <v>570.63400000000001</v>
      </c>
      <c r="AX105" s="1583">
        <f t="shared" ref="AX105" si="475">+AW105</f>
        <v>570.63400000000001</v>
      </c>
      <c r="AY105" s="1583"/>
      <c r="AZ105" s="1583"/>
      <c r="BA105" s="77"/>
      <c r="BB105" s="1583">
        <v>563.66099999999994</v>
      </c>
      <c r="BC105" s="2179"/>
      <c r="BE105" s="77"/>
      <c r="BF105" s="77"/>
      <c r="BG105" s="77"/>
      <c r="BH105" s="77"/>
      <c r="BI105" s="1587"/>
      <c r="BJ105" s="2010">
        <f>+BJ97-BJ100</f>
        <v>732.85500000000002</v>
      </c>
      <c r="BK105" s="80">
        <f>+BK97-BK100</f>
        <v>1355.2420000000002</v>
      </c>
      <c r="BL105" s="80">
        <f>+AD105</f>
        <v>1136.9170000000001</v>
      </c>
      <c r="BM105" s="80">
        <f>+AH105</f>
        <v>1105.7760000000003</v>
      </c>
      <c r="BN105" s="80">
        <f>+AL105</f>
        <v>994.6099999999999</v>
      </c>
      <c r="BO105" s="1795">
        <f t="shared" ref="BO105:BP105" si="476">+BO97-BO100</f>
        <v>653.35</v>
      </c>
      <c r="BP105" s="80">
        <f t="shared" si="476"/>
        <v>570.63400000000001</v>
      </c>
      <c r="BQ105" s="80">
        <f>+AX105</f>
        <v>570.63400000000001</v>
      </c>
      <c r="BR105" s="1583">
        <f>+AVERAGE(BP105:BQ105)</f>
        <v>570.63400000000001</v>
      </c>
      <c r="BS105" s="1583">
        <f t="shared" ref="BS105" si="477">+AVERAGE(BO105:BR105)</f>
        <v>591.31299999999999</v>
      </c>
      <c r="BT105" s="1583">
        <f t="shared" ref="BT105" si="478">+AVERAGE(BP105:BS105)</f>
        <v>575.80375000000004</v>
      </c>
      <c r="BU105" s="1583">
        <f t="shared" ref="BU105" si="479">+AVERAGE(BQ105:BT105)</f>
        <v>577.09618750000004</v>
      </c>
    </row>
    <row r="106" spans="2:73" ht="13.5" customHeight="1">
      <c r="B106" s="1588" t="s">
        <v>291</v>
      </c>
      <c r="C106" s="91"/>
      <c r="D106" s="91"/>
      <c r="E106" s="91"/>
      <c r="F106" s="91"/>
      <c r="G106" s="90"/>
      <c r="H106" s="90"/>
      <c r="I106" s="90"/>
      <c r="J106" s="90"/>
      <c r="K106" s="90"/>
      <c r="L106" s="90"/>
      <c r="M106" s="90"/>
      <c r="N106" s="90"/>
      <c r="O106" s="90"/>
      <c r="P106" s="90"/>
      <c r="Q106" s="90"/>
      <c r="R106" s="90"/>
      <c r="S106" s="1958"/>
      <c r="T106" s="150"/>
      <c r="U106" s="97"/>
      <c r="V106" s="97"/>
      <c r="W106" s="1806"/>
      <c r="X106" s="97"/>
      <c r="Y106" s="1584"/>
      <c r="Z106" s="1584"/>
      <c r="AA106" s="1584"/>
      <c r="AB106" s="1584"/>
      <c r="AC106" s="1584"/>
      <c r="AD106" s="1584">
        <f t="shared" ref="AD106:AQ106" si="480">-AD96-AD101</f>
        <v>-258.96500000000009</v>
      </c>
      <c r="AE106" s="1584">
        <f t="shared" si="480"/>
        <v>-82.403999999999996</v>
      </c>
      <c r="AF106" s="1584">
        <f t="shared" si="480"/>
        <v>-82.863000000000056</v>
      </c>
      <c r="AG106" s="1584">
        <f t="shared" si="480"/>
        <v>-100.55899999999991</v>
      </c>
      <c r="AH106" s="1584">
        <f t="shared" si="480"/>
        <v>-50.178000000000111</v>
      </c>
      <c r="AI106" s="1759">
        <f t="shared" si="480"/>
        <v>-74.105000000000004</v>
      </c>
      <c r="AJ106" s="1759">
        <f t="shared" si="480"/>
        <v>-80.711000000000027</v>
      </c>
      <c r="AK106" s="1759">
        <f t="shared" si="480"/>
        <v>-75.047999999999902</v>
      </c>
      <c r="AL106" s="1759">
        <f t="shared" si="480"/>
        <v>-74.471999999999994</v>
      </c>
      <c r="AM106" s="2396">
        <f t="shared" si="480"/>
        <v>-72.274000000000001</v>
      </c>
      <c r="AN106" s="1759">
        <f t="shared" si="480"/>
        <v>-77.594000000000008</v>
      </c>
      <c r="AO106" s="1759">
        <f t="shared" si="480"/>
        <v>6.0950000000000157</v>
      </c>
      <c r="AP106" s="1759">
        <f t="shared" si="480"/>
        <v>550.19500000000005</v>
      </c>
      <c r="AQ106" s="1759">
        <f t="shared" si="480"/>
        <v>-83.194000000000003</v>
      </c>
      <c r="AR106" s="1759">
        <f t="shared" ref="AR106" si="481">-AR96-AR101</f>
        <v>-73.246000000000009</v>
      </c>
      <c r="AS106" s="1759">
        <f>-AS96-AS101</f>
        <v>2.0089999999999959</v>
      </c>
      <c r="AT106" s="1759">
        <f>-AT96-AT101</f>
        <v>-14.838999999999995</v>
      </c>
      <c r="AU106" s="1583">
        <f t="shared" ref="AU106" si="482">+AU107*AT105</f>
        <v>-14.838999999999995</v>
      </c>
      <c r="AV106" s="1583">
        <f t="shared" ref="AV106" si="483">+AV107*AU105</f>
        <v>-14.838999999999995</v>
      </c>
      <c r="AW106" s="1583">
        <f t="shared" ref="AW106" si="484">+AW107*AV105</f>
        <v>-14.838999999999995</v>
      </c>
      <c r="AX106" s="1583">
        <f t="shared" ref="AX106" si="485">+AX107*AW105</f>
        <v>-14.838999999999995</v>
      </c>
      <c r="AY106" s="1583"/>
      <c r="AZ106" s="1583"/>
      <c r="BA106" s="77"/>
      <c r="BB106" s="1583">
        <v>-43.007115051853887</v>
      </c>
      <c r="BC106" s="2179"/>
      <c r="BE106" s="77"/>
      <c r="BF106" s="77"/>
      <c r="BG106" s="77"/>
      <c r="BH106" s="77"/>
      <c r="BI106" s="1584"/>
      <c r="BJ106" s="2011">
        <f>-BJ96-BJ101</f>
        <v>-100.47899999999998</v>
      </c>
      <c r="BK106" s="1584">
        <f>-BK96-BK101+564.67-148.05</f>
        <v>-162.83300000000003</v>
      </c>
      <c r="BL106" s="1584">
        <f>-BL96-BL101</f>
        <v>-338.9</v>
      </c>
      <c r="BM106" s="77">
        <f>+SUM(AE106:AH106)</f>
        <v>-316.00400000000008</v>
      </c>
      <c r="BN106" s="77">
        <f>+SUM(AI106:AL106)</f>
        <v>-304.3359999999999</v>
      </c>
      <c r="BO106" s="1791">
        <f>+SUM(AM106:AP106)</f>
        <v>406.42200000000008</v>
      </c>
      <c r="BP106" s="77">
        <f>+SUM(AQ106:AT106)</f>
        <v>-169.27</v>
      </c>
      <c r="BQ106" s="77">
        <f>+SUM(AU106:AX106)</f>
        <v>-59.35599999999998</v>
      </c>
      <c r="BR106" s="1583">
        <f t="shared" ref="BR106" si="486">+BR107*BQ105</f>
        <v>-59.35599999999998</v>
      </c>
      <c r="BS106" s="1583">
        <f t="shared" ref="BS106" si="487">+BS107*BR105</f>
        <v>-59.35599999999998</v>
      </c>
      <c r="BT106" s="1583">
        <f t="shared" ref="BT106" si="488">+BT107*BS105</f>
        <v>-61.506980705671211</v>
      </c>
      <c r="BU106" s="1583">
        <f t="shared" ref="BU106" si="489">+BU107*BT105</f>
        <v>-59.893745176417788</v>
      </c>
    </row>
    <row r="107" spans="2:73" ht="13.5" customHeight="1">
      <c r="B107" s="1588" t="s">
        <v>292</v>
      </c>
      <c r="C107" s="91"/>
      <c r="D107" s="91"/>
      <c r="E107" s="91"/>
      <c r="F107" s="91"/>
      <c r="G107" s="90"/>
      <c r="H107" s="90"/>
      <c r="I107" s="90"/>
      <c r="J107" s="90"/>
      <c r="K107" s="90"/>
      <c r="L107" s="90"/>
      <c r="M107" s="90"/>
      <c r="N107" s="90"/>
      <c r="O107" s="90"/>
      <c r="P107" s="90"/>
      <c r="Q107" s="90"/>
      <c r="R107" s="90"/>
      <c r="S107" s="1958"/>
      <c r="T107" s="150"/>
      <c r="U107" s="97"/>
      <c r="V107" s="97"/>
      <c r="W107" s="1806"/>
      <c r="X107" s="97"/>
      <c r="Y107" s="97"/>
      <c r="Z107" s="97"/>
      <c r="AA107" s="97"/>
      <c r="AB107" s="97"/>
      <c r="AC107" s="97"/>
      <c r="AD107" s="97"/>
      <c r="AE107" s="1585">
        <f>+AE106/AD105</f>
        <v>-7.2480225029619566E-2</v>
      </c>
      <c r="AF107" s="1585">
        <f t="shared" ref="AF107" si="490">+AF106/AE105</f>
        <v>-7.4730727502455352E-2</v>
      </c>
      <c r="AG107" s="1585">
        <f t="shared" ref="AG107" si="491">+AG106/AF105</f>
        <v>-8.8471882887963468E-2</v>
      </c>
      <c r="AH107" s="1585">
        <f t="shared" ref="AH107" si="492">+AH106/AG105</f>
        <v>-4.5448699253119049E-2</v>
      </c>
      <c r="AI107" s="1585">
        <f t="shared" ref="AI107" si="493">+AI106/AH105</f>
        <v>-6.701628539595722E-2</v>
      </c>
      <c r="AJ107" s="1585">
        <f t="shared" ref="AJ107" si="494">+AJ106/AI105</f>
        <v>-7.2639188135956281E-2</v>
      </c>
      <c r="AK107" s="1585">
        <f t="shared" ref="AK107:AO107" si="495">+AK106/AJ105</f>
        <v>-7.3195637989402096E-2</v>
      </c>
      <c r="AL107" s="1585">
        <f t="shared" si="495"/>
        <v>-7.1879521305089331E-2</v>
      </c>
      <c r="AM107" s="2394">
        <f t="shared" si="495"/>
        <v>-7.2665667950251867E-2</v>
      </c>
      <c r="AN107" s="1585">
        <f t="shared" si="495"/>
        <v>-0.11999696891436101</v>
      </c>
      <c r="AO107" s="1585">
        <f t="shared" si="495"/>
        <v>9.2761837217053798E-3</v>
      </c>
      <c r="AP107" s="1585">
        <f t="shared" ref="AP107" si="496">+AP106/AO105</f>
        <v>0.82722655568719672</v>
      </c>
      <c r="AQ107" s="1585">
        <f t="shared" ref="AQ107:AR107" si="497">+AQ106/AP105</f>
        <v>-0.12210009701200102</v>
      </c>
      <c r="AR107" s="1585">
        <f t="shared" si="497"/>
        <v>-0.11688950027608176</v>
      </c>
      <c r="AS107" s="1585">
        <f>+AS106/AS105</f>
        <v>3.5641990487189925E-3</v>
      </c>
      <c r="AT107" s="1585">
        <f>+AT106/AT105</f>
        <v>-2.6004409130896501E-2</v>
      </c>
      <c r="AU107" s="97">
        <f t="shared" ref="AU107" si="498">+AT107</f>
        <v>-2.6004409130896501E-2</v>
      </c>
      <c r="AV107" s="97">
        <f t="shared" ref="AV107" si="499">+AU107</f>
        <v>-2.6004409130896501E-2</v>
      </c>
      <c r="AW107" s="97">
        <f t="shared" ref="AW107" si="500">+AV107</f>
        <v>-2.6004409130896501E-2</v>
      </c>
      <c r="AX107" s="97">
        <f t="shared" ref="AX107" si="501">+AW107</f>
        <v>-2.6004409130896501E-2</v>
      </c>
      <c r="AY107" s="97"/>
      <c r="AZ107" s="97"/>
      <c r="BA107" s="77"/>
      <c r="BB107" s="97">
        <v>-7.6299611028355502E-2</v>
      </c>
      <c r="BC107" s="2179"/>
      <c r="BE107" s="77"/>
      <c r="BF107" s="77"/>
      <c r="BG107" s="77"/>
      <c r="BH107" s="77"/>
      <c r="BI107" s="131"/>
      <c r="BJ107" s="2001"/>
      <c r="BK107" s="1585">
        <f>+BK106/BJ105</f>
        <v>-0.22218992843058999</v>
      </c>
      <c r="BL107" s="1585">
        <f t="shared" ref="BL107" si="502">+BL106/BK105</f>
        <v>-0.25006603986594272</v>
      </c>
      <c r="BM107" s="1585">
        <f t="shared" ref="BM107" si="503">+BM106/BL105</f>
        <v>-0.27794817035896202</v>
      </c>
      <c r="BN107" s="1585">
        <f t="shared" ref="BN107" si="504">+BN106/BM105</f>
        <v>-0.27522391515098882</v>
      </c>
      <c r="BO107" s="2394">
        <f t="shared" ref="BO107:BQ107" si="505">+BO106/BN105</f>
        <v>0.40862448597942924</v>
      </c>
      <c r="BP107" s="1585">
        <f t="shared" si="505"/>
        <v>-0.25908012550700238</v>
      </c>
      <c r="BQ107" s="1585">
        <f t="shared" si="505"/>
        <v>-0.104017636523586</v>
      </c>
      <c r="BR107" s="97">
        <f t="shared" ref="BR107:BU107" si="506">+BQ107</f>
        <v>-0.104017636523586</v>
      </c>
      <c r="BS107" s="97">
        <f t="shared" si="506"/>
        <v>-0.104017636523586</v>
      </c>
      <c r="BT107" s="97">
        <f t="shared" si="506"/>
        <v>-0.104017636523586</v>
      </c>
      <c r="BU107" s="97">
        <f t="shared" si="506"/>
        <v>-0.104017636523586</v>
      </c>
    </row>
    <row r="108" spans="2:73" ht="13.5" customHeight="1">
      <c r="B108" s="78"/>
      <c r="C108" s="91"/>
      <c r="D108" s="91"/>
      <c r="E108" s="91"/>
      <c r="F108" s="91"/>
      <c r="G108" s="90"/>
      <c r="H108" s="90"/>
      <c r="I108" s="90"/>
      <c r="J108" s="90"/>
      <c r="K108" s="90"/>
      <c r="L108" s="90"/>
      <c r="M108" s="90"/>
      <c r="N108" s="90"/>
      <c r="O108" s="90"/>
      <c r="P108" s="90"/>
      <c r="Q108" s="90"/>
      <c r="R108" s="90"/>
      <c r="S108" s="1958"/>
      <c r="T108" s="150"/>
      <c r="U108" s="97"/>
      <c r="V108" s="97"/>
      <c r="W108" s="1806"/>
      <c r="X108" s="97"/>
      <c r="Y108" s="97"/>
      <c r="Z108" s="97"/>
      <c r="AA108" s="97"/>
      <c r="AB108" s="97"/>
      <c r="AC108" s="97"/>
      <c r="AD108" s="97"/>
      <c r="AE108" s="97"/>
      <c r="AF108" s="97"/>
      <c r="AG108" s="97"/>
      <c r="AH108" s="97"/>
      <c r="AI108" s="97"/>
      <c r="AJ108" s="97"/>
      <c r="AK108" s="97"/>
      <c r="AL108" s="97"/>
      <c r="AM108" s="1806"/>
      <c r="AN108" s="97"/>
      <c r="AO108" s="97"/>
      <c r="AP108" s="97"/>
      <c r="AQ108" s="97"/>
      <c r="AR108" s="97"/>
      <c r="AS108" s="97"/>
      <c r="AT108" s="97"/>
      <c r="AU108" s="97"/>
      <c r="AV108" s="97"/>
      <c r="AW108" s="97"/>
      <c r="AX108" s="97"/>
      <c r="AY108" s="97"/>
      <c r="AZ108" s="97"/>
      <c r="BA108" s="77"/>
      <c r="BB108" s="97"/>
      <c r="BC108" s="2179"/>
      <c r="BE108" s="77"/>
      <c r="BF108" s="77"/>
      <c r="BG108" s="77"/>
      <c r="BH108" s="77"/>
      <c r="BI108" s="77"/>
      <c r="BJ108" s="1998"/>
      <c r="BK108" s="77"/>
      <c r="BL108" s="77"/>
      <c r="BM108" s="77"/>
      <c r="BN108" s="77"/>
      <c r="BO108" s="1791"/>
      <c r="BP108" s="77"/>
      <c r="BQ108" s="77"/>
      <c r="BR108" s="97"/>
      <c r="BS108" s="97"/>
      <c r="BT108" s="97"/>
      <c r="BU108" s="97"/>
    </row>
    <row r="109" spans="2:73" ht="13.5" customHeight="1">
      <c r="B109" s="78"/>
      <c r="C109" s="91"/>
      <c r="D109" s="91"/>
      <c r="E109" s="91"/>
      <c r="F109" s="91"/>
      <c r="G109" s="90"/>
      <c r="H109" s="90"/>
      <c r="I109" s="90"/>
      <c r="J109" s="90"/>
      <c r="K109" s="90"/>
      <c r="L109" s="90"/>
      <c r="M109" s="90"/>
      <c r="N109" s="90"/>
      <c r="O109" s="90"/>
      <c r="P109" s="90"/>
      <c r="Q109" s="90"/>
      <c r="R109" s="90"/>
      <c r="S109" s="1958"/>
      <c r="T109" s="150"/>
      <c r="U109" s="97"/>
      <c r="V109" s="97"/>
      <c r="W109" s="1806"/>
      <c r="X109" s="97"/>
      <c r="Y109" s="97"/>
      <c r="Z109" s="97"/>
      <c r="AA109" s="97"/>
      <c r="AB109" s="97"/>
      <c r="AC109" s="97"/>
      <c r="AD109" s="97"/>
      <c r="AE109" s="97"/>
      <c r="AF109" s="97"/>
      <c r="AG109" s="97"/>
      <c r="AH109" s="97"/>
      <c r="AI109" s="97"/>
      <c r="AJ109" s="97"/>
      <c r="AK109" s="97"/>
      <c r="AL109" s="97"/>
      <c r="AM109" s="1806"/>
      <c r="AN109" s="97"/>
      <c r="AO109" s="97"/>
      <c r="AP109" s="97"/>
      <c r="AQ109" s="97"/>
      <c r="AR109" s="97"/>
      <c r="AS109" s="97"/>
      <c r="AT109" s="97"/>
      <c r="AU109" s="97"/>
      <c r="AV109" s="97"/>
      <c r="AW109" s="97"/>
      <c r="AX109" s="97"/>
      <c r="AY109" s="97"/>
      <c r="AZ109" s="97"/>
      <c r="BA109" s="77"/>
      <c r="BB109" s="97"/>
      <c r="BC109" s="2179"/>
      <c r="BE109" s="77"/>
      <c r="BF109" s="77"/>
      <c r="BG109" s="77"/>
      <c r="BH109" s="77"/>
      <c r="BI109" s="77"/>
      <c r="BJ109" s="1998"/>
      <c r="BK109" s="77"/>
      <c r="BL109" s="77"/>
      <c r="BM109" s="77"/>
      <c r="BN109" s="77"/>
      <c r="BO109" s="1791"/>
      <c r="BP109" s="77"/>
      <c r="BQ109" s="77"/>
      <c r="BR109" s="97"/>
      <c r="BS109" s="97"/>
      <c r="BT109" s="97"/>
      <c r="BU109" s="97"/>
    </row>
    <row r="110" spans="2:73" ht="13.5" customHeight="1">
      <c r="B110" s="78" t="s">
        <v>293</v>
      </c>
      <c r="C110" s="91"/>
      <c r="D110" s="91"/>
      <c r="E110" s="91"/>
      <c r="F110" s="91"/>
      <c r="G110" s="90"/>
      <c r="H110" s="90"/>
      <c r="I110" s="90"/>
      <c r="J110" s="90"/>
      <c r="K110" s="90"/>
      <c r="L110" s="90"/>
      <c r="M110" s="90"/>
      <c r="N110" s="90"/>
      <c r="O110" s="90"/>
      <c r="P110" s="80"/>
      <c r="Q110" s="80"/>
      <c r="R110" s="80"/>
      <c r="S110" s="1795">
        <f t="shared" ref="S110:X110" si="507">+S112+S113</f>
        <v>2248.1999999999998</v>
      </c>
      <c r="T110" s="80">
        <f t="shared" si="507"/>
        <v>2271.8209999999999</v>
      </c>
      <c r="U110" s="80">
        <f t="shared" si="507"/>
        <v>2545.4</v>
      </c>
      <c r="V110" s="80">
        <f t="shared" si="507"/>
        <v>2517.6</v>
      </c>
      <c r="W110" s="1795">
        <f t="shared" si="507"/>
        <v>3928</v>
      </c>
      <c r="X110" s="80">
        <f t="shared" si="507"/>
        <v>4107.2</v>
      </c>
      <c r="Y110" s="80">
        <f t="shared" ref="Y110:Z110" si="508">+Y112+Y113</f>
        <v>4181.8</v>
      </c>
      <c r="Z110" s="80">
        <f t="shared" si="508"/>
        <v>3858.5</v>
      </c>
      <c r="AA110" s="80">
        <f t="shared" ref="AA110:AB110" si="509">+AA112+AA113</f>
        <v>3920.6000000000004</v>
      </c>
      <c r="AB110" s="80">
        <f t="shared" si="509"/>
        <v>3388.7</v>
      </c>
      <c r="AC110" s="80">
        <f t="shared" ref="AC110:AD110" si="510">+AC112+AC113</f>
        <v>3495.8</v>
      </c>
      <c r="AD110" s="80">
        <f t="shared" si="510"/>
        <v>3547.8</v>
      </c>
      <c r="AE110" s="80">
        <f t="shared" ref="AE110:AF110" si="511">+AE112+AE113</f>
        <v>3061.7</v>
      </c>
      <c r="AF110" s="80">
        <f t="shared" si="511"/>
        <v>3341.9</v>
      </c>
      <c r="AG110" s="80">
        <f t="shared" ref="AG110:AH110" si="512">+AG112+AG113</f>
        <v>3294.7</v>
      </c>
      <c r="AH110" s="80">
        <f t="shared" si="512"/>
        <v>3270.7000000000003</v>
      </c>
      <c r="AI110" s="80">
        <f t="shared" ref="AI110:AJ110" si="513">+AI112+AI113</f>
        <v>2279.6999999999998</v>
      </c>
      <c r="AJ110" s="80">
        <f t="shared" si="513"/>
        <v>2146.6999999999998</v>
      </c>
      <c r="AK110" s="80">
        <f t="shared" ref="AK110:AL110" si="514">+AK112+AK113</f>
        <v>2126.4</v>
      </c>
      <c r="AL110" s="80">
        <f t="shared" si="514"/>
        <v>1150.4000000000001</v>
      </c>
      <c r="AM110" s="1795">
        <f t="shared" ref="AM110:AN110" si="515">+AM112+AM113</f>
        <v>642.30400000000009</v>
      </c>
      <c r="AN110" s="80">
        <f t="shared" si="515"/>
        <v>665.37199999999996</v>
      </c>
      <c r="AO110" s="80">
        <f t="shared" ref="AO110:AQ110" si="516">+AO112+AO113</f>
        <v>666.798</v>
      </c>
      <c r="AP110" s="80">
        <f t="shared" si="516"/>
        <v>683.15000000000009</v>
      </c>
      <c r="AQ110" s="80">
        <f t="shared" si="516"/>
        <v>590.54500000000007</v>
      </c>
      <c r="AR110" s="80">
        <f t="shared" ref="AR110:AS110" si="517">+AR112+AR113</f>
        <v>544.51800000000003</v>
      </c>
      <c r="AS110" s="80">
        <f t="shared" si="517"/>
        <v>557.04099999999994</v>
      </c>
      <c r="AT110" s="80">
        <f t="shared" ref="AT110" si="518">+AT112+AT113</f>
        <v>593.88199999999995</v>
      </c>
      <c r="AU110" s="152">
        <f>+AU111*AU97</f>
        <v>593.88199999999995</v>
      </c>
      <c r="AV110" s="152">
        <f>+AV111*AV97</f>
        <v>593.88199999999995</v>
      </c>
      <c r="AW110" s="152">
        <f>+AW111*AW97</f>
        <v>593.88199999999995</v>
      </c>
      <c r="AX110" s="152">
        <f>+AX111*AX97</f>
        <v>593.88199999999995</v>
      </c>
      <c r="AY110" s="152"/>
      <c r="AZ110" s="152"/>
      <c r="BA110" s="77"/>
      <c r="BB110" s="152">
        <v>557.04099999999994</v>
      </c>
      <c r="BC110" s="2179"/>
      <c r="BE110" s="77"/>
      <c r="BF110" s="77"/>
      <c r="BG110" s="77"/>
      <c r="BH110" s="77"/>
      <c r="BI110" s="80"/>
      <c r="BJ110" s="2000">
        <f>+V110</f>
        <v>2517.6</v>
      </c>
      <c r="BK110" s="80">
        <f>+Z110</f>
        <v>3858.5</v>
      </c>
      <c r="BL110" s="80">
        <f>+AD110</f>
        <v>3547.8</v>
      </c>
      <c r="BM110" s="80">
        <f>+AH110</f>
        <v>3270.7000000000003</v>
      </c>
      <c r="BN110" s="80">
        <f>+AI110</f>
        <v>2279.6999999999998</v>
      </c>
      <c r="BO110" s="1795">
        <f>+AM110</f>
        <v>642.30400000000009</v>
      </c>
      <c r="BP110" s="80">
        <f>+AQ110</f>
        <v>590.54500000000007</v>
      </c>
      <c r="BQ110" s="80">
        <f>+AU110</f>
        <v>593.88199999999995</v>
      </c>
      <c r="BR110" s="152">
        <f>+BR111*BR97</f>
        <v>593.88199999999995</v>
      </c>
      <c r="BS110" s="152">
        <f>+BS111*BS97</f>
        <v>612.3012198163309</v>
      </c>
      <c r="BT110" s="152">
        <f>+BT111*BT97</f>
        <v>598.48680495408269</v>
      </c>
      <c r="BU110" s="152">
        <f>+BU111*BU97</f>
        <v>599.63800619260337</v>
      </c>
    </row>
    <row r="111" spans="2:73" ht="13.5" customHeight="1">
      <c r="B111" s="78"/>
      <c r="C111" s="91"/>
      <c r="D111" s="91"/>
      <c r="E111" s="91"/>
      <c r="F111" s="91"/>
      <c r="G111" s="90"/>
      <c r="H111" s="90"/>
      <c r="I111" s="90"/>
      <c r="J111" s="90"/>
      <c r="K111" s="90"/>
      <c r="L111" s="90"/>
      <c r="M111" s="90"/>
      <c r="N111" s="90"/>
      <c r="O111" s="90"/>
      <c r="P111" s="80"/>
      <c r="Q111" s="80"/>
      <c r="R111" s="80"/>
      <c r="S111" s="1807">
        <f t="shared" ref="S111:AS111" si="519">+S110/S97</f>
        <v>0.93354134061718697</v>
      </c>
      <c r="T111" s="1125">
        <f t="shared" si="519"/>
        <v>0.93900181863271881</v>
      </c>
      <c r="U111" s="1125">
        <f t="shared" si="519"/>
        <v>0.94779565087876083</v>
      </c>
      <c r="V111" s="1125">
        <f t="shared" si="519"/>
        <v>0.96095270811863043</v>
      </c>
      <c r="W111" s="1807">
        <f t="shared" si="519"/>
        <v>1.0512511708818413</v>
      </c>
      <c r="X111" s="1125">
        <f t="shared" si="519"/>
        <v>1.0780052493438319</v>
      </c>
      <c r="Y111" s="1125">
        <f t="shared" si="519"/>
        <v>1.0871984193011648</v>
      </c>
      <c r="Z111" s="1125">
        <f t="shared" si="519"/>
        <v>1.1341857730746621</v>
      </c>
      <c r="AA111" s="1125">
        <f t="shared" si="519"/>
        <v>1.157201889020071</v>
      </c>
      <c r="AB111" s="1125">
        <f t="shared" si="519"/>
        <v>1.1470787353598266</v>
      </c>
      <c r="AC111" s="1125">
        <f t="shared" si="519"/>
        <v>1.1515630661791352</v>
      </c>
      <c r="AD111" s="1125">
        <f t="shared" si="519"/>
        <v>1.1459302325581395</v>
      </c>
      <c r="AE111" s="1125">
        <f t="shared" si="519"/>
        <v>1.1024016130774492</v>
      </c>
      <c r="AF111" s="1125">
        <f t="shared" si="519"/>
        <v>1.10403039312851</v>
      </c>
      <c r="AG111" s="1125">
        <f t="shared" si="519"/>
        <v>1.1026070077975971</v>
      </c>
      <c r="AH111" s="1125">
        <f t="shared" si="519"/>
        <v>1.1117645059315409</v>
      </c>
      <c r="AI111" s="1125">
        <f t="shared" si="519"/>
        <v>1.0885259991405241</v>
      </c>
      <c r="AJ111" s="1125">
        <f t="shared" si="519"/>
        <v>1.082770099868859</v>
      </c>
      <c r="AK111" s="1125">
        <f t="shared" si="519"/>
        <v>1.0775311644876862</v>
      </c>
      <c r="AL111" s="1125">
        <f t="shared" si="519"/>
        <v>1.0947849257708413</v>
      </c>
      <c r="AM111" s="1807">
        <f t="shared" si="519"/>
        <v>0.91082403323926886</v>
      </c>
      <c r="AN111" s="1125">
        <f t="shared" si="519"/>
        <v>0.92047910089727647</v>
      </c>
      <c r="AO111" s="1125">
        <f t="shared" si="519"/>
        <v>0.91624722260009972</v>
      </c>
      <c r="AP111" s="1125">
        <f t="shared" si="519"/>
        <v>0.92372366850063758</v>
      </c>
      <c r="AQ111" s="1125">
        <f t="shared" si="519"/>
        <v>0.86914000697613858</v>
      </c>
      <c r="AR111" s="1125">
        <f t="shared" si="519"/>
        <v>0.8689015341309837</v>
      </c>
      <c r="AS111" s="1125">
        <f t="shared" si="519"/>
        <v>0.85715494743580267</v>
      </c>
      <c r="AT111" s="1125">
        <f t="shared" ref="AT111" si="520">+AT110/AT97</f>
        <v>0.89072101244407498</v>
      </c>
      <c r="AU111" s="97">
        <f t="shared" ref="AU111" si="521">+AT111</f>
        <v>0.89072101244407498</v>
      </c>
      <c r="AV111" s="97">
        <f t="shared" ref="AV111" si="522">+AU111</f>
        <v>0.89072101244407498</v>
      </c>
      <c r="AW111" s="97">
        <f t="shared" ref="AW111" si="523">+AV111</f>
        <v>0.89072101244407498</v>
      </c>
      <c r="AX111" s="97">
        <f t="shared" ref="AX111" si="524">+AW111</f>
        <v>0.89072101244407498</v>
      </c>
      <c r="AY111" s="97"/>
      <c r="AZ111" s="97"/>
      <c r="BA111" s="77"/>
      <c r="BB111" s="97">
        <v>0.85715494743580267</v>
      </c>
      <c r="BC111" s="2179"/>
      <c r="BE111" s="77"/>
      <c r="BF111" s="77"/>
      <c r="BG111" s="77"/>
      <c r="BH111" s="77"/>
      <c r="BI111" s="95"/>
      <c r="BJ111" s="2005">
        <f t="shared" ref="BJ111:BQ111" si="525">+BJ110/BJ97</f>
        <v>0.96095270811863043</v>
      </c>
      <c r="BK111" s="95">
        <f t="shared" si="525"/>
        <v>1.1341857730746621</v>
      </c>
      <c r="BL111" s="95">
        <f t="shared" si="525"/>
        <v>1.1459302325581395</v>
      </c>
      <c r="BM111" s="95">
        <f t="shared" si="525"/>
        <v>1.1117645059315409</v>
      </c>
      <c r="BN111" s="95">
        <f t="shared" si="525"/>
        <v>2.1694899124476588</v>
      </c>
      <c r="BO111" s="1800">
        <f t="shared" si="525"/>
        <v>0.8684936063421409</v>
      </c>
      <c r="BP111" s="95">
        <f t="shared" si="525"/>
        <v>0.88571608550820935</v>
      </c>
      <c r="BQ111" s="95">
        <f t="shared" si="525"/>
        <v>0.89072101244407498</v>
      </c>
      <c r="BR111" s="97">
        <f t="shared" ref="BR111" si="526">+BQ111</f>
        <v>0.89072101244407498</v>
      </c>
      <c r="BS111" s="97">
        <f t="shared" ref="BS111" si="527">+BR111</f>
        <v>0.89072101244407498</v>
      </c>
      <c r="BT111" s="97">
        <f t="shared" ref="BT111" si="528">+BS111</f>
        <v>0.89072101244407498</v>
      </c>
      <c r="BU111" s="97">
        <f t="shared" ref="BU111" si="529">+BT111</f>
        <v>0.89072101244407498</v>
      </c>
    </row>
    <row r="112" spans="2:73" ht="13.5" customHeight="1">
      <c r="B112" s="75" t="s">
        <v>294</v>
      </c>
      <c r="C112" s="91"/>
      <c r="D112" s="91"/>
      <c r="E112" s="91"/>
      <c r="F112" s="91"/>
      <c r="G112" s="90"/>
      <c r="H112" s="90"/>
      <c r="I112" s="90"/>
      <c r="J112" s="90"/>
      <c r="K112" s="90"/>
      <c r="L112" s="90"/>
      <c r="M112" s="90"/>
      <c r="N112" s="90"/>
      <c r="O112" s="90"/>
      <c r="P112" s="77"/>
      <c r="Q112" s="77"/>
      <c r="R112" s="77"/>
      <c r="S112" s="1791">
        <f>+PROJ!S118</f>
        <v>451.6</v>
      </c>
      <c r="T112" s="77">
        <f>+PROJ!T118</f>
        <v>456.13400000000001</v>
      </c>
      <c r="U112" s="77">
        <f>+PROJ!U118</f>
        <v>504.2</v>
      </c>
      <c r="V112" s="77">
        <f>+PROJ!V118</f>
        <v>542.1</v>
      </c>
      <c r="W112" s="1791">
        <f>+PROJ!W118</f>
        <v>956.4</v>
      </c>
      <c r="X112" s="77">
        <f>+PROJ!X118</f>
        <v>1081.0999999999999</v>
      </c>
      <c r="Y112" s="77">
        <f>+PROJ!Y118</f>
        <v>1129.2</v>
      </c>
      <c r="Z112" s="77">
        <f>+PROJ!Z118</f>
        <v>1059.7</v>
      </c>
      <c r="AA112" s="77">
        <f>+PROJ!AA118</f>
        <v>1120.8</v>
      </c>
      <c r="AB112" s="77">
        <f>+PROJ!AB118</f>
        <v>969.8</v>
      </c>
      <c r="AC112" s="77">
        <f>+PROJ!AC118</f>
        <v>981.2</v>
      </c>
      <c r="AD112" s="77">
        <f>+PROJ!AD118</f>
        <v>1005.5</v>
      </c>
      <c r="AE112" s="77">
        <f>+PROJ!AE118</f>
        <v>847.3</v>
      </c>
      <c r="AF112" s="77">
        <f>+PROJ!AF118</f>
        <v>890.6</v>
      </c>
      <c r="AG112" s="77">
        <f>+PROJ!AG118</f>
        <v>854.7</v>
      </c>
      <c r="AH112" s="77">
        <f>+PROJ!AH118</f>
        <v>878.4</v>
      </c>
      <c r="AI112" s="77">
        <f>+PROJ!AI118</f>
        <v>635</v>
      </c>
      <c r="AJ112" s="77">
        <f>+PROJ!AJ118</f>
        <v>607.6</v>
      </c>
      <c r="AK112" s="77">
        <f>+PROJ!AK118</f>
        <v>628.5</v>
      </c>
      <c r="AL112" s="77">
        <f>+PROJ!AL118</f>
        <v>298.60000000000002</v>
      </c>
      <c r="AM112" s="1791">
        <f>+PROJ!AM118</f>
        <v>155.35300000000001</v>
      </c>
      <c r="AN112" s="77">
        <f>+PROJ!AN118</f>
        <v>156.196</v>
      </c>
      <c r="AO112" s="77">
        <f>+PROJ!AO118</f>
        <v>162.95699999999999</v>
      </c>
      <c r="AP112" s="77">
        <f>+PROJ!AP118</f>
        <v>111.209</v>
      </c>
      <c r="AQ112" s="77">
        <f>+PROJ!AQ118</f>
        <v>175.59100000000001</v>
      </c>
      <c r="AR112" s="77">
        <f>+PROJ!AR118</f>
        <v>174.21299999999999</v>
      </c>
      <c r="AS112" s="77">
        <f>+PROJ!AS118</f>
        <v>180.26599999999999</v>
      </c>
      <c r="AT112" s="77">
        <f>+PROJ!AT118</f>
        <v>192.42699999999999</v>
      </c>
      <c r="AU112" s="151">
        <f t="shared" ref="AU112:AU113" si="530">+AT112*AU$110/AT$110</f>
        <v>192.42699999999999</v>
      </c>
      <c r="AV112" s="151">
        <f t="shared" ref="AV112:AV113" si="531">+AU112*AV$110/AU$110</f>
        <v>192.42699999999999</v>
      </c>
      <c r="AW112" s="151">
        <f t="shared" ref="AW112:AW113" si="532">+AV112*AW$110/AV$110</f>
        <v>192.42699999999999</v>
      </c>
      <c r="AX112" s="151">
        <f t="shared" ref="AX112:AX113" si="533">+AW112*AX$110/AW$110</f>
        <v>192.42699999999999</v>
      </c>
      <c r="AY112" s="151"/>
      <c r="AZ112" s="151"/>
      <c r="BA112" s="77"/>
      <c r="BB112" s="151">
        <v>180.26599999999999</v>
      </c>
      <c r="BC112" s="2179"/>
      <c r="BE112" s="77"/>
      <c r="BF112" s="77"/>
      <c r="BG112" s="77"/>
      <c r="BH112" s="77"/>
      <c r="BI112" s="77"/>
      <c r="BJ112" s="1998">
        <f>+V112</f>
        <v>542.1</v>
      </c>
      <c r="BK112" s="77">
        <f>+Z112</f>
        <v>1059.7</v>
      </c>
      <c r="BL112" s="77">
        <f>+AD112</f>
        <v>1005.5</v>
      </c>
      <c r="BM112" s="77">
        <f>+AH112</f>
        <v>878.4</v>
      </c>
      <c r="BN112" s="77">
        <f>+AI112</f>
        <v>635</v>
      </c>
      <c r="BO112" s="1791">
        <f>+AM112</f>
        <v>155.35300000000001</v>
      </c>
      <c r="BP112" s="77">
        <f>+AQ112</f>
        <v>175.59100000000001</v>
      </c>
      <c r="BQ112" s="77">
        <f>+AU112</f>
        <v>192.42699999999999</v>
      </c>
      <c r="BR112" s="151">
        <f>+BQ112*BR$110/BQ$110</f>
        <v>192.42699999999999</v>
      </c>
      <c r="BS112" s="151">
        <f t="shared" ref="BS112:BS113" si="534">+BR112*BS$110/BR$110</f>
        <v>198.39511355049842</v>
      </c>
      <c r="BT112" s="151">
        <f t="shared" ref="BT112:BT113" si="535">+BS112*BT$110/BS$110</f>
        <v>193.91902838762459</v>
      </c>
      <c r="BU112" s="151">
        <f t="shared" ref="BU112:BU113" si="536">+BT112*BU$110/BT$110</f>
        <v>194.29203548453074</v>
      </c>
    </row>
    <row r="113" spans="2:73" ht="13.5" customHeight="1">
      <c r="B113" s="75" t="s">
        <v>295</v>
      </c>
      <c r="C113" s="91"/>
      <c r="D113" s="91"/>
      <c r="E113" s="91"/>
      <c r="F113" s="91"/>
      <c r="G113" s="90"/>
      <c r="H113" s="90"/>
      <c r="I113" s="90"/>
      <c r="J113" s="90"/>
      <c r="K113" s="90"/>
      <c r="L113" s="90"/>
      <c r="M113" s="90"/>
      <c r="N113" s="90"/>
      <c r="O113" s="90"/>
      <c r="P113" s="77"/>
      <c r="Q113" s="77"/>
      <c r="R113" s="77"/>
      <c r="S113" s="1791">
        <f>+PROJ!S132</f>
        <v>1796.6</v>
      </c>
      <c r="T113" s="77">
        <f>+PROJ!T132</f>
        <v>1815.6869999999999</v>
      </c>
      <c r="U113" s="77">
        <f>+PROJ!U132</f>
        <v>2041.2</v>
      </c>
      <c r="V113" s="77">
        <f>+PROJ!V132</f>
        <v>1975.5</v>
      </c>
      <c r="W113" s="1791">
        <f>+PROJ!W132</f>
        <v>2971.6</v>
      </c>
      <c r="X113" s="77">
        <f>+PROJ!X132</f>
        <v>3026.1</v>
      </c>
      <c r="Y113" s="77">
        <f>+PROJ!Y132</f>
        <v>3052.6</v>
      </c>
      <c r="Z113" s="77">
        <f>+PROJ!Z132</f>
        <v>2798.8</v>
      </c>
      <c r="AA113" s="77">
        <f>+PROJ!AA132</f>
        <v>2799.8</v>
      </c>
      <c r="AB113" s="77">
        <f>+PROJ!AB132</f>
        <v>2418.9</v>
      </c>
      <c r="AC113" s="77">
        <f>+PROJ!AC132</f>
        <v>2514.6</v>
      </c>
      <c r="AD113" s="77">
        <f>+PROJ!AD132</f>
        <v>2542.3000000000002</v>
      </c>
      <c r="AE113" s="77">
        <f>+PROJ!AE132</f>
        <v>2214.4</v>
      </c>
      <c r="AF113" s="77">
        <f>+PROJ!AF132</f>
        <v>2451.3000000000002</v>
      </c>
      <c r="AG113" s="77">
        <f>+PROJ!AG132</f>
        <v>2440</v>
      </c>
      <c r="AH113" s="77">
        <f>+PROJ!AH132</f>
        <v>2392.3000000000002</v>
      </c>
      <c r="AI113" s="77">
        <f>+PROJ!AI132</f>
        <v>1644.7</v>
      </c>
      <c r="AJ113" s="77">
        <f>+PROJ!AJ132</f>
        <v>1539.1</v>
      </c>
      <c r="AK113" s="77">
        <f>+PROJ!AK132</f>
        <v>1497.9</v>
      </c>
      <c r="AL113" s="77">
        <f>+PROJ!AL132</f>
        <v>851.8</v>
      </c>
      <c r="AM113" s="1791">
        <f>+PROJ!AM132</f>
        <v>486.95100000000002</v>
      </c>
      <c r="AN113" s="77">
        <f>+PROJ!AN132</f>
        <v>509.17599999999999</v>
      </c>
      <c r="AO113" s="77">
        <f>+PROJ!AO132</f>
        <v>503.84100000000001</v>
      </c>
      <c r="AP113" s="77">
        <f>+PROJ!AP132</f>
        <v>571.94100000000003</v>
      </c>
      <c r="AQ113" s="77">
        <f>+PROJ!AQ132</f>
        <v>414.95400000000001</v>
      </c>
      <c r="AR113" s="77">
        <f>+PROJ!AR132</f>
        <v>370.30500000000001</v>
      </c>
      <c r="AS113" s="77">
        <f>+PROJ!AS132</f>
        <v>376.77499999999998</v>
      </c>
      <c r="AT113" s="77">
        <f>+PROJ!AT132</f>
        <v>401.45499999999998</v>
      </c>
      <c r="AU113" s="151">
        <f t="shared" si="530"/>
        <v>401.45499999999998</v>
      </c>
      <c r="AV113" s="151">
        <f t="shared" si="531"/>
        <v>401.45499999999998</v>
      </c>
      <c r="AW113" s="151">
        <f t="shared" si="532"/>
        <v>401.45499999999998</v>
      </c>
      <c r="AX113" s="151">
        <f t="shared" si="533"/>
        <v>401.45499999999998</v>
      </c>
      <c r="AY113" s="151"/>
      <c r="AZ113" s="151"/>
      <c r="BA113" s="77"/>
      <c r="BB113" s="151">
        <v>376.77499999999998</v>
      </c>
      <c r="BC113" s="2179"/>
      <c r="BE113" s="77"/>
      <c r="BF113" s="77"/>
      <c r="BG113" s="77"/>
      <c r="BH113" s="77"/>
      <c r="BI113" s="77"/>
      <c r="BJ113" s="1998">
        <f>+V113</f>
        <v>1975.5</v>
      </c>
      <c r="BK113" s="77">
        <f>+Z113</f>
        <v>2798.8</v>
      </c>
      <c r="BL113" s="77">
        <f>+AD113</f>
        <v>2542.3000000000002</v>
      </c>
      <c r="BM113" s="77">
        <f>+AH113</f>
        <v>2392.3000000000002</v>
      </c>
      <c r="BN113" s="77">
        <f>+AI113</f>
        <v>1644.7</v>
      </c>
      <c r="BO113" s="1791">
        <f>+AM113</f>
        <v>486.95100000000002</v>
      </c>
      <c r="BP113" s="77">
        <f>+AQ113</f>
        <v>414.95400000000001</v>
      </c>
      <c r="BQ113" s="77">
        <f>+AU113</f>
        <v>401.45499999999998</v>
      </c>
      <c r="BR113" s="151">
        <f>+BQ113*BR$110/BQ$110</f>
        <v>401.45499999999998</v>
      </c>
      <c r="BS113" s="151">
        <f t="shared" si="534"/>
        <v>413.90610626583253</v>
      </c>
      <c r="BT113" s="151">
        <f t="shared" si="535"/>
        <v>404.56777656645818</v>
      </c>
      <c r="BU113" s="151">
        <f t="shared" si="536"/>
        <v>405.34597070807274</v>
      </c>
    </row>
    <row r="114" spans="2:73" ht="13.5" customHeight="1">
      <c r="B114" s="75"/>
      <c r="C114" s="91"/>
      <c r="D114" s="91"/>
      <c r="E114" s="91"/>
      <c r="F114" s="91"/>
      <c r="G114" s="90"/>
      <c r="H114" s="90"/>
      <c r="I114" s="90"/>
      <c r="J114" s="90"/>
      <c r="K114" s="90"/>
      <c r="L114" s="90"/>
      <c r="M114" s="90"/>
      <c r="N114" s="90"/>
      <c r="O114" s="90"/>
      <c r="P114" s="90"/>
      <c r="Q114" s="90"/>
      <c r="R114" s="90"/>
      <c r="S114" s="1804"/>
      <c r="T114" s="90"/>
      <c r="U114" s="77"/>
      <c r="V114" s="77"/>
      <c r="W114" s="1791"/>
      <c r="X114" s="77"/>
      <c r="Y114" s="77"/>
      <c r="Z114" s="77"/>
      <c r="AA114" s="77"/>
      <c r="AB114" s="77"/>
      <c r="AC114" s="77"/>
      <c r="AD114" s="77"/>
      <c r="AE114" s="77"/>
      <c r="AF114" s="77"/>
      <c r="AG114" s="77"/>
      <c r="AH114" s="77"/>
      <c r="AI114" s="77"/>
      <c r="AJ114" s="77"/>
      <c r="AK114" s="77"/>
      <c r="AL114" s="1199"/>
      <c r="AM114" s="2397"/>
      <c r="AN114" s="1199"/>
      <c r="AO114" s="1199"/>
      <c r="AP114" s="1199"/>
      <c r="AQ114" s="1199"/>
      <c r="AR114" s="1199"/>
      <c r="AS114" s="1199"/>
      <c r="AT114" s="1199"/>
      <c r="AU114" s="1199"/>
      <c r="AV114" s="1199"/>
      <c r="AW114" s="1199"/>
      <c r="AX114" s="1199"/>
      <c r="AY114" s="1199"/>
      <c r="AZ114" s="1199"/>
      <c r="BA114" s="77"/>
      <c r="BB114" s="1199"/>
      <c r="BC114" s="2179"/>
      <c r="BE114" s="77"/>
      <c r="BF114" s="77"/>
      <c r="BG114" s="77"/>
      <c r="BH114" s="77"/>
      <c r="BI114" s="77"/>
      <c r="BJ114" s="1998"/>
      <c r="BK114" s="131"/>
      <c r="BL114" s="131"/>
      <c r="BM114" s="131"/>
      <c r="BN114" s="131"/>
      <c r="BO114" s="1095"/>
      <c r="BP114" s="131"/>
      <c r="BQ114" s="131"/>
      <c r="BR114" s="77"/>
      <c r="BS114" s="77"/>
      <c r="BT114" s="77"/>
      <c r="BU114" s="77"/>
    </row>
    <row r="115" spans="2:73" s="872" customFormat="1" ht="13.5" customHeight="1">
      <c r="B115" s="2272" t="s">
        <v>114</v>
      </c>
      <c r="C115" s="2273">
        <f t="shared" ref="C115:AL115" si="537">+C61+C65</f>
        <v>285.89999999999998</v>
      </c>
      <c r="D115" s="2273">
        <f t="shared" si="537"/>
        <v>357.20000000000005</v>
      </c>
      <c r="E115" s="2273">
        <f t="shared" si="537"/>
        <v>399.59999999999991</v>
      </c>
      <c r="F115" s="2273">
        <f t="shared" si="537"/>
        <v>453.19999999999982</v>
      </c>
      <c r="G115" s="2273">
        <f t="shared" si="537"/>
        <v>216.99695932270902</v>
      </c>
      <c r="H115" s="2273">
        <f t="shared" si="537"/>
        <v>344.7258120006004</v>
      </c>
      <c r="I115" s="2273">
        <f t="shared" si="537"/>
        <v>348.94699999999989</v>
      </c>
      <c r="J115" s="2273">
        <f t="shared" si="537"/>
        <v>462.12571975779451</v>
      </c>
      <c r="K115" s="2273">
        <f t="shared" si="537"/>
        <v>364.56473356907668</v>
      </c>
      <c r="L115" s="2273">
        <f t="shared" si="537"/>
        <v>298.62827183778199</v>
      </c>
      <c r="M115" s="2273">
        <f t="shared" si="537"/>
        <v>450.37368320117616</v>
      </c>
      <c r="N115" s="2273">
        <f t="shared" si="537"/>
        <v>628.39788430930116</v>
      </c>
      <c r="O115" s="2273">
        <f t="shared" si="537"/>
        <v>318.85680131144818</v>
      </c>
      <c r="P115" s="2273">
        <f t="shared" si="537"/>
        <v>334.441723843604</v>
      </c>
      <c r="Q115" s="2273">
        <f t="shared" si="537"/>
        <v>483.00899040488548</v>
      </c>
      <c r="R115" s="2273">
        <f t="shared" si="537"/>
        <v>714.60787556694822</v>
      </c>
      <c r="S115" s="2273">
        <f t="shared" si="537"/>
        <v>449.07799999999997</v>
      </c>
      <c r="T115" s="2273">
        <f t="shared" si="537"/>
        <v>557.55399999999963</v>
      </c>
      <c r="U115" s="2273">
        <f t="shared" si="537"/>
        <v>548.2999999999995</v>
      </c>
      <c r="V115" s="2273">
        <f t="shared" si="537"/>
        <v>3757.9000000000005</v>
      </c>
      <c r="W115" s="2273">
        <f t="shared" si="537"/>
        <v>145.19999999999982</v>
      </c>
      <c r="X115" s="2273">
        <f t="shared" si="537"/>
        <v>651.89999999999827</v>
      </c>
      <c r="Y115" s="2273">
        <f t="shared" si="537"/>
        <v>1457.1000000000004</v>
      </c>
      <c r="Z115" s="2273">
        <f t="shared" si="537"/>
        <v>1254.4000000000005</v>
      </c>
      <c r="AA115" s="2273">
        <f t="shared" si="537"/>
        <v>829.19999999999891</v>
      </c>
      <c r="AB115" s="2273">
        <f t="shared" si="537"/>
        <v>629.79999999999927</v>
      </c>
      <c r="AC115" s="2273">
        <f t="shared" si="537"/>
        <v>954.00000000000091</v>
      </c>
      <c r="AD115" s="2273">
        <f t="shared" si="537"/>
        <v>1496.9000000000005</v>
      </c>
      <c r="AE115" s="2273">
        <f t="shared" si="537"/>
        <v>515.79999999999927</v>
      </c>
      <c r="AF115" s="2273">
        <f t="shared" si="537"/>
        <v>490.79999999999927</v>
      </c>
      <c r="AG115" s="2273">
        <f t="shared" si="537"/>
        <v>589.30000000000109</v>
      </c>
      <c r="AH115" s="2273">
        <f t="shared" si="537"/>
        <v>537.60000000000127</v>
      </c>
      <c r="AI115" s="2273">
        <f t="shared" si="537"/>
        <v>630.89999999999873</v>
      </c>
      <c r="AJ115" s="2273">
        <f t="shared" si="537"/>
        <v>455.71271186440117</v>
      </c>
      <c r="AK115" s="2273">
        <f t="shared" si="537"/>
        <v>490.54290399999991</v>
      </c>
      <c r="AL115" s="2273">
        <f t="shared" si="537"/>
        <v>-55.699999999999818</v>
      </c>
      <c r="AM115" s="2274">
        <f t="shared" ref="AM115:AX115" si="538">+AM86+AM89</f>
        <v>657.6</v>
      </c>
      <c r="AN115" s="2273">
        <f t="shared" si="538"/>
        <v>705.20000000000061</v>
      </c>
      <c r="AO115" s="2273">
        <f t="shared" si="538"/>
        <v>658.85194731501576</v>
      </c>
      <c r="AP115" s="2273">
        <f t="shared" si="538"/>
        <v>-171.09999999999985</v>
      </c>
      <c r="AQ115" s="2273">
        <f t="shared" si="538"/>
        <v>650.68672610834983</v>
      </c>
      <c r="AR115" s="2273">
        <f t="shared" si="538"/>
        <v>657.10000000000048</v>
      </c>
      <c r="AS115" s="2273">
        <f t="shared" si="538"/>
        <v>464.10000000000008</v>
      </c>
      <c r="AT115" s="2273">
        <f t="shared" si="538"/>
        <v>444</v>
      </c>
      <c r="AU115" s="2273">
        <f t="shared" si="538"/>
        <v>611.34914791402866</v>
      </c>
      <c r="AV115" s="2273">
        <f t="shared" si="538"/>
        <v>543.66742653597066</v>
      </c>
      <c r="AW115" s="2273">
        <f t="shared" si="538"/>
        <v>645.041268775866</v>
      </c>
      <c r="AX115" s="2273">
        <f t="shared" si="538"/>
        <v>805.3607186285974</v>
      </c>
      <c r="AY115" s="2273"/>
      <c r="AZ115" s="2273"/>
      <c r="BA115" s="2273"/>
      <c r="BB115" s="2273">
        <v>576.20836538563503</v>
      </c>
      <c r="BC115" s="2296">
        <f>+AT115/BB115-1</f>
        <v>-0.22944541129171714</v>
      </c>
      <c r="BD115" s="2280"/>
      <c r="BE115" s="2273">
        <f>+SUM(C115:F115)</f>
        <v>1495.8999999999996</v>
      </c>
      <c r="BF115" s="2273">
        <f>+SUM(G115:J115)</f>
        <v>1372.7954910811038</v>
      </c>
      <c r="BG115" s="2273">
        <f>+SUM(K115:N115)</f>
        <v>1741.964572917336</v>
      </c>
      <c r="BH115" s="2273">
        <f>+SUM(O115:R115)</f>
        <v>1850.9153911268859</v>
      </c>
      <c r="BI115" s="2273"/>
      <c r="BJ115" s="2273">
        <f>+BJ61+BJ65</f>
        <v>5312.8320000000003</v>
      </c>
      <c r="BK115" s="2273">
        <f>+BK61+BK65</f>
        <v>3508.5999999999985</v>
      </c>
      <c r="BL115" s="2273">
        <f>+BL61+BL65</f>
        <v>3909.8999999999942</v>
      </c>
      <c r="BM115" s="2273">
        <f>+BM61+BM65</f>
        <v>2133.5</v>
      </c>
      <c r="BN115" s="2273">
        <f>+BN61+BN65</f>
        <v>1521.4556158644009</v>
      </c>
      <c r="BO115" s="2274">
        <f t="shared" ref="BO115:BU115" si="539">+BO86+BO89</f>
        <v>1850.551947315018</v>
      </c>
      <c r="BP115" s="2273">
        <f t="shared" si="539"/>
        <v>2215.8867261083515</v>
      </c>
      <c r="BQ115" s="2273">
        <f t="shared" si="539"/>
        <v>2605.4185618544616</v>
      </c>
      <c r="BR115" s="2279">
        <f t="shared" si="539"/>
        <v>2684.4390472261894</v>
      </c>
      <c r="BS115" s="2279">
        <f t="shared" si="539"/>
        <v>2696.8743431893886</v>
      </c>
      <c r="BT115" s="2279">
        <f t="shared" si="539"/>
        <v>2786.5721918633189</v>
      </c>
      <c r="BU115" s="2279">
        <f t="shared" si="539"/>
        <v>2876.1207644273454</v>
      </c>
    </row>
    <row r="116" spans="2:73" s="2302" customFormat="1" ht="13.5" customHeight="1">
      <c r="B116" s="2303" t="s">
        <v>30</v>
      </c>
      <c r="C116" s="2304">
        <f t="shared" ref="C116:T116" si="540">+C115/C$57</f>
        <v>0.17413814106468509</v>
      </c>
      <c r="D116" s="2304">
        <f t="shared" si="540"/>
        <v>0.18518326507335789</v>
      </c>
      <c r="E116" s="2304">
        <f t="shared" si="540"/>
        <v>0.20021043138433783</v>
      </c>
      <c r="F116" s="2304">
        <f t="shared" si="540"/>
        <v>0.19430629394614982</v>
      </c>
      <c r="G116" s="2304">
        <f t="shared" si="540"/>
        <v>0.128423299093405</v>
      </c>
      <c r="H116" s="2304">
        <f t="shared" si="540"/>
        <v>0.17017967316926041</v>
      </c>
      <c r="I116" s="2304">
        <f t="shared" si="540"/>
        <v>0.18340534006096915</v>
      </c>
      <c r="J116" s="2304">
        <f t="shared" si="540"/>
        <v>0.20138721516604022</v>
      </c>
      <c r="K116" s="2304">
        <f t="shared" si="540"/>
        <v>0.2109008757071977</v>
      </c>
      <c r="L116" s="2304">
        <f t="shared" si="540"/>
        <v>0.14741114226203328</v>
      </c>
      <c r="M116" s="2304">
        <f t="shared" si="540"/>
        <v>0.19039889393690562</v>
      </c>
      <c r="N116" s="2304">
        <f t="shared" si="540"/>
        <v>0.1683404013794372</v>
      </c>
      <c r="O116" s="2304">
        <f t="shared" si="540"/>
        <v>0.11863881513894627</v>
      </c>
      <c r="P116" s="2304">
        <f t="shared" si="540"/>
        <v>0.10788294873815422</v>
      </c>
      <c r="Q116" s="2304">
        <f t="shared" si="540"/>
        <v>0.14898942061975359</v>
      </c>
      <c r="R116" s="2304">
        <f t="shared" si="540"/>
        <v>0.16482479867299982</v>
      </c>
      <c r="S116" s="2305">
        <f t="shared" si="540"/>
        <v>0.15404970584704045</v>
      </c>
      <c r="T116" s="2304">
        <f t="shared" si="540"/>
        <v>0.16380777557658416</v>
      </c>
      <c r="U116" s="2304">
        <f t="shared" ref="U116:Z116" si="541">+U115/U$57</f>
        <v>0.15783867810466909</v>
      </c>
      <c r="V116" s="2304">
        <f t="shared" si="541"/>
        <v>0.38923817908747221</v>
      </c>
      <c r="W116" s="2305">
        <f t="shared" si="541"/>
        <v>1.9313647246608116E-2</v>
      </c>
      <c r="X116" s="2304">
        <f t="shared" ref="X116" si="542">+X115/X$57</f>
        <v>9.3300510941592127E-2</v>
      </c>
      <c r="Y116" s="2304">
        <f t="shared" si="541"/>
        <v>0.13984356255098615</v>
      </c>
      <c r="Z116" s="2304">
        <f t="shared" si="541"/>
        <v>0.10455685862652435</v>
      </c>
      <c r="AA116" s="2304">
        <f>+AA115/AA$57</f>
        <v>8.7699629825489039E-2</v>
      </c>
      <c r="AB116" s="2304">
        <f>+AB115/AB$57</f>
        <v>6.6174925398226281E-2</v>
      </c>
      <c r="AC116" s="2304">
        <f>+AC115/AC$57</f>
        <v>9.9903656850835784E-2</v>
      </c>
      <c r="AD116" s="2304">
        <f>+AD115/AD$57</f>
        <v>0.12856431221657283</v>
      </c>
      <c r="AE116" s="2304">
        <f t="shared" ref="AE116:AH116" si="543">+AE115/AE$57</f>
        <v>6.2496213635757733E-2</v>
      </c>
      <c r="AF116" s="2304">
        <f t="shared" si="543"/>
        <v>5.6398234969663459E-2</v>
      </c>
      <c r="AG116" s="2304">
        <f t="shared" si="543"/>
        <v>6.5450870197807681E-2</v>
      </c>
      <c r="AH116" s="2304">
        <f t="shared" si="543"/>
        <v>5.1743055689233798E-2</v>
      </c>
      <c r="AI116" s="2304">
        <f t="shared" ref="AI116" si="544">+AI115/AI$57</f>
        <v>8.6186169776781896E-2</v>
      </c>
      <c r="AJ116" s="2304">
        <f t="shared" ref="AJ116:AL116" si="545">+AJ115/AJ$57</f>
        <v>5.8623615078508516E-2</v>
      </c>
      <c r="AK116" s="2304">
        <f t="shared" si="545"/>
        <v>6.5255537089905474E-2</v>
      </c>
      <c r="AL116" s="2304">
        <f t="shared" si="545"/>
        <v>-8.422294130099468E-3</v>
      </c>
      <c r="AM116" s="2305">
        <f t="shared" ref="AM116" si="546">+AM115/AM$57</f>
        <v>0.14367489622023158</v>
      </c>
      <c r="AN116" s="2304">
        <f t="shared" ref="AN116:AP116" si="547">+AN115/AN$57</f>
        <v>0.12180251135637436</v>
      </c>
      <c r="AO116" s="2304">
        <f t="shared" si="547"/>
        <v>0.11025742586793308</v>
      </c>
      <c r="AP116" s="2304">
        <f t="shared" si="547"/>
        <v>-2.4130539023495875E-2</v>
      </c>
      <c r="AQ116" s="2304">
        <f t="shared" ref="AQ116:AT116" si="548">+AQ115/AQ$57</f>
        <v>0.1265177693544941</v>
      </c>
      <c r="AR116" s="2304">
        <f t="shared" si="548"/>
        <v>0.11553609733797526</v>
      </c>
      <c r="AS116" s="2304">
        <f t="shared" si="548"/>
        <v>8.9353099730458241E-2</v>
      </c>
      <c r="AT116" s="2304">
        <f t="shared" si="548"/>
        <v>7.1693847892782173E-2</v>
      </c>
      <c r="AU116" s="2304">
        <f t="shared" ref="AU116:AX116" si="549">+AU115/AU$57</f>
        <v>0.13087667757935778</v>
      </c>
      <c r="AV116" s="2304">
        <f t="shared" si="549"/>
        <v>9.7271104852591037E-2</v>
      </c>
      <c r="AW116" s="2304">
        <f t="shared" si="549"/>
        <v>0.12719075859207682</v>
      </c>
      <c r="AX116" s="2304">
        <f t="shared" si="549"/>
        <v>0.12672665137991804</v>
      </c>
      <c r="AY116" s="2304"/>
      <c r="AZ116" s="2304"/>
      <c r="BA116" s="2304"/>
      <c r="BB116" s="2304">
        <v>9.079952021340279E-2</v>
      </c>
      <c r="BC116" s="2306">
        <f>+AT116-BB116</f>
        <v>-1.9105672320620617E-2</v>
      </c>
      <c r="BE116" s="2304">
        <f>+BE115/BE$57</f>
        <v>0.18937840232940875</v>
      </c>
      <c r="BF116" s="2304">
        <f>+BF115/BF$57</f>
        <v>0.17349330803878429</v>
      </c>
      <c r="BG116" s="2304">
        <f>+BG115/BG$57</f>
        <v>0.1767998776474502</v>
      </c>
      <c r="BH116" s="2304">
        <f>+BH115/BH$57</f>
        <v>0.13848838910946767</v>
      </c>
      <c r="BI116" s="2304"/>
      <c r="BJ116" s="2307">
        <f t="shared" ref="BJ116:BR116" si="550">+BJ115/BJ$57</f>
        <v>0.273193220665291</v>
      </c>
      <c r="BK116" s="2304">
        <f t="shared" si="550"/>
        <v>9.5027612338476591E-2</v>
      </c>
      <c r="BL116" s="2304">
        <f t="shared" si="550"/>
        <v>9.7346917434755834E-2</v>
      </c>
      <c r="BM116" s="2304">
        <f t="shared" si="550"/>
        <v>5.8694551737039607E-2</v>
      </c>
      <c r="BN116" s="2304">
        <f t="shared" si="550"/>
        <v>5.2061148717024025E-2</v>
      </c>
      <c r="BO116" s="2305">
        <f t="shared" si="550"/>
        <v>7.8972453850226901E-2</v>
      </c>
      <c r="BP116" s="2304">
        <f t="shared" si="550"/>
        <v>9.9736338349773662E-2</v>
      </c>
      <c r="BQ116" s="2304">
        <f t="shared" ref="BQ116" si="551">+BQ115/BQ$57</f>
        <v>0.12013772311315891</v>
      </c>
      <c r="BR116" s="2304">
        <f t="shared" si="550"/>
        <v>0.11847850655887439</v>
      </c>
      <c r="BS116" s="2304">
        <f t="shared" ref="BS116:BU116" si="552">+BS115/BS$57</f>
        <v>0.11458817490637188</v>
      </c>
      <c r="BT116" s="2304">
        <f t="shared" si="552"/>
        <v>0.114019933214727</v>
      </c>
      <c r="BU116" s="2304">
        <f t="shared" si="552"/>
        <v>0.11363294989178765</v>
      </c>
    </row>
    <row r="117" spans="2:73" s="870" customFormat="1" ht="13.5" customHeight="1">
      <c r="B117" s="2297" t="s">
        <v>108</v>
      </c>
      <c r="C117" s="2298"/>
      <c r="D117" s="2298"/>
      <c r="E117" s="2298"/>
      <c r="F117" s="2298"/>
      <c r="G117" s="2298">
        <f t="shared" ref="G117:S117" si="553">+G116-C116</f>
        <v>-4.571484197128009E-2</v>
      </c>
      <c r="H117" s="2298">
        <f t="shared" si="553"/>
        <v>-1.5003591904097474E-2</v>
      </c>
      <c r="I117" s="2298">
        <f t="shared" si="553"/>
        <v>-1.6805091323368687E-2</v>
      </c>
      <c r="J117" s="2298">
        <f t="shared" si="553"/>
        <v>7.0809212198904015E-3</v>
      </c>
      <c r="K117" s="2298">
        <f t="shared" si="553"/>
        <v>8.2477576613792708E-2</v>
      </c>
      <c r="L117" s="2298">
        <f t="shared" si="553"/>
        <v>-2.2768530907227136E-2</v>
      </c>
      <c r="M117" s="2298">
        <f t="shared" si="553"/>
        <v>6.9935538759364757E-3</v>
      </c>
      <c r="N117" s="2298">
        <f t="shared" si="553"/>
        <v>-3.3046813786603013E-2</v>
      </c>
      <c r="O117" s="2298">
        <f t="shared" si="553"/>
        <v>-9.2262060568251439E-2</v>
      </c>
      <c r="P117" s="2298">
        <f t="shared" si="553"/>
        <v>-3.9528193523879054E-2</v>
      </c>
      <c r="Q117" s="2298">
        <f t="shared" si="553"/>
        <v>-4.1409473317152029E-2</v>
      </c>
      <c r="R117" s="2298">
        <f t="shared" si="553"/>
        <v>-3.5156027064373874E-3</v>
      </c>
      <c r="S117" s="2299">
        <f t="shared" si="553"/>
        <v>3.5410890708094181E-2</v>
      </c>
      <c r="T117" s="2298">
        <f t="shared" ref="T117:Z117" si="554">+T116-P116</f>
        <v>5.5924826838429934E-2</v>
      </c>
      <c r="U117" s="2298">
        <f t="shared" si="554"/>
        <v>8.8492574849154959E-3</v>
      </c>
      <c r="V117" s="2298">
        <f t="shared" si="554"/>
        <v>0.2244133804144724</v>
      </c>
      <c r="W117" s="2299">
        <f t="shared" si="554"/>
        <v>-0.13473605860043233</v>
      </c>
      <c r="X117" s="2298">
        <f t="shared" si="554"/>
        <v>-7.0507264634992031E-2</v>
      </c>
      <c r="Y117" s="2298">
        <f t="shared" si="554"/>
        <v>-1.7995115553682939E-2</v>
      </c>
      <c r="Z117" s="2298">
        <f t="shared" si="554"/>
        <v>-0.28468132046094785</v>
      </c>
      <c r="AA117" s="2298">
        <f>+AA116-W116</f>
        <v>6.8385982578880927E-2</v>
      </c>
      <c r="AB117" s="2298">
        <f>+AB116-X116</f>
        <v>-2.7125585543365846E-2</v>
      </c>
      <c r="AC117" s="2298">
        <f>+AC116-Y116</f>
        <v>-3.9939905700150366E-2</v>
      </c>
      <c r="AD117" s="2298">
        <f>+AD116-Z116</f>
        <v>2.400745359004848E-2</v>
      </c>
      <c r="AE117" s="2298">
        <f t="shared" ref="AE117:AI117" si="555">+AE116-AA116</f>
        <v>-2.5203416189731306E-2</v>
      </c>
      <c r="AF117" s="2298">
        <f t="shared" si="555"/>
        <v>-9.7766904285628217E-3</v>
      </c>
      <c r="AG117" s="2298">
        <f t="shared" si="555"/>
        <v>-3.4452786653028103E-2</v>
      </c>
      <c r="AH117" s="2298">
        <f t="shared" si="555"/>
        <v>-7.6821256527339038E-2</v>
      </c>
      <c r="AI117" s="2298">
        <f t="shared" si="555"/>
        <v>2.3689956141024163E-2</v>
      </c>
      <c r="AJ117" s="2298">
        <f t="shared" ref="AJ117" si="556">+AJ116-AF116</f>
        <v>2.225380108845057E-3</v>
      </c>
      <c r="AK117" s="2298">
        <f t="shared" ref="AK117" si="557">+AK116-AG116</f>
        <v>-1.9533310790220693E-4</v>
      </c>
      <c r="AL117" s="2298">
        <f t="shared" ref="AL117:AM117" si="558">+AL116-AH116</f>
        <v>-6.0165349819333268E-2</v>
      </c>
      <c r="AM117" s="2299">
        <f t="shared" si="558"/>
        <v>5.7488726443449684E-2</v>
      </c>
      <c r="AN117" s="2298">
        <f t="shared" ref="AN117" si="559">+AN116-AJ116</f>
        <v>6.3178896277865854E-2</v>
      </c>
      <c r="AO117" s="2298">
        <f t="shared" ref="AO117" si="560">+AO116-AK116</f>
        <v>4.5001888778027604E-2</v>
      </c>
      <c r="AP117" s="2298">
        <f t="shared" ref="AP117" si="561">+AP116-AL116</f>
        <v>-1.5708244893396409E-2</v>
      </c>
      <c r="AQ117" s="2298">
        <f t="shared" ref="AQ117" si="562">+AQ116-AM116</f>
        <v>-1.7157126865737476E-2</v>
      </c>
      <c r="AR117" s="2298">
        <f t="shared" ref="AR117" si="563">+AR116-AN116</f>
        <v>-6.2664140183990996E-3</v>
      </c>
      <c r="AS117" s="2298">
        <f t="shared" ref="AS117" si="564">+AS116-AO116</f>
        <v>-2.0904326137474838E-2</v>
      </c>
      <c r="AT117" s="2298">
        <f t="shared" ref="AT117" si="565">+AT116-AP116</f>
        <v>9.5824386916278051E-2</v>
      </c>
      <c r="AU117" s="2298">
        <f t="shared" ref="AU117" si="566">+AU116-AQ116</f>
        <v>4.3589082248636779E-3</v>
      </c>
      <c r="AV117" s="2298">
        <f t="shared" ref="AV117" si="567">+AV116-AR116</f>
        <v>-1.8264992485384227E-2</v>
      </c>
      <c r="AW117" s="2298">
        <f t="shared" ref="AW117" si="568">+AW116-AS116</f>
        <v>3.7837658861618578E-2</v>
      </c>
      <c r="AX117" s="2298">
        <f t="shared" ref="AX117" si="569">+AX116-AT116</f>
        <v>5.5032803487135865E-2</v>
      </c>
      <c r="AY117" s="2298"/>
      <c r="AZ117" s="2298"/>
      <c r="BA117" s="2298"/>
      <c r="BB117" s="2298">
        <v>0.11493005923689867</v>
      </c>
      <c r="BC117" s="2300"/>
      <c r="BE117" s="2298"/>
      <c r="BF117" s="2298">
        <f t="shared" ref="BF117:BQ117" si="570">+BF115/BE115-1</f>
        <v>-8.2294611216589209E-2</v>
      </c>
      <c r="BG117" s="2298">
        <f t="shared" si="570"/>
        <v>0.26891775521895411</v>
      </c>
      <c r="BH117" s="2298">
        <f t="shared" si="570"/>
        <v>6.2544795630995909E-2</v>
      </c>
      <c r="BI117" s="2298"/>
      <c r="BJ117" s="2301">
        <f>+BJ115/BH115-1</f>
        <v>1.8703807993975397</v>
      </c>
      <c r="BK117" s="2298">
        <f>+BK115/BJ115-1</f>
        <v>-0.3395989182417215</v>
      </c>
      <c r="BL117" s="2298">
        <f t="shared" si="570"/>
        <v>0.11437610442911583</v>
      </c>
      <c r="BM117" s="2298">
        <f t="shared" si="570"/>
        <v>-0.454333870431468</v>
      </c>
      <c r="BN117" s="2298">
        <f t="shared" si="570"/>
        <v>-0.2868733930797277</v>
      </c>
      <c r="BO117" s="2299">
        <f t="shared" si="570"/>
        <v>0.21630360295699069</v>
      </c>
      <c r="BP117" s="2298">
        <f t="shared" si="570"/>
        <v>0.19741935876126093</v>
      </c>
      <c r="BQ117" s="2298">
        <f t="shared" si="570"/>
        <v>0.17579050009935515</v>
      </c>
      <c r="BR117" s="2298">
        <f t="shared" ref="BR117" si="571">+BR115/BQ115-1</f>
        <v>3.0329286253139687E-2</v>
      </c>
      <c r="BS117" s="2298">
        <f t="shared" ref="BS117" si="572">+BS115/BR115-1</f>
        <v>4.6323629422870827E-3</v>
      </c>
      <c r="BT117" s="2298">
        <f t="shared" ref="BT117" si="573">+BT115/BS115-1</f>
        <v>3.3259928813684114E-2</v>
      </c>
      <c r="BU117" s="2298">
        <f t="shared" ref="BU117" si="574">+BU115/BT115-1</f>
        <v>3.2135744706526914E-2</v>
      </c>
    </row>
    <row r="118" spans="2:73" ht="13.5" customHeight="1">
      <c r="B118" s="94"/>
      <c r="C118" s="84"/>
      <c r="D118" s="84"/>
      <c r="E118" s="84"/>
      <c r="F118" s="84"/>
      <c r="G118" s="84"/>
      <c r="H118" s="84"/>
      <c r="I118" s="84"/>
      <c r="J118" s="84"/>
      <c r="K118" s="84"/>
      <c r="L118" s="84"/>
      <c r="M118" s="84"/>
      <c r="N118" s="84"/>
      <c r="O118" s="84"/>
      <c r="P118" s="84"/>
      <c r="Q118" s="84"/>
      <c r="R118" s="84"/>
      <c r="S118" s="1801"/>
      <c r="T118" s="84"/>
      <c r="U118" s="84"/>
      <c r="V118" s="84"/>
      <c r="W118" s="1808"/>
      <c r="X118" s="875"/>
      <c r="Y118" s="875"/>
      <c r="Z118" s="875"/>
      <c r="AA118" s="875"/>
      <c r="AB118" s="875"/>
      <c r="AC118" s="875"/>
      <c r="AD118" s="875"/>
      <c r="AE118" s="875"/>
      <c r="AF118" s="875"/>
      <c r="AG118" s="875">
        <f>+AG233+AG498+AG573+AG641</f>
        <v>701.19999999999982</v>
      </c>
      <c r="AH118" s="875"/>
      <c r="AI118" s="875"/>
      <c r="AJ118" s="875"/>
      <c r="AK118" s="875"/>
      <c r="AL118" s="84"/>
      <c r="AM118" s="1801"/>
      <c r="AN118" s="84"/>
      <c r="AO118" s="84"/>
      <c r="AP118" s="84"/>
      <c r="AQ118" s="84"/>
      <c r="AR118" s="84"/>
      <c r="AS118" s="84"/>
      <c r="AT118" s="84"/>
      <c r="AU118" s="84"/>
      <c r="AV118" s="84"/>
      <c r="AW118" s="84"/>
      <c r="AX118" s="84"/>
      <c r="AY118" s="84"/>
      <c r="AZ118" s="84"/>
      <c r="BA118" s="84"/>
      <c r="BB118" s="84"/>
      <c r="BC118" s="2184"/>
      <c r="BE118" s="84"/>
      <c r="BF118" s="84"/>
      <c r="BG118" s="84"/>
      <c r="BH118" s="84"/>
      <c r="BI118" s="84"/>
      <c r="BJ118" s="1999"/>
      <c r="BK118" s="84"/>
      <c r="BL118" s="84"/>
      <c r="BM118" s="84"/>
      <c r="BN118" s="84"/>
      <c r="BO118" s="1801"/>
      <c r="BP118" s="84"/>
      <c r="BQ118" s="84"/>
      <c r="BR118" s="84"/>
      <c r="BS118" s="84"/>
      <c r="BT118" s="84"/>
      <c r="BU118" s="84"/>
    </row>
    <row r="119" spans="2:73" ht="13.5" customHeight="1">
      <c r="B119" s="88" t="s">
        <v>296</v>
      </c>
      <c r="C119" s="84"/>
      <c r="D119" s="84"/>
      <c r="E119" s="84"/>
      <c r="F119" s="84"/>
      <c r="G119" s="84"/>
      <c r="H119" s="84"/>
      <c r="I119" s="84"/>
      <c r="J119" s="84"/>
      <c r="K119" s="84"/>
      <c r="L119" s="84"/>
      <c r="M119" s="84"/>
      <c r="N119" s="1195" t="e">
        <f t="shared" ref="N119:AM119" si="575">+N121-N115</f>
        <v>#REF!</v>
      </c>
      <c r="O119" s="1195" t="e">
        <f t="shared" si="575"/>
        <v>#REF!</v>
      </c>
      <c r="P119" s="1195" t="e">
        <f t="shared" si="575"/>
        <v>#REF!</v>
      </c>
      <c r="Q119" s="1195" t="e">
        <f t="shared" si="575"/>
        <v>#REF!</v>
      </c>
      <c r="R119" s="1195" t="e">
        <f t="shared" si="575"/>
        <v>#REF!</v>
      </c>
      <c r="S119" s="1809" t="e">
        <f t="shared" si="575"/>
        <v>#REF!</v>
      </c>
      <c r="T119" s="1195">
        <f t="shared" si="575"/>
        <v>-5.2000000000000455</v>
      </c>
      <c r="U119" s="1195">
        <f t="shared" si="575"/>
        <v>25.399999999999977</v>
      </c>
      <c r="V119" s="1195">
        <f t="shared" si="575"/>
        <v>54.199999999999818</v>
      </c>
      <c r="W119" s="1809">
        <f t="shared" si="575"/>
        <v>426.30000000000018</v>
      </c>
      <c r="X119" s="1195">
        <f t="shared" si="575"/>
        <v>-36.699999999998226</v>
      </c>
      <c r="Y119" s="1195">
        <f t="shared" si="575"/>
        <v>90.199999999999591</v>
      </c>
      <c r="Z119" s="1195">
        <f t="shared" si="575"/>
        <v>231.2999999999995</v>
      </c>
      <c r="AA119" s="1195">
        <f t="shared" si="575"/>
        <v>134.00000000000114</v>
      </c>
      <c r="AB119" s="1195">
        <f t="shared" si="575"/>
        <v>181.40000000000077</v>
      </c>
      <c r="AC119" s="1195">
        <f t="shared" si="575"/>
        <v>-134.90000000000089</v>
      </c>
      <c r="AD119" s="1195">
        <f t="shared" si="575"/>
        <v>46.099999999999454</v>
      </c>
      <c r="AE119" s="1195">
        <f t="shared" si="575"/>
        <v>80.100000000000705</v>
      </c>
      <c r="AF119" s="1195">
        <f t="shared" si="575"/>
        <v>204.1000000000007</v>
      </c>
      <c r="AG119" s="1195">
        <f t="shared" si="575"/>
        <v>183.19999999999891</v>
      </c>
      <c r="AH119" s="1195">
        <f t="shared" si="575"/>
        <v>557.79999999999882</v>
      </c>
      <c r="AI119" s="1195">
        <f t="shared" si="575"/>
        <v>210.81757471893718</v>
      </c>
      <c r="AJ119" s="1195">
        <f t="shared" si="575"/>
        <v>297.38728813559885</v>
      </c>
      <c r="AK119" s="1195">
        <f t="shared" si="575"/>
        <v>260.89009600000009</v>
      </c>
      <c r="AL119" s="1195">
        <f t="shared" si="575"/>
        <v>726.39999999999986</v>
      </c>
      <c r="AM119" s="1809">
        <f t="shared" si="575"/>
        <v>-50.599999999999909</v>
      </c>
      <c r="AN119" s="1195">
        <f t="shared" ref="AN119:AT119" si="576">+AN121-AN115</f>
        <v>56.099999999999341</v>
      </c>
      <c r="AO119" s="1195">
        <f t="shared" si="576"/>
        <v>211.24805268498449</v>
      </c>
      <c r="AP119" s="1195">
        <f t="shared" si="576"/>
        <v>794.69999999999982</v>
      </c>
      <c r="AQ119" s="1195">
        <f t="shared" si="576"/>
        <v>130.81327389165017</v>
      </c>
      <c r="AR119" s="1195">
        <f t="shared" si="576"/>
        <v>138.49999999999943</v>
      </c>
      <c r="AS119" s="1195">
        <f t="shared" si="576"/>
        <v>112.7999999999999</v>
      </c>
      <c r="AT119" s="1195">
        <f t="shared" si="576"/>
        <v>534</v>
      </c>
      <c r="AU119" s="1233">
        <f>-AU83</f>
        <v>0</v>
      </c>
      <c r="AV119" s="1233">
        <f>-AV83</f>
        <v>0</v>
      </c>
      <c r="AW119" s="1233">
        <f>-AW83</f>
        <v>0</v>
      </c>
      <c r="AX119" s="1233">
        <f>-AX83</f>
        <v>0</v>
      </c>
      <c r="AY119" s="1233"/>
      <c r="AZ119" s="1233"/>
      <c r="BA119" s="84"/>
      <c r="BB119" s="1233">
        <v>100</v>
      </c>
      <c r="BC119" s="2184"/>
      <c r="BE119" s="1195" t="e">
        <f>+BE121-BE115</f>
        <v>#REF!</v>
      </c>
      <c r="BF119" s="1195" t="e">
        <f>+BF121-BF115</f>
        <v>#REF!</v>
      </c>
      <c r="BG119" s="1195" t="e">
        <f>+BG121-BG115</f>
        <v>#REF!</v>
      </c>
      <c r="BH119" s="1195" t="e">
        <f>+BH121-BH115</f>
        <v>#REF!</v>
      </c>
      <c r="BI119" s="1195"/>
      <c r="BJ119" s="2012" t="e">
        <f t="shared" ref="BJ119:BQ119" si="577">+BJ121-BJ115</f>
        <v>#REF!</v>
      </c>
      <c r="BK119" s="1195">
        <f t="shared" si="577"/>
        <v>711.10000000000127</v>
      </c>
      <c r="BL119" s="1195">
        <f t="shared" si="577"/>
        <v>226.60000000000582</v>
      </c>
      <c r="BM119" s="1195">
        <f t="shared" si="577"/>
        <v>1025.2000000000003</v>
      </c>
      <c r="BN119" s="1195">
        <f t="shared" si="577"/>
        <v>1495.4949588545351</v>
      </c>
      <c r="BO119" s="1809">
        <f t="shared" si="577"/>
        <v>1011.4480526849825</v>
      </c>
      <c r="BP119" s="1195">
        <f t="shared" si="577"/>
        <v>916.11327389164853</v>
      </c>
      <c r="BQ119" s="1195">
        <f t="shared" si="577"/>
        <v>0</v>
      </c>
      <c r="BR119" s="1233">
        <f>-BR83</f>
        <v>0</v>
      </c>
      <c r="BS119" s="1233">
        <f>-BS83</f>
        <v>50</v>
      </c>
      <c r="BT119" s="1233">
        <f>-BT83</f>
        <v>50</v>
      </c>
      <c r="BU119" s="1233">
        <f>-BU83</f>
        <v>50</v>
      </c>
    </row>
    <row r="120" spans="2:73" ht="13.5" customHeight="1">
      <c r="B120" s="88"/>
      <c r="C120" s="84"/>
      <c r="D120" s="84"/>
      <c r="E120" s="84"/>
      <c r="F120" s="84"/>
      <c r="G120" s="84"/>
      <c r="H120" s="84"/>
      <c r="I120" s="84"/>
      <c r="J120" s="84"/>
      <c r="K120" s="84"/>
      <c r="L120" s="84"/>
      <c r="M120" s="84"/>
      <c r="N120" s="84"/>
      <c r="O120" s="84"/>
      <c r="P120" s="84"/>
      <c r="Q120" s="84"/>
      <c r="R120" s="84"/>
      <c r="S120" s="1801"/>
      <c r="T120" s="84"/>
      <c r="U120" s="84"/>
      <c r="V120" s="84"/>
      <c r="W120" s="1801"/>
      <c r="X120" s="84"/>
      <c r="Y120" s="84"/>
      <c r="Z120" s="84"/>
      <c r="AA120" s="84"/>
      <c r="AB120" s="84"/>
      <c r="AC120" s="84"/>
      <c r="AD120" s="84"/>
      <c r="AE120" s="84"/>
      <c r="AF120" s="84"/>
      <c r="AG120" s="84"/>
      <c r="AH120" s="84"/>
      <c r="AI120" s="84"/>
      <c r="AJ120" s="84"/>
      <c r="AK120" s="84"/>
      <c r="AL120" s="84"/>
      <c r="AM120" s="1801"/>
      <c r="AN120" s="84"/>
      <c r="AO120" s="84"/>
      <c r="AP120" s="84"/>
      <c r="AQ120" s="84"/>
      <c r="AR120" s="84"/>
      <c r="AS120" s="84"/>
      <c r="AT120" s="84"/>
      <c r="AU120" s="84"/>
      <c r="AV120" s="84"/>
      <c r="AW120" s="84"/>
      <c r="AX120" s="84"/>
      <c r="AY120" s="84"/>
      <c r="AZ120" s="84"/>
      <c r="BA120" s="84"/>
      <c r="BB120" s="84"/>
      <c r="BC120" s="2184"/>
      <c r="BE120" s="84"/>
      <c r="BF120" s="84"/>
      <c r="BG120" s="84"/>
      <c r="BH120" s="84"/>
      <c r="BI120" s="84"/>
      <c r="BJ120" s="1999"/>
      <c r="BK120" s="84"/>
      <c r="BL120" s="84"/>
      <c r="BM120" s="84"/>
      <c r="BN120" s="84"/>
      <c r="BO120" s="1801"/>
      <c r="BP120" s="84"/>
      <c r="BQ120" s="84"/>
      <c r="BR120" s="84"/>
      <c r="BS120" s="84"/>
      <c r="BT120" s="84"/>
      <c r="BU120" s="84"/>
    </row>
    <row r="121" spans="2:73" ht="13.5" customHeight="1">
      <c r="B121" s="389" t="s">
        <v>137</v>
      </c>
      <c r="C121" s="84"/>
      <c r="D121" s="84"/>
      <c r="E121" s="84"/>
      <c r="F121" s="84"/>
      <c r="G121" s="84"/>
      <c r="H121" s="84"/>
      <c r="I121" s="84"/>
      <c r="J121" s="84"/>
      <c r="K121" s="84"/>
      <c r="L121" s="84"/>
      <c r="M121" s="84"/>
      <c r="N121" s="828" t="e">
        <f>+#REF!-N83-N79</f>
        <v>#REF!</v>
      </c>
      <c r="O121" s="828" t="e">
        <f>+#REF!-O83-O79</f>
        <v>#REF!</v>
      </c>
      <c r="P121" s="828" t="e">
        <f>+#REF!-P83-P79</f>
        <v>#REF!</v>
      </c>
      <c r="Q121" s="828" t="e">
        <f>+#REF!-Q83-Q79</f>
        <v>#REF!</v>
      </c>
      <c r="R121" s="577" t="e">
        <f>+#REF!-57.2+34.2-R83</f>
        <v>#REF!</v>
      </c>
      <c r="S121" s="1959" t="e">
        <f>+#REF!-S83-S79-S80</f>
        <v>#REF!</v>
      </c>
      <c r="T121" s="828">
        <f>+T115-T83-T79-T80</f>
        <v>552.35399999999959</v>
      </c>
      <c r="U121" s="828">
        <f>+U115-U83-U79-U80</f>
        <v>573.69999999999948</v>
      </c>
      <c r="V121" s="828">
        <f>+V115-V83-V79-V80</f>
        <v>3812.1000000000004</v>
      </c>
      <c r="W121" s="1810">
        <v>571.5</v>
      </c>
      <c r="X121" s="577">
        <v>615.20000000000005</v>
      </c>
      <c r="Y121" s="577">
        <v>1547.3</v>
      </c>
      <c r="Z121" s="577">
        <v>1485.7</v>
      </c>
      <c r="AA121" s="577">
        <v>963.2</v>
      </c>
      <c r="AB121" s="577">
        <v>811.2</v>
      </c>
      <c r="AC121" s="577">
        <v>819.1</v>
      </c>
      <c r="AD121" s="577">
        <v>1543</v>
      </c>
      <c r="AE121" s="577">
        <v>595.9</v>
      </c>
      <c r="AF121" s="577">
        <v>694.9</v>
      </c>
      <c r="AG121" s="577">
        <v>772.5</v>
      </c>
      <c r="AH121" s="577">
        <v>1095.4000000000001</v>
      </c>
      <c r="AI121" s="577">
        <v>841.71757471893591</v>
      </c>
      <c r="AJ121" s="577">
        <v>753.1</v>
      </c>
      <c r="AK121" s="577">
        <v>751.43299999999999</v>
      </c>
      <c r="AL121" s="577">
        <v>670.7</v>
      </c>
      <c r="AM121" s="1810">
        <v>607.00000000000011</v>
      </c>
      <c r="AN121" s="577">
        <v>761.3</v>
      </c>
      <c r="AO121" s="577">
        <v>870.10000000000025</v>
      </c>
      <c r="AP121" s="577">
        <v>623.6</v>
      </c>
      <c r="AQ121" s="577">
        <v>781.5</v>
      </c>
      <c r="AR121" s="577">
        <v>795.59999999999991</v>
      </c>
      <c r="AS121" s="577">
        <v>576.9</v>
      </c>
      <c r="AT121" s="577">
        <v>978</v>
      </c>
      <c r="AU121" s="391">
        <f>+AU115+AU119</f>
        <v>611.34914791402866</v>
      </c>
      <c r="AV121" s="391">
        <f>+AV115+AV119</f>
        <v>543.66742653597066</v>
      </c>
      <c r="AW121" s="391">
        <f>+AW115+AW119</f>
        <v>645.041268775866</v>
      </c>
      <c r="AX121" s="391">
        <f>+AX115+AX119</f>
        <v>805.3607186285974</v>
      </c>
      <c r="AY121" s="391"/>
      <c r="AZ121" s="391"/>
      <c r="BA121" s="84"/>
      <c r="BB121" s="391">
        <v>676.20836538563503</v>
      </c>
      <c r="BC121" s="2184">
        <f>+AT121/BB121-1</f>
        <v>0.44629976507648816</v>
      </c>
      <c r="BD121" s="978"/>
      <c r="BE121" s="828" t="e">
        <f>+#REF!-BE83-BE79-BE80</f>
        <v>#REF!</v>
      </c>
      <c r="BF121" s="828" t="e">
        <f>+#REF!-BF83-BF79-BF80</f>
        <v>#REF!</v>
      </c>
      <c r="BG121" s="828" t="e">
        <f>+#REF!-BG83-BG79-BG80</f>
        <v>#REF!</v>
      </c>
      <c r="BH121" s="828" t="e">
        <f>+#REF!-BH83-BH79-BH80</f>
        <v>#REF!</v>
      </c>
      <c r="BI121" s="87"/>
      <c r="BJ121" s="2013" t="e">
        <f>+SUM(S121:V121)</f>
        <v>#REF!</v>
      </c>
      <c r="BK121" s="87">
        <f>+SUM(W121:Z121)</f>
        <v>4219.7</v>
      </c>
      <c r="BL121" s="87">
        <f>+SUM(AA121:AD121)</f>
        <v>4136.5</v>
      </c>
      <c r="BM121" s="391">
        <f>+SUM(AE121:AH121)</f>
        <v>3158.7000000000003</v>
      </c>
      <c r="BN121" s="391">
        <f>+SUM(AI121:AL121)</f>
        <v>3016.950574718936</v>
      </c>
      <c r="BO121" s="2451">
        <f>+SUM(AM121:AP121)</f>
        <v>2862.0000000000005</v>
      </c>
      <c r="BP121" s="391">
        <f>+SUM(AQ121:AT121)</f>
        <v>3132</v>
      </c>
      <c r="BQ121" s="391">
        <f>+SUM(AU121:AX121)</f>
        <v>2605.4185618544625</v>
      </c>
      <c r="BR121" s="391">
        <f>+BR115+BR119</f>
        <v>2684.4390472261894</v>
      </c>
      <c r="BS121" s="391">
        <f>+BS115+BS119</f>
        <v>2746.8743431893886</v>
      </c>
      <c r="BT121" s="391">
        <f>+BT115+BT119</f>
        <v>2836.5721918633189</v>
      </c>
      <c r="BU121" s="391">
        <f>+BU115+BU119</f>
        <v>2926.1207644273454</v>
      </c>
    </row>
    <row r="122" spans="2:73" s="1677" customFormat="1" ht="13.5" customHeight="1">
      <c r="B122" s="2308" t="s">
        <v>139</v>
      </c>
      <c r="C122" s="2309"/>
      <c r="D122" s="2309"/>
      <c r="E122" s="2309"/>
      <c r="F122" s="2309"/>
      <c r="G122" s="2309"/>
      <c r="H122" s="2309"/>
      <c r="I122" s="2309"/>
      <c r="J122" s="2309"/>
      <c r="K122" s="2309"/>
      <c r="L122" s="2309"/>
      <c r="M122" s="2309"/>
      <c r="N122" s="2310" t="e">
        <f t="shared" ref="N122:AD122" si="578">+N121/N$57</f>
        <v>#REF!</v>
      </c>
      <c r="O122" s="2310" t="e">
        <f t="shared" si="578"/>
        <v>#REF!</v>
      </c>
      <c r="P122" s="2310" t="e">
        <f t="shared" si="578"/>
        <v>#REF!</v>
      </c>
      <c r="Q122" s="2310" t="e">
        <f t="shared" si="578"/>
        <v>#REF!</v>
      </c>
      <c r="R122" s="2310" t="e">
        <f t="shared" si="578"/>
        <v>#REF!</v>
      </c>
      <c r="S122" s="2311" t="e">
        <f t="shared" si="578"/>
        <v>#REF!</v>
      </c>
      <c r="T122" s="2310">
        <f t="shared" si="578"/>
        <v>0.16228003040212885</v>
      </c>
      <c r="U122" s="2310">
        <f t="shared" si="578"/>
        <v>0.16515055558754085</v>
      </c>
      <c r="V122" s="2310">
        <f t="shared" si="578"/>
        <v>0.39485214148842512</v>
      </c>
      <c r="W122" s="2311">
        <f t="shared" si="578"/>
        <v>7.6017557861133275E-2</v>
      </c>
      <c r="X122" s="2310">
        <f t="shared" si="578"/>
        <v>8.8047974123742337E-2</v>
      </c>
      <c r="Y122" s="2310">
        <f t="shared" si="578"/>
        <v>0.14850040788905414</v>
      </c>
      <c r="Z122" s="2310">
        <f t="shared" si="578"/>
        <v>0.12383619647754079</v>
      </c>
      <c r="AA122" s="2310">
        <f t="shared" si="578"/>
        <v>0.10187202538339503</v>
      </c>
      <c r="AB122" s="2310">
        <f t="shared" si="578"/>
        <v>8.5235153196318247E-2</v>
      </c>
      <c r="AC122" s="2310">
        <f t="shared" si="578"/>
        <v>8.5776819000544555E-2</v>
      </c>
      <c r="AD122" s="2310">
        <f t="shared" si="578"/>
        <v>0.13252370482341624</v>
      </c>
      <c r="AE122" s="2310">
        <f t="shared" ref="AE122:AH122" si="579">+AE121/AE$57</f>
        <v>7.2201422461318512E-2</v>
      </c>
      <c r="AF122" s="2310">
        <f t="shared" si="579"/>
        <v>7.9851535208678062E-2</v>
      </c>
      <c r="AG122" s="2310">
        <f t="shared" si="579"/>
        <v>8.5798060797227793E-2</v>
      </c>
      <c r="AH122" s="2310">
        <f t="shared" si="579"/>
        <v>0.10543032589655241</v>
      </c>
      <c r="AI122" s="2310">
        <f t="shared" ref="AI122:AL122" si="580">+AI121/AI$57</f>
        <v>0.11498559803269529</v>
      </c>
      <c r="AJ122" s="2310">
        <f t="shared" si="580"/>
        <v>9.687999339540386E-2</v>
      </c>
      <c r="AK122" s="2310">
        <f t="shared" si="580"/>
        <v>9.99610097347957E-2</v>
      </c>
      <c r="AL122" s="2310">
        <f t="shared" si="580"/>
        <v>0.10141530831342427</v>
      </c>
      <c r="AM122" s="2311">
        <f t="shared" ref="AM122:AO122" si="581">+AM121/AM$57</f>
        <v>0.13261961983832204</v>
      </c>
      <c r="AN122" s="2310">
        <f t="shared" si="581"/>
        <v>0.13149213258027187</v>
      </c>
      <c r="AO122" s="2310">
        <f t="shared" si="581"/>
        <v>0.14560932336718035</v>
      </c>
      <c r="AP122" s="2310">
        <f t="shared" ref="AP122:AQ122" si="582">+AP121/AP$57</f>
        <v>8.7947423349222911E-2</v>
      </c>
      <c r="AQ122" s="2310">
        <f t="shared" si="582"/>
        <v>0.15195274897012895</v>
      </c>
      <c r="AR122" s="2310">
        <f t="shared" ref="AR122:AT122" si="583">+AR121/AR$57</f>
        <v>0.1398881738580019</v>
      </c>
      <c r="AS122" s="2310">
        <f t="shared" si="583"/>
        <v>0.11107046592221793</v>
      </c>
      <c r="AT122" s="2310">
        <f t="shared" si="583"/>
        <v>0.15792023252058776</v>
      </c>
      <c r="AU122" s="2310">
        <f t="shared" ref="AU122:AX122" si="584">+AU121/AU$57</f>
        <v>0.13087667757935778</v>
      </c>
      <c r="AV122" s="2310">
        <f t="shared" si="584"/>
        <v>9.7271104852591037E-2</v>
      </c>
      <c r="AW122" s="2310">
        <f t="shared" si="584"/>
        <v>0.12719075859207682</v>
      </c>
      <c r="AX122" s="2310">
        <f t="shared" si="584"/>
        <v>0.12672665137991804</v>
      </c>
      <c r="AY122" s="2310"/>
      <c r="AZ122" s="2310"/>
      <c r="BA122" s="2309"/>
      <c r="BB122" s="2310">
        <v>0.10655762538298569</v>
      </c>
      <c r="BC122" s="2312">
        <f>+AT122-BB122</f>
        <v>5.1362607137602073E-2</v>
      </c>
      <c r="BE122" s="2310" t="e">
        <f>+BE121/BE$57</f>
        <v>#REF!</v>
      </c>
      <c r="BF122" s="2310" t="e">
        <f>+BF121/BF$57</f>
        <v>#REF!</v>
      </c>
      <c r="BG122" s="2310" t="e">
        <f>+BG121/BG$57</f>
        <v>#REF!</v>
      </c>
      <c r="BH122" s="2310" t="e">
        <f>+BH121/BH$57</f>
        <v>#REF!</v>
      </c>
      <c r="BI122" s="2310"/>
      <c r="BJ122" s="2313" t="e">
        <f t="shared" ref="BJ122:BR122" si="585">+BJ121/BJ$57</f>
        <v>#REF!</v>
      </c>
      <c r="BK122" s="2310">
        <f t="shared" si="585"/>
        <v>0.11428718457067487</v>
      </c>
      <c r="BL122" s="2310">
        <f t="shared" si="585"/>
        <v>0.10298870149335485</v>
      </c>
      <c r="BM122" s="2310">
        <f t="shared" si="585"/>
        <v>8.6898748803274917E-2</v>
      </c>
      <c r="BN122" s="2310">
        <f t="shared" si="585"/>
        <v>0.10323397600600927</v>
      </c>
      <c r="BO122" s="2311">
        <f t="shared" si="585"/>
        <v>0.12213608120932926</v>
      </c>
      <c r="BP122" s="2310">
        <f t="shared" si="585"/>
        <v>0.14097029781847106</v>
      </c>
      <c r="BQ122" s="2310">
        <f t="shared" ref="BQ122" si="586">+BQ121/BQ$57</f>
        <v>0.12013772311315896</v>
      </c>
      <c r="BR122" s="2310">
        <f t="shared" si="585"/>
        <v>0.11847850655887439</v>
      </c>
      <c r="BS122" s="2310">
        <f t="shared" ref="BS122:BU122" si="587">+BS121/BS$57</f>
        <v>0.11671263753096078</v>
      </c>
      <c r="BT122" s="2310">
        <f t="shared" si="587"/>
        <v>0.11606581477393549</v>
      </c>
      <c r="BU122" s="2310">
        <f t="shared" si="587"/>
        <v>0.11560840501344373</v>
      </c>
    </row>
    <row r="123" spans="2:73" ht="13.5" customHeight="1">
      <c r="B123" s="390" t="s">
        <v>297</v>
      </c>
      <c r="C123" s="84"/>
      <c r="D123" s="84"/>
      <c r="E123" s="84"/>
      <c r="F123" s="84"/>
      <c r="G123" s="84"/>
      <c r="H123" s="84"/>
      <c r="I123" s="84"/>
      <c r="J123" s="84"/>
      <c r="K123" s="84"/>
      <c r="L123" s="84"/>
      <c r="M123" s="84"/>
      <c r="N123" s="84"/>
      <c r="O123" s="84"/>
      <c r="P123" s="84"/>
      <c r="Q123" s="84"/>
      <c r="R123" s="84" t="e">
        <f t="shared" ref="R123:Y123" si="588">+R122-N122</f>
        <v>#REF!</v>
      </c>
      <c r="S123" s="1801" t="e">
        <f t="shared" si="588"/>
        <v>#REF!</v>
      </c>
      <c r="T123" s="84" t="e">
        <f>+T122-P122</f>
        <v>#REF!</v>
      </c>
      <c r="U123" s="84" t="e">
        <f>+U122-Q122</f>
        <v>#REF!</v>
      </c>
      <c r="V123" s="84" t="e">
        <f>+V122-R122</f>
        <v>#REF!</v>
      </c>
      <c r="W123" s="1801" t="e">
        <f>+W122-S122</f>
        <v>#REF!</v>
      </c>
      <c r="X123" s="84">
        <f t="shared" si="588"/>
        <v>-7.4232056278386513E-2</v>
      </c>
      <c r="Y123" s="84">
        <f t="shared" si="588"/>
        <v>-1.6650147698486717E-2</v>
      </c>
      <c r="Z123" s="84">
        <f>+Z122-V122</f>
        <v>-0.27101594501088433</v>
      </c>
      <c r="AA123" s="84">
        <f>+AA122-W122</f>
        <v>2.5854467522261754E-2</v>
      </c>
      <c r="AB123" s="84">
        <f>+AB122-X122</f>
        <v>-2.8128209274240895E-3</v>
      </c>
      <c r="AC123" s="84">
        <f>+AC122-Y122</f>
        <v>-6.2723588888509582E-2</v>
      </c>
      <c r="AD123" s="84">
        <f>+AD122-Z122</f>
        <v>8.6875083458754498E-3</v>
      </c>
      <c r="AE123" s="84">
        <f t="shared" ref="AE123:AH123" si="589">+AE122-AA122</f>
        <v>-2.9670602922076517E-2</v>
      </c>
      <c r="AF123" s="84">
        <f t="shared" si="589"/>
        <v>-5.3836179876401852E-3</v>
      </c>
      <c r="AG123" s="84">
        <f t="shared" si="589"/>
        <v>2.1241796683238445E-5</v>
      </c>
      <c r="AH123" s="84">
        <f t="shared" si="589"/>
        <v>-2.7093378926863837E-2</v>
      </c>
      <c r="AI123" s="84">
        <f t="shared" ref="AI123" si="590">+AI122-AE122</f>
        <v>4.2784175571376773E-2</v>
      </c>
      <c r="AJ123" s="84">
        <f t="shared" ref="AJ123" si="591">+AJ122-AF122</f>
        <v>1.7028458186725798E-2</v>
      </c>
      <c r="AK123" s="84">
        <f t="shared" ref="AK123" si="592">+AK122-AG122</f>
        <v>1.4162948937567907E-2</v>
      </c>
      <c r="AL123" s="84">
        <f t="shared" ref="AL123" si="593">+AL122-AH122</f>
        <v>-4.0150175831281387E-3</v>
      </c>
      <c r="AM123" s="1801">
        <f t="shared" ref="AM123" si="594">+AM122-AI122</f>
        <v>1.7634021805626759E-2</v>
      </c>
      <c r="AN123" s="84">
        <f t="shared" ref="AN123" si="595">+AN122-AJ122</f>
        <v>3.461213918486801E-2</v>
      </c>
      <c r="AO123" s="84">
        <f t="shared" ref="AO123:AQ123" si="596">+AO122-AK122</f>
        <v>4.5648313632384654E-2</v>
      </c>
      <c r="AP123" s="84">
        <f t="shared" si="596"/>
        <v>-1.3467884964201357E-2</v>
      </c>
      <c r="AQ123" s="84">
        <f t="shared" si="596"/>
        <v>1.9333129131806903E-2</v>
      </c>
      <c r="AR123" s="84">
        <f t="shared" ref="AR123" si="597">+AR122-AN122</f>
        <v>8.3960412777300264E-3</v>
      </c>
      <c r="AS123" s="84">
        <f t="shared" ref="AS123" si="598">+AS122-AO122</f>
        <v>-3.453885744496242E-2</v>
      </c>
      <c r="AT123" s="84">
        <f t="shared" ref="AT123" si="599">+AT122-AP122</f>
        <v>6.997280917136485E-2</v>
      </c>
      <c r="AU123" s="84">
        <f t="shared" ref="AU123" si="600">+AU122-AQ122</f>
        <v>-2.1076071390771167E-2</v>
      </c>
      <c r="AV123" s="84">
        <f t="shared" ref="AV123" si="601">+AV122-AR122</f>
        <v>-4.261706900541086E-2</v>
      </c>
      <c r="AW123" s="84">
        <f t="shared" ref="AW123" si="602">+AW122-AS122</f>
        <v>1.6120292669858885E-2</v>
      </c>
      <c r="AX123" s="84">
        <f t="shared" ref="AX123" si="603">+AX122-AT122</f>
        <v>-3.1193581140669724E-2</v>
      </c>
      <c r="AY123" s="84"/>
      <c r="AZ123" s="84"/>
      <c r="BA123" s="84"/>
      <c r="BB123" s="84">
        <v>1.8610202033762777E-2</v>
      </c>
      <c r="BC123" s="2184"/>
      <c r="BE123" s="829"/>
      <c r="BF123" s="829" t="e">
        <f>+BF122-BE122</f>
        <v>#REF!</v>
      </c>
      <c r="BG123" s="829" t="e">
        <f t="shared" ref="BG123:BR123" si="604">+BG122-BF122</f>
        <v>#REF!</v>
      </c>
      <c r="BH123" s="829" t="e">
        <f t="shared" si="604"/>
        <v>#REF!</v>
      </c>
      <c r="BI123" s="829"/>
      <c r="BJ123" s="2014" t="e">
        <f>+BJ122-BH122</f>
        <v>#REF!</v>
      </c>
      <c r="BK123" s="829" t="e">
        <f>+BK122-BJ122</f>
        <v>#REF!</v>
      </c>
      <c r="BL123" s="829">
        <f t="shared" si="604"/>
        <v>-1.1298483077320023E-2</v>
      </c>
      <c r="BM123" s="829">
        <f t="shared" si="604"/>
        <v>-1.6089952690079928E-2</v>
      </c>
      <c r="BN123" s="829">
        <f t="shared" si="604"/>
        <v>1.6335227202734351E-2</v>
      </c>
      <c r="BO123" s="2452">
        <f t="shared" si="604"/>
        <v>1.8902105203319988E-2</v>
      </c>
      <c r="BP123" s="829">
        <f t="shared" si="604"/>
        <v>1.8834216609141807E-2</v>
      </c>
      <c r="BQ123" s="829">
        <f t="shared" si="604"/>
        <v>-2.0832574705312107E-2</v>
      </c>
      <c r="BR123" s="829">
        <f t="shared" si="604"/>
        <v>-1.6592165542845677E-3</v>
      </c>
      <c r="BS123" s="829">
        <f t="shared" ref="BS123" si="605">+BS122-BR122</f>
        <v>-1.7658690279136052E-3</v>
      </c>
      <c r="BT123" s="829">
        <f t="shared" ref="BT123" si="606">+BT122-BS122</f>
        <v>-6.468227570252949E-4</v>
      </c>
      <c r="BU123" s="829">
        <f t="shared" ref="BU123" si="607">+BU122-BT122</f>
        <v>-4.5740976049175874E-4</v>
      </c>
    </row>
    <row r="124" spans="2:73" ht="13.5" customHeight="1">
      <c r="B124" s="390"/>
      <c r="C124" s="84"/>
      <c r="D124" s="84"/>
      <c r="E124" s="84"/>
      <c r="F124" s="84"/>
      <c r="G124" s="84"/>
      <c r="H124" s="84"/>
      <c r="I124" s="84"/>
      <c r="J124" s="84"/>
      <c r="K124" s="84"/>
      <c r="L124" s="84"/>
      <c r="M124" s="84"/>
      <c r="N124" s="84"/>
      <c r="O124" s="84"/>
      <c r="P124" s="84"/>
      <c r="Q124" s="84"/>
      <c r="R124" s="84"/>
      <c r="S124" s="1801"/>
      <c r="T124" s="84"/>
      <c r="U124" s="84"/>
      <c r="V124" s="84"/>
      <c r="W124" s="1801"/>
      <c r="X124" s="84"/>
      <c r="Y124" s="84"/>
      <c r="Z124" s="84"/>
      <c r="AA124" s="84"/>
      <c r="AB124" s="84"/>
      <c r="AC124" s="84"/>
      <c r="AD124" s="84"/>
      <c r="AE124" s="84"/>
      <c r="AF124" s="84"/>
      <c r="AG124" s="84"/>
      <c r="AH124" s="84"/>
      <c r="AI124" s="84"/>
      <c r="AJ124" s="84"/>
      <c r="AK124" s="84"/>
      <c r="AL124" s="84"/>
      <c r="AM124" s="1801"/>
      <c r="AN124" s="84"/>
      <c r="AO124" s="84"/>
      <c r="AP124" s="84"/>
      <c r="AQ124" s="84"/>
      <c r="AR124" s="84"/>
      <c r="AS124" s="84"/>
      <c r="AT124" s="84"/>
      <c r="AU124" s="84"/>
      <c r="AV124" s="84"/>
      <c r="AW124" s="84"/>
      <c r="AX124" s="84"/>
      <c r="AY124" s="84"/>
      <c r="AZ124" s="84"/>
      <c r="BA124" s="84"/>
      <c r="BB124" s="84"/>
      <c r="BC124" s="2184"/>
      <c r="BE124" s="829"/>
      <c r="BF124" s="829"/>
      <c r="BG124" s="829"/>
      <c r="BH124" s="829"/>
      <c r="BI124" s="829"/>
      <c r="BJ124" s="2014"/>
      <c r="BK124" s="829"/>
      <c r="BL124" s="829"/>
      <c r="BM124" s="829"/>
      <c r="BN124" s="829"/>
      <c r="BO124" s="2452"/>
      <c r="BP124" s="829"/>
      <c r="BQ124" s="829"/>
      <c r="BR124" s="829"/>
      <c r="BS124" s="829"/>
      <c r="BT124" s="829"/>
      <c r="BU124" s="829"/>
    </row>
    <row r="125" spans="2:73" ht="13.5" customHeight="1">
      <c r="B125" s="390"/>
      <c r="C125" s="84"/>
      <c r="D125" s="84"/>
      <c r="E125" s="84"/>
      <c r="F125" s="84"/>
      <c r="G125" s="84"/>
      <c r="H125" s="84"/>
      <c r="I125" s="84"/>
      <c r="J125" s="84"/>
      <c r="K125" s="84"/>
      <c r="L125" s="84"/>
      <c r="M125" s="84"/>
      <c r="N125" s="84"/>
      <c r="O125" s="84"/>
      <c r="P125" s="84"/>
      <c r="Q125" s="84"/>
      <c r="R125" s="84"/>
      <c r="S125" s="1801"/>
      <c r="T125" s="84"/>
      <c r="U125" s="84"/>
      <c r="V125" s="84"/>
      <c r="W125" s="1801"/>
      <c r="X125" s="84"/>
      <c r="Y125" s="84"/>
      <c r="Z125" s="84"/>
      <c r="AA125" s="84"/>
      <c r="AB125" s="84"/>
      <c r="AC125" s="84"/>
      <c r="AD125" s="84"/>
      <c r="AE125" s="84"/>
      <c r="AF125" s="84"/>
      <c r="AG125" s="84"/>
      <c r="AH125" s="84"/>
      <c r="AI125" s="84"/>
      <c r="AJ125" s="84"/>
      <c r="AK125" s="84"/>
      <c r="AL125" s="84"/>
      <c r="AM125" s="1801"/>
      <c r="AN125" s="84"/>
      <c r="AO125" s="84"/>
      <c r="AP125" s="84"/>
      <c r="AQ125" s="84"/>
      <c r="AR125" s="84"/>
      <c r="AS125" s="84"/>
      <c r="AT125" s="84"/>
      <c r="AU125" s="84"/>
      <c r="AV125" s="84"/>
      <c r="AW125" s="84"/>
      <c r="AX125" s="84"/>
      <c r="AY125" s="84"/>
      <c r="AZ125" s="84"/>
      <c r="BA125" s="84"/>
      <c r="BB125" s="84"/>
      <c r="BC125" s="2184"/>
      <c r="BE125" s="829"/>
      <c r="BF125" s="829"/>
      <c r="BG125" s="829"/>
      <c r="BH125" s="829"/>
      <c r="BI125" s="829"/>
      <c r="BJ125" s="2014"/>
      <c r="BK125" s="829"/>
      <c r="BL125" s="829"/>
      <c r="BM125" s="829"/>
      <c r="BN125" s="829"/>
      <c r="BO125" s="2452"/>
      <c r="BP125" s="829"/>
      <c r="BQ125" s="829"/>
      <c r="BR125" s="829"/>
      <c r="BS125" s="829"/>
      <c r="BT125" s="829"/>
      <c r="BU125" s="829"/>
    </row>
    <row r="126" spans="2:73" ht="13.5" customHeight="1">
      <c r="B126" s="390"/>
      <c r="C126" s="84"/>
      <c r="D126" s="84"/>
      <c r="E126" s="84"/>
      <c r="F126" s="84"/>
      <c r="G126" s="84"/>
      <c r="H126" s="84"/>
      <c r="I126" s="84"/>
      <c r="J126" s="84"/>
      <c r="K126" s="84"/>
      <c r="L126" s="84"/>
      <c r="M126" s="84"/>
      <c r="N126" s="84"/>
      <c r="O126" s="84"/>
      <c r="P126" s="84"/>
      <c r="Q126" s="84"/>
      <c r="R126" s="84"/>
      <c r="S126" s="1801"/>
      <c r="T126" s="84"/>
      <c r="U126" s="84"/>
      <c r="V126" s="84"/>
      <c r="W126" s="1801"/>
      <c r="X126" s="84"/>
      <c r="Y126" s="84"/>
      <c r="Z126" s="84"/>
      <c r="AA126" s="84"/>
      <c r="AB126" s="84"/>
      <c r="AC126" s="84"/>
      <c r="AD126" s="84"/>
      <c r="AE126" s="84"/>
      <c r="AF126" s="84"/>
      <c r="AG126" s="84"/>
      <c r="AH126" s="84"/>
      <c r="AI126" s="84"/>
      <c r="AJ126" s="84"/>
      <c r="AK126" s="84"/>
      <c r="AL126" s="84"/>
      <c r="AM126" s="1801"/>
      <c r="AN126" s="84"/>
      <c r="AO126" s="84"/>
      <c r="AP126" s="84"/>
      <c r="AQ126" s="84"/>
      <c r="AR126" s="84"/>
      <c r="AS126" s="84"/>
      <c r="AT126" s="84"/>
      <c r="AU126" s="84"/>
      <c r="AV126" s="84"/>
      <c r="AW126" s="84"/>
      <c r="AX126" s="84"/>
      <c r="AY126" s="84"/>
      <c r="AZ126" s="84"/>
      <c r="BA126" s="84"/>
      <c r="BB126" s="84"/>
      <c r="BC126" s="2184"/>
      <c r="BE126" s="829"/>
      <c r="BF126" s="829"/>
      <c r="BG126" s="829"/>
      <c r="BH126" s="829"/>
      <c r="BI126" s="829"/>
      <c r="BJ126" s="2014"/>
      <c r="BK126" s="829"/>
      <c r="BL126" s="829"/>
      <c r="BM126" s="829"/>
      <c r="BN126" s="829"/>
      <c r="BO126" s="2452"/>
      <c r="BP126" s="829"/>
      <c r="BQ126" s="829"/>
      <c r="BR126" s="829"/>
      <c r="BS126" s="829"/>
      <c r="BT126" s="829"/>
      <c r="BU126" s="829"/>
    </row>
    <row r="127" spans="2:73" s="85" customFormat="1" ht="13.5" customHeight="1">
      <c r="B127" s="78"/>
      <c r="C127" s="80"/>
      <c r="D127" s="80"/>
      <c r="E127" s="80"/>
      <c r="F127" s="80"/>
      <c r="G127" s="80"/>
      <c r="H127" s="80"/>
      <c r="I127" s="80"/>
      <c r="J127" s="80"/>
      <c r="K127" s="80"/>
      <c r="L127" s="80"/>
      <c r="M127" s="80"/>
      <c r="N127" s="80"/>
      <c r="O127" s="80"/>
      <c r="P127" s="80"/>
      <c r="Q127" s="80"/>
      <c r="R127" s="80"/>
      <c r="S127" s="1795"/>
      <c r="T127" s="80"/>
      <c r="U127" s="80"/>
      <c r="V127" s="80"/>
      <c r="W127" s="1795"/>
      <c r="X127" s="80"/>
      <c r="Y127" s="80"/>
      <c r="Z127" s="80"/>
      <c r="AA127" s="80"/>
      <c r="AB127" s="80"/>
      <c r="AC127" s="80"/>
      <c r="AD127" s="80"/>
      <c r="AE127" s="80"/>
      <c r="AF127" s="80"/>
      <c r="AG127" s="80"/>
      <c r="AH127" s="80"/>
      <c r="AI127" s="80"/>
      <c r="AJ127" s="80"/>
      <c r="AK127" s="80"/>
      <c r="AL127" s="80"/>
      <c r="AM127" s="1795"/>
      <c r="AN127" s="80"/>
      <c r="AO127" s="80"/>
      <c r="AP127" s="80"/>
      <c r="AQ127" s="80"/>
      <c r="AR127" s="80"/>
      <c r="AS127" s="80"/>
      <c r="AT127" s="80"/>
      <c r="AU127" s="80"/>
      <c r="AV127" s="80"/>
      <c r="AW127" s="80"/>
      <c r="AX127" s="80"/>
      <c r="AY127" s="80"/>
      <c r="AZ127" s="80"/>
      <c r="BA127" s="80"/>
      <c r="BB127" s="80"/>
      <c r="BC127" s="2181"/>
      <c r="BE127" s="80"/>
      <c r="BF127" s="80"/>
      <c r="BG127" s="80"/>
      <c r="BH127" s="80"/>
      <c r="BI127" s="80"/>
      <c r="BJ127" s="2000"/>
      <c r="BK127" s="80"/>
      <c r="BL127" s="80"/>
      <c r="BM127" s="80"/>
      <c r="BN127" s="80"/>
      <c r="BO127" s="1795"/>
      <c r="BP127" s="80"/>
      <c r="BQ127" s="80"/>
    </row>
    <row r="128" spans="2:73" ht="2.25" customHeight="1">
      <c r="B128" s="73"/>
      <c r="C128" s="81"/>
      <c r="D128" s="81"/>
      <c r="E128" s="81"/>
      <c r="F128" s="81"/>
      <c r="G128" s="81"/>
      <c r="H128" s="81"/>
      <c r="I128" s="81"/>
      <c r="J128" s="81"/>
      <c r="K128" s="81"/>
      <c r="L128" s="81"/>
      <c r="M128" s="81"/>
      <c r="N128" s="81"/>
      <c r="O128" s="82"/>
      <c r="P128" s="82"/>
      <c r="Q128" s="82"/>
      <c r="R128" s="82"/>
      <c r="S128" s="1811"/>
      <c r="T128" s="82"/>
      <c r="U128" s="82"/>
      <c r="V128" s="82"/>
      <c r="W128" s="1811"/>
      <c r="X128" s="82"/>
      <c r="Y128" s="82"/>
      <c r="Z128" s="82"/>
      <c r="AA128" s="82"/>
      <c r="AB128" s="82"/>
      <c r="AC128" s="82"/>
      <c r="AD128" s="82"/>
      <c r="AE128" s="82"/>
      <c r="AF128" s="82"/>
      <c r="AG128" s="82"/>
      <c r="AH128" s="82"/>
      <c r="AI128" s="82"/>
      <c r="AJ128" s="82"/>
      <c r="AK128" s="82"/>
      <c r="AL128" s="82"/>
      <c r="AM128" s="1811"/>
      <c r="AN128" s="82"/>
      <c r="AO128" s="82"/>
      <c r="AP128" s="82"/>
      <c r="AQ128" s="82"/>
      <c r="AR128" s="82"/>
      <c r="AS128" s="82"/>
      <c r="AT128" s="82"/>
      <c r="AU128" s="82"/>
      <c r="AV128" s="82"/>
      <c r="AW128" s="82"/>
      <c r="AX128" s="82"/>
      <c r="AY128" s="82"/>
      <c r="AZ128" s="82"/>
      <c r="BA128" s="981"/>
      <c r="BB128" s="82"/>
      <c r="BC128" s="2187"/>
      <c r="BE128" s="158"/>
      <c r="BF128" s="158"/>
      <c r="BG128" s="158"/>
      <c r="BH128" s="158"/>
      <c r="BI128" s="158"/>
      <c r="BJ128" s="2015"/>
      <c r="BK128" s="158"/>
      <c r="BL128" s="158"/>
      <c r="BM128" s="158"/>
      <c r="BN128" s="158"/>
      <c r="BO128" s="2453"/>
      <c r="BP128" s="158"/>
      <c r="BQ128" s="158"/>
    </row>
    <row r="129" spans="1:73" ht="13.5" customHeight="1">
      <c r="B129" s="75" t="s">
        <v>298</v>
      </c>
      <c r="C129" s="77">
        <f t="shared" ref="C129:AX129" si="608">-C89</f>
        <v>-57.167097742365698</v>
      </c>
      <c r="D129" s="77">
        <f t="shared" si="608"/>
        <v>-52.939777097536705</v>
      </c>
      <c r="E129" s="77">
        <f t="shared" si="608"/>
        <v>-62.514845439946441</v>
      </c>
      <c r="F129" s="77">
        <f t="shared" si="608"/>
        <v>-66.80224378582335</v>
      </c>
      <c r="G129" s="77">
        <f t="shared" si="608"/>
        <v>-63.0733010656256</v>
      </c>
      <c r="H129" s="77">
        <f t="shared" si="608"/>
        <v>-64.374656297065371</v>
      </c>
      <c r="I129" s="77">
        <f t="shared" si="608"/>
        <v>-97.522503847113114</v>
      </c>
      <c r="J129" s="77">
        <f t="shared" si="608"/>
        <v>-64.947814951765167</v>
      </c>
      <c r="K129" s="77">
        <f t="shared" si="608"/>
        <v>-67.332450558351127</v>
      </c>
      <c r="L129" s="77">
        <f t="shared" si="608"/>
        <v>-66.620919847934289</v>
      </c>
      <c r="M129" s="77">
        <f t="shared" si="608"/>
        <v>-83.058378100304409</v>
      </c>
      <c r="N129" s="77">
        <f t="shared" si="608"/>
        <v>-166.29376986785368</v>
      </c>
      <c r="O129" s="77">
        <f t="shared" si="608"/>
        <v>-128.26159004370683</v>
      </c>
      <c r="P129" s="77">
        <f t="shared" si="608"/>
        <v>-144.66389866871302</v>
      </c>
      <c r="Q129" s="77">
        <f t="shared" si="608"/>
        <v>-143.08423980051893</v>
      </c>
      <c r="R129" s="77">
        <f t="shared" si="608"/>
        <v>-171.02724354056721</v>
      </c>
      <c r="S129" s="1791">
        <f t="shared" si="608"/>
        <v>-264.3</v>
      </c>
      <c r="T129" s="77">
        <f t="shared" si="608"/>
        <v>-272.39999999999998</v>
      </c>
      <c r="U129" s="77">
        <f t="shared" si="608"/>
        <v>-282.8</v>
      </c>
      <c r="V129" s="77">
        <f t="shared" si="608"/>
        <v>-297.8</v>
      </c>
      <c r="W129" s="1791">
        <f t="shared" si="608"/>
        <v>-625.79999999999995</v>
      </c>
      <c r="X129" s="77">
        <f t="shared" si="608"/>
        <v>-703.9</v>
      </c>
      <c r="Y129" s="77">
        <f t="shared" si="608"/>
        <v>-711.1</v>
      </c>
      <c r="Z129" s="77">
        <f t="shared" si="608"/>
        <v>-678</v>
      </c>
      <c r="AA129" s="77">
        <f t="shared" si="608"/>
        <v>-696.4</v>
      </c>
      <c r="AB129" s="77">
        <f t="shared" si="608"/>
        <v>-698.9</v>
      </c>
      <c r="AC129" s="77">
        <f t="shared" si="608"/>
        <v>-664.4</v>
      </c>
      <c r="AD129" s="77">
        <f t="shared" si="608"/>
        <v>-731.9</v>
      </c>
      <c r="AE129" s="77">
        <f t="shared" si="608"/>
        <v>-649.29999999999995</v>
      </c>
      <c r="AF129" s="77">
        <f t="shared" si="608"/>
        <v>-629.70000000000005</v>
      </c>
      <c r="AG129" s="77">
        <f t="shared" si="608"/>
        <v>-622.29999999999995</v>
      </c>
      <c r="AH129" s="77">
        <f t="shared" si="608"/>
        <v>-690.6</v>
      </c>
      <c r="AI129" s="77">
        <f t="shared" si="608"/>
        <v>-603.5</v>
      </c>
      <c r="AJ129" s="77">
        <f t="shared" si="608"/>
        <v>-587.79999999999995</v>
      </c>
      <c r="AK129" s="77">
        <f t="shared" si="608"/>
        <v>-539.18590399999994</v>
      </c>
      <c r="AL129" s="77">
        <f t="shared" si="608"/>
        <v>-364.4</v>
      </c>
      <c r="AM129" s="1791">
        <f t="shared" si="608"/>
        <v>-222.10000000000002</v>
      </c>
      <c r="AN129" s="77">
        <f t="shared" si="608"/>
        <v>-237.4</v>
      </c>
      <c r="AO129" s="77">
        <f t="shared" si="608"/>
        <v>-227.9</v>
      </c>
      <c r="AP129" s="77">
        <f t="shared" si="608"/>
        <v>-261.59999999999997</v>
      </c>
      <c r="AQ129" s="77">
        <f t="shared" si="608"/>
        <v>-218.49999999999997</v>
      </c>
      <c r="AR129" s="77">
        <f t="shared" si="608"/>
        <v>-210.6</v>
      </c>
      <c r="AS129" s="77">
        <f t="shared" si="608"/>
        <v>-239.2</v>
      </c>
      <c r="AT129" s="77">
        <f t="shared" si="608"/>
        <v>-241</v>
      </c>
      <c r="AU129" s="77">
        <f t="shared" si="608"/>
        <v>-178.24633344875491</v>
      </c>
      <c r="AV129" s="77">
        <f t="shared" si="608"/>
        <v>-181.45200087421478</v>
      </c>
      <c r="AW129" s="77">
        <f t="shared" si="608"/>
        <v>-311.15469204673326</v>
      </c>
      <c r="AX129" s="77">
        <f t="shared" si="608"/>
        <v>-217.99477120996403</v>
      </c>
      <c r="AY129" s="77"/>
      <c r="AZ129" s="77"/>
      <c r="BA129" s="77"/>
      <c r="BB129" s="77">
        <v>-239.2</v>
      </c>
      <c r="BC129" s="2179"/>
      <c r="BE129" s="77">
        <f>+SUM(C129:F129)</f>
        <v>-239.42396406567218</v>
      </c>
      <c r="BF129" s="77">
        <f>+SUM(G129:J129)</f>
        <v>-289.91827616156922</v>
      </c>
      <c r="BG129" s="77">
        <f>+SUM(K129:N129)</f>
        <v>-383.30551837444352</v>
      </c>
      <c r="BH129" s="77">
        <f>+SUM(O129:R129)</f>
        <v>-587.03697205350591</v>
      </c>
      <c r="BI129" s="77"/>
      <c r="BJ129" s="1998">
        <f>+SUM(S129:V129)</f>
        <v>-1117.3</v>
      </c>
      <c r="BK129" s="77">
        <f>+SUM(W129:Z129)</f>
        <v>-2718.7999999999997</v>
      </c>
      <c r="BL129" s="77">
        <f>+SUM(AA129:AD129)</f>
        <v>-2791.6</v>
      </c>
      <c r="BM129" s="77">
        <f>+SUM(AE129:AH129)</f>
        <v>-2591.9</v>
      </c>
      <c r="BN129" s="77">
        <f>+SUM(AI129:AL129)</f>
        <v>-2094.8859039999998</v>
      </c>
      <c r="BO129" s="1791">
        <f>+SUM(AM129:AP129)</f>
        <v>-949</v>
      </c>
      <c r="BP129" s="77">
        <f>+SUM(AQ129:AT129)</f>
        <v>-909.3</v>
      </c>
      <c r="BQ129" s="77">
        <f>+SUM(AU129:AX129)</f>
        <v>-888.84779757966703</v>
      </c>
      <c r="BR129" s="77">
        <f>-BR89</f>
        <v>-787.82603698856678</v>
      </c>
      <c r="BS129" s="77">
        <f>-BS89</f>
        <v>-743.1902933518445</v>
      </c>
      <c r="BT129" s="77">
        <f>-BT89</f>
        <v>-722.63140051103619</v>
      </c>
      <c r="BU129" s="77">
        <f>-BU89</f>
        <v>-712.53625208724384</v>
      </c>
    </row>
    <row r="130" spans="1:73" ht="13.5" customHeight="1">
      <c r="B130" s="75"/>
      <c r="C130" s="77"/>
      <c r="D130" s="77"/>
      <c r="E130" s="77"/>
      <c r="F130" s="77"/>
      <c r="G130" s="77"/>
      <c r="H130" s="77"/>
      <c r="I130" s="77"/>
      <c r="J130" s="77"/>
      <c r="K130" s="77"/>
      <c r="L130" s="77"/>
      <c r="M130" s="77"/>
      <c r="N130" s="77"/>
      <c r="O130" s="77"/>
      <c r="P130" s="77"/>
      <c r="Q130" s="77"/>
      <c r="R130" s="77"/>
      <c r="S130" s="1791"/>
      <c r="T130" s="77"/>
      <c r="U130" s="77"/>
      <c r="V130" s="77"/>
      <c r="W130" s="1791"/>
      <c r="X130" s="77"/>
      <c r="Y130" s="77"/>
      <c r="Z130" s="77"/>
      <c r="AA130" s="77"/>
      <c r="AB130" s="77"/>
      <c r="AC130" s="77"/>
      <c r="AD130" s="77"/>
      <c r="AE130" s="77"/>
      <c r="AF130" s="77"/>
      <c r="AG130" s="77"/>
      <c r="AH130" s="77"/>
      <c r="AI130" s="77"/>
      <c r="AJ130" s="77"/>
      <c r="AK130" s="77"/>
      <c r="AL130" s="77"/>
      <c r="AM130" s="1791"/>
      <c r="AN130" s="77"/>
      <c r="AO130" s="77"/>
      <c r="AP130" s="77"/>
      <c r="AQ130" s="77"/>
      <c r="AR130" s="77"/>
      <c r="AS130" s="77"/>
      <c r="AT130" s="77"/>
      <c r="AU130" s="77"/>
      <c r="AV130" s="77"/>
      <c r="AW130" s="77"/>
      <c r="AX130" s="77"/>
      <c r="AY130" s="77"/>
      <c r="AZ130" s="77"/>
      <c r="BA130" s="77"/>
      <c r="BB130" s="77"/>
      <c r="BC130" s="2179"/>
      <c r="BE130" s="77"/>
      <c r="BF130" s="84">
        <f>+BF129/BE129-1</f>
        <v>0.21089915661928837</v>
      </c>
      <c r="BG130" s="84">
        <f t="shared" ref="BG130:BR130" si="609">+BG129/BF129-1</f>
        <v>0.32211574740748761</v>
      </c>
      <c r="BH130" s="84">
        <f t="shared" si="609"/>
        <v>0.53151192433405359</v>
      </c>
      <c r="BI130" s="84"/>
      <c r="BJ130" s="1999">
        <f>+BJ129/BH129-1</f>
        <v>0.90328727693519584</v>
      </c>
      <c r="BK130" s="84">
        <f>+BK129/BJ129-1</f>
        <v>1.4333661505414836</v>
      </c>
      <c r="BL130" s="84">
        <f t="shared" si="609"/>
        <v>2.6776519052523318E-2</v>
      </c>
      <c r="BM130" s="84">
        <f t="shared" si="609"/>
        <v>-7.1536036681472903E-2</v>
      </c>
      <c r="BN130" s="84">
        <f t="shared" si="609"/>
        <v>-0.1917566634515222</v>
      </c>
      <c r="BO130" s="1801">
        <f t="shared" si="609"/>
        <v>-0.54699203513281169</v>
      </c>
      <c r="BP130" s="84">
        <f t="shared" si="609"/>
        <v>-4.1833508956796717E-2</v>
      </c>
      <c r="BQ130" s="84">
        <f t="shared" si="609"/>
        <v>-2.2492249444993839E-2</v>
      </c>
      <c r="BR130" s="84">
        <f t="shared" si="609"/>
        <v>-0.11365473466456522</v>
      </c>
      <c r="BS130" s="84">
        <f t="shared" ref="BS130" si="610">+BS129/BR129-1</f>
        <v>-5.665685258047648E-2</v>
      </c>
      <c r="BT130" s="84">
        <f t="shared" ref="BT130" si="611">+BT129/BS129-1</f>
        <v>-2.766302658244657E-2</v>
      </c>
      <c r="BU130" s="84">
        <f t="shared" ref="BU130" si="612">+BU129/BT129-1</f>
        <v>-1.396998306004027E-2</v>
      </c>
    </row>
    <row r="131" spans="1:73" ht="13.5" customHeight="1">
      <c r="B131" s="75"/>
      <c r="C131" s="77"/>
      <c r="D131" s="77"/>
      <c r="E131" s="77"/>
      <c r="F131" s="77"/>
      <c r="G131" s="77"/>
      <c r="H131" s="77"/>
      <c r="I131" s="77"/>
      <c r="J131" s="77"/>
      <c r="K131" s="77"/>
      <c r="L131" s="77"/>
      <c r="M131" s="77"/>
      <c r="N131" s="77"/>
      <c r="O131" s="77"/>
      <c r="P131" s="77"/>
      <c r="Q131" s="77"/>
      <c r="R131" s="77"/>
      <c r="S131" s="1812">
        <f t="shared" ref="S131:AD131" si="613">+S129/S$57</f>
        <v>-9.0664288287052128E-2</v>
      </c>
      <c r="T131" s="1128">
        <f t="shared" si="613"/>
        <v>-8.0030343369541873E-2</v>
      </c>
      <c r="U131" s="1128">
        <f t="shared" si="613"/>
        <v>-8.1409407565202374E-2</v>
      </c>
      <c r="V131" s="1128">
        <f t="shared" si="613"/>
        <v>-3.0845719612615879E-2</v>
      </c>
      <c r="W131" s="1812">
        <f t="shared" si="613"/>
        <v>-8.3240223463687146E-2</v>
      </c>
      <c r="X131" s="1128">
        <f t="shared" si="613"/>
        <v>-0.10074279744099841</v>
      </c>
      <c r="Y131" s="1128">
        <f t="shared" si="613"/>
        <v>-6.8247036805988759E-2</v>
      </c>
      <c r="Z131" s="1128">
        <f t="shared" si="613"/>
        <v>-5.6512715360956221E-2</v>
      </c>
      <c r="AA131" s="1128">
        <f t="shared" si="613"/>
        <v>-7.3654151242728713E-2</v>
      </c>
      <c r="AB131" s="1128">
        <f t="shared" si="613"/>
        <v>-7.3435464212163237E-2</v>
      </c>
      <c r="AC131" s="1128">
        <f t="shared" si="613"/>
        <v>-6.95765090269342E-2</v>
      </c>
      <c r="AD131" s="1128">
        <f t="shared" si="613"/>
        <v>-6.2860725573725434E-2</v>
      </c>
      <c r="AE131" s="1128">
        <f t="shared" ref="AE131:AH131" si="614">+AE129/AE$57</f>
        <v>-7.8671561678358967E-2</v>
      </c>
      <c r="AF131" s="1128">
        <f t="shared" si="614"/>
        <v>-7.2359349145063437E-2</v>
      </c>
      <c r="AG131" s="1128">
        <f t="shared" si="614"/>
        <v>-6.9116030076524088E-2</v>
      </c>
      <c r="AH131" s="1128">
        <f t="shared" si="614"/>
        <v>-6.6469036940075846E-2</v>
      </c>
      <c r="AI131" s="1128">
        <f t="shared" ref="AI131:AL131" si="615">+AI129/AI$57</f>
        <v>-8.2443102647468666E-2</v>
      </c>
      <c r="AJ131" s="1128">
        <f t="shared" si="615"/>
        <v>-7.5615535941864806E-2</v>
      </c>
      <c r="AK131" s="1128">
        <f t="shared" si="615"/>
        <v>-7.1726377998582197E-2</v>
      </c>
      <c r="AL131" s="1128">
        <f t="shared" si="615"/>
        <v>-5.5100251005534215E-2</v>
      </c>
      <c r="AM131" s="1812">
        <f t="shared" ref="AM131:AP131" si="616">+AM129/AM$57</f>
        <v>-4.8525234870002182E-2</v>
      </c>
      <c r="AN131" s="1128">
        <f t="shared" si="616"/>
        <v>-4.100385166761663E-2</v>
      </c>
      <c r="AO131" s="1128">
        <f t="shared" si="616"/>
        <v>-3.8138564297644402E-2</v>
      </c>
      <c r="AP131" s="1128">
        <f t="shared" si="616"/>
        <v>-3.6893915888641292E-2</v>
      </c>
      <c r="AQ131" s="1128">
        <f t="shared" ref="AQ131:AT131" si="617">+AQ129/AQ$57</f>
        <v>-4.2484549776037328E-2</v>
      </c>
      <c r="AR131" s="1128">
        <f t="shared" si="617"/>
        <v>-3.7029222491824033E-2</v>
      </c>
      <c r="AS131" s="1128">
        <f t="shared" si="617"/>
        <v>-4.6053138236426643E-2</v>
      </c>
      <c r="AT131" s="1128">
        <f t="shared" si="617"/>
        <v>-3.8914903923784917E-2</v>
      </c>
      <c r="AU131" s="1128">
        <f t="shared" ref="AU131:AX131" si="618">+AU129/AU$57</f>
        <v>-3.8158698661923951E-2</v>
      </c>
      <c r="AV131" s="1128">
        <f t="shared" si="618"/>
        <v>-3.2464767505397722E-2</v>
      </c>
      <c r="AW131" s="1128">
        <f t="shared" si="618"/>
        <v>-6.1354215980651654E-2</v>
      </c>
      <c r="AX131" s="1128">
        <f t="shared" si="618"/>
        <v>-3.4302327807609501E-2</v>
      </c>
      <c r="AY131" s="1128"/>
      <c r="AZ131" s="1128"/>
      <c r="BA131" s="77"/>
      <c r="BB131" s="1128">
        <v>-3.7693387565642257E-2</v>
      </c>
      <c r="BC131" s="2179"/>
      <c r="BE131" s="77"/>
      <c r="BF131" s="874">
        <f>+BF129/BF$57</f>
        <v>-3.663974795878816E-2</v>
      </c>
      <c r="BG131" s="874">
        <f>+BG129/BG$57</f>
        <v>-3.8903413883268449E-2</v>
      </c>
      <c r="BH131" s="874">
        <f>+BH129/BH$57</f>
        <v>-4.392302586986075E-2</v>
      </c>
      <c r="BI131" s="874"/>
      <c r="BJ131" s="2016">
        <f>+BJ129/BJ$57</f>
        <v>-5.7453122072997909E-2</v>
      </c>
      <c r="BK131" s="874">
        <f>+BK129/BK$57</f>
        <v>-7.3636513830545022E-2</v>
      </c>
      <c r="BL131" s="874">
        <f>+BL129/BL$57</f>
        <v>-6.9503991076719299E-2</v>
      </c>
      <c r="BM131" s="874">
        <f t="shared" ref="BM131:BN131" si="619">+BM129/BM$57</f>
        <v>-7.1305558306647754E-2</v>
      </c>
      <c r="BN131" s="874">
        <f t="shared" si="619"/>
        <v>-7.1682778949406709E-2</v>
      </c>
      <c r="BO131" s="2454">
        <f t="shared" ref="BO131:BP131" si="620">+BO129/BO$57</f>
        <v>-4.049865166584677E-2</v>
      </c>
      <c r="BP131" s="874">
        <f t="shared" si="620"/>
        <v>-4.0927296234462236E-2</v>
      </c>
      <c r="BQ131" s="874">
        <f t="shared" ref="BQ131" si="621">+BQ129/BQ$57</f>
        <v>-4.0985411004119537E-2</v>
      </c>
      <c r="BR131" s="874">
        <f>+BR129/BR$57</f>
        <v>-3.4770933758786558E-2</v>
      </c>
      <c r="BS131" s="874">
        <f t="shared" ref="BS131:BU131" si="622">+BS129/BS$57</f>
        <v>-3.1577600023665081E-2</v>
      </c>
      <c r="BT131" s="874">
        <f t="shared" si="622"/>
        <v>-2.9568365128210688E-2</v>
      </c>
      <c r="BU131" s="874">
        <f t="shared" si="622"/>
        <v>-2.815166777102739E-2</v>
      </c>
    </row>
    <row r="133" spans="1:73" s="85" customFormat="1" ht="13.5" customHeight="1">
      <c r="B133" s="78"/>
      <c r="C133" s="87"/>
      <c r="D133" s="87"/>
      <c r="E133" s="87"/>
      <c r="F133" s="87"/>
      <c r="G133" s="87"/>
      <c r="H133" s="87"/>
      <c r="I133" s="87"/>
      <c r="J133" s="87"/>
      <c r="K133" s="87"/>
      <c r="L133" s="87"/>
      <c r="M133" s="87"/>
      <c r="N133" s="87"/>
      <c r="O133" s="87"/>
      <c r="P133" s="87"/>
      <c r="Q133" s="87"/>
      <c r="R133" s="87"/>
      <c r="S133" s="1813"/>
      <c r="T133" s="87"/>
      <c r="U133" s="87"/>
      <c r="V133" s="87"/>
      <c r="W133" s="1813"/>
      <c r="X133" s="87"/>
      <c r="Y133" s="87"/>
      <c r="Z133" s="87"/>
      <c r="AA133" s="87"/>
      <c r="AB133" s="87"/>
      <c r="AC133" s="87"/>
      <c r="AD133" s="87"/>
      <c r="AE133" s="87"/>
      <c r="AF133" s="87"/>
      <c r="AG133" s="87"/>
      <c r="AH133" s="87"/>
      <c r="AI133" s="87"/>
      <c r="AJ133" s="87"/>
      <c r="AK133" s="87"/>
      <c r="AL133" s="87"/>
      <c r="AM133" s="1813"/>
      <c r="AN133" s="87"/>
      <c r="AO133" s="87"/>
      <c r="AP133" s="87"/>
      <c r="AQ133" s="87"/>
      <c r="AR133" s="87"/>
      <c r="AS133" s="87"/>
      <c r="AT133" s="87"/>
      <c r="AU133" s="87"/>
      <c r="AV133" s="87"/>
      <c r="AW133" s="87"/>
      <c r="AX133" s="87"/>
      <c r="AY133" s="87"/>
      <c r="AZ133" s="87"/>
      <c r="BA133" s="159"/>
      <c r="BB133" s="87"/>
      <c r="BC133" s="2188"/>
      <c r="BE133" s="159"/>
      <c r="BF133" s="874">
        <f>+BF86/BE86-1</f>
        <v>-0.13816325663999107</v>
      </c>
      <c r="BG133" s="874">
        <f>+BG86/BF86-1</f>
        <v>0.25467507841491588</v>
      </c>
      <c r="BH133" s="874">
        <f>+BH86/BG86-1</f>
        <v>-6.976042676240124E-2</v>
      </c>
      <c r="BI133" s="874"/>
      <c r="BJ133" s="2016">
        <f>+BJ86/BH86-1</f>
        <v>2.3195693008794147</v>
      </c>
      <c r="BK133" s="874">
        <f t="shared" ref="BK133:BU133" si="623">+BK86/BJ86-1</f>
        <v>-0.8117521210659342</v>
      </c>
      <c r="BL133" s="874">
        <f t="shared" si="623"/>
        <v>0.41592808305900375</v>
      </c>
      <c r="BM133" s="874">
        <f t="shared" si="623"/>
        <v>-1.4099078959134392</v>
      </c>
      <c r="BN133" s="874">
        <f t="shared" si="623"/>
        <v>0.25093867394328329</v>
      </c>
      <c r="BO133" s="2454">
        <f t="shared" si="623"/>
        <v>-2.5722084549217721</v>
      </c>
      <c r="BP133" s="874">
        <f t="shared" si="623"/>
        <v>0.4492639386999262</v>
      </c>
      <c r="BQ133" s="874">
        <f t="shared" si="623"/>
        <v>0.31378249141377301</v>
      </c>
      <c r="BR133" s="874">
        <f t="shared" si="623"/>
        <v>0.10488483767163026</v>
      </c>
      <c r="BS133" s="874">
        <f t="shared" si="623"/>
        <v>3.0091030321874213E-2</v>
      </c>
      <c r="BT133" s="874">
        <f t="shared" si="623"/>
        <v>5.6435297981731969E-2</v>
      </c>
      <c r="BU133" s="874">
        <f t="shared" si="623"/>
        <v>4.8278381533674031E-2</v>
      </c>
    </row>
    <row r="135" spans="1:73" ht="13.5" thickBot="1"/>
    <row r="136" spans="1:73" s="957" customFormat="1" ht="15.75" customHeight="1" thickBot="1">
      <c r="A136" s="956"/>
      <c r="B136" s="958" t="s">
        <v>299</v>
      </c>
      <c r="S136" s="1960"/>
      <c r="T136" s="1029"/>
      <c r="U136" s="1029"/>
      <c r="V136" s="1029"/>
      <c r="W136" s="1814"/>
      <c r="AM136" s="1814"/>
      <c r="AY136" s="325"/>
      <c r="AZ136" s="325"/>
      <c r="BA136" s="72"/>
      <c r="BC136" s="2190"/>
      <c r="BD136" s="72"/>
      <c r="BH136" s="325"/>
      <c r="BI136" s="325"/>
      <c r="BJ136" s="2019"/>
      <c r="BO136" s="1814"/>
    </row>
    <row r="137" spans="1:73" s="325" customFormat="1" ht="15.75" customHeight="1" thickBot="1">
      <c r="S137" s="2682" t="s">
        <v>300</v>
      </c>
      <c r="T137" s="2683"/>
      <c r="U137" s="2683"/>
      <c r="V137" s="2684"/>
      <c r="W137" s="1030"/>
      <c r="AM137" s="1030"/>
      <c r="BA137" s="72"/>
      <c r="BC137" s="2189"/>
      <c r="BD137" s="72"/>
      <c r="BJ137" s="2019" t="s">
        <v>300</v>
      </c>
      <c r="BO137" s="1030"/>
    </row>
    <row r="138" spans="1:73" s="2321" customFormat="1" ht="15" customHeight="1">
      <c r="B138" s="2321" t="s">
        <v>301</v>
      </c>
      <c r="S138" s="2322">
        <v>5463.2999999999993</v>
      </c>
      <c r="T138" s="2323">
        <v>6410.1</v>
      </c>
      <c r="U138" s="2323">
        <v>6353.1</v>
      </c>
      <c r="V138" s="2324">
        <v>7117.5</v>
      </c>
      <c r="W138" s="2325">
        <v>5662.9931972789118</v>
      </c>
      <c r="X138" s="2323">
        <v>5420.7</v>
      </c>
      <c r="Y138" s="2323">
        <v>8275.9</v>
      </c>
      <c r="Z138" s="2323">
        <v>8294.7000000000007</v>
      </c>
      <c r="AA138" s="2323">
        <v>6857.2</v>
      </c>
      <c r="AB138" s="2323">
        <v>7347.9</v>
      </c>
      <c r="AC138" s="2323">
        <v>7409.2</v>
      </c>
      <c r="AD138" s="2323">
        <v>8079.1</v>
      </c>
      <c r="AE138" s="2323">
        <v>6286.7</v>
      </c>
      <c r="AF138" s="2323">
        <v>7284.4</v>
      </c>
      <c r="AG138" s="2323">
        <v>7700</v>
      </c>
      <c r="AH138" s="2323">
        <v>7886.9</v>
      </c>
      <c r="AI138" s="2323">
        <v>6445.3</v>
      </c>
      <c r="AJ138" s="2323">
        <v>7274.0300809335386</v>
      </c>
      <c r="AK138" s="2323">
        <v>6930.2139999999999</v>
      </c>
      <c r="AL138" s="2323">
        <v>6571.3</v>
      </c>
      <c r="AM138" s="2322">
        <v>6371.9</v>
      </c>
      <c r="AN138" s="2323">
        <v>7944.6426255093893</v>
      </c>
      <c r="AO138" s="2323">
        <v>7900.680268365295</v>
      </c>
      <c r="AP138" s="2323">
        <v>9369.6</v>
      </c>
      <c r="AQ138" s="2323">
        <v>6819.9</v>
      </c>
      <c r="AR138" s="2323">
        <v>7545.9</v>
      </c>
      <c r="AS138" s="2323">
        <v>6867</v>
      </c>
      <c r="AT138" s="2323">
        <v>8262</v>
      </c>
      <c r="AU138" s="2326">
        <v>6020.787034060736</v>
      </c>
      <c r="AV138" s="2326">
        <v>7623.58275398361</v>
      </c>
      <c r="AW138" s="2326">
        <v>7377.6226592810299</v>
      </c>
      <c r="AX138" s="2326">
        <v>9319.950296166111</v>
      </c>
      <c r="AY138" s="2326"/>
      <c r="AZ138" s="2326"/>
      <c r="BA138" s="2327"/>
      <c r="BB138" s="2326">
        <v>8402.5252371742245</v>
      </c>
      <c r="BC138" s="2328">
        <v>-1.6724167224457354E-2</v>
      </c>
      <c r="BD138" s="2327"/>
      <c r="BH138" s="2327">
        <v>11647.3</v>
      </c>
      <c r="BI138" s="2327">
        <v>12387.5</v>
      </c>
      <c r="BJ138" s="2329">
        <v>25344</v>
      </c>
      <c r="BK138" s="2327">
        <v>27654.293197278912</v>
      </c>
      <c r="BL138" s="2327">
        <v>28848.5</v>
      </c>
      <c r="BM138" s="2327">
        <v>29158</v>
      </c>
      <c r="BN138" s="2327">
        <v>27220.844080933537</v>
      </c>
      <c r="BO138" s="2455">
        <v>31586.822893874683</v>
      </c>
      <c r="BP138" s="2327">
        <v>29494.799999999999</v>
      </c>
      <c r="BQ138" s="2327">
        <v>30341.942743491491</v>
      </c>
      <c r="BR138" s="2326">
        <v>31698.982389548346</v>
      </c>
      <c r="BS138" s="2326">
        <v>32921.72228114141</v>
      </c>
      <c r="BT138" s="2326">
        <v>34175.413649736605</v>
      </c>
      <c r="BU138" s="2326">
        <v>35383.327713027356</v>
      </c>
    </row>
    <row r="139" spans="1:73" s="325" customFormat="1" ht="15" customHeight="1">
      <c r="B139" s="325" t="s">
        <v>108</v>
      </c>
      <c r="S139" s="1030"/>
      <c r="W139" s="1815">
        <f t="shared" ref="W139" si="624">+W138/S138-1</f>
        <v>3.6551753936066689E-2</v>
      </c>
      <c r="X139" s="332">
        <f t="shared" ref="X139" si="625">+X138/T138-1</f>
        <v>-0.15435016614405395</v>
      </c>
      <c r="Y139" s="332">
        <f t="shared" ref="Y139:Z139" si="626">+Y138/U138-1</f>
        <v>0.3026553965780483</v>
      </c>
      <c r="Z139" s="332">
        <f t="shared" si="626"/>
        <v>0.16539515279241312</v>
      </c>
      <c r="AA139" s="332">
        <f t="shared" ref="AA139" si="627">+AA138/W138-1</f>
        <v>0.21087908127717836</v>
      </c>
      <c r="AB139" s="332">
        <f t="shared" ref="AB139" si="628">+AB138/X138-1</f>
        <v>0.3555260390724444</v>
      </c>
      <c r="AC139" s="332">
        <f t="shared" ref="AC139" si="629">+AC138/Y138-1</f>
        <v>-0.10472577000688743</v>
      </c>
      <c r="AD139" s="332">
        <f t="shared" ref="AD139" si="630">+AD138/Z138-1</f>
        <v>-2.5992501235728827E-2</v>
      </c>
      <c r="AE139" s="332">
        <f t="shared" ref="AE139" si="631">+AE138/AA138-1</f>
        <v>-8.3197223356472061E-2</v>
      </c>
      <c r="AF139" s="332">
        <f t="shared" ref="AF139" si="632">+AF138/AB138-1</f>
        <v>-8.64192490371396E-3</v>
      </c>
      <c r="AG139" s="332">
        <f t="shared" ref="AG139" si="633">+AG138/AC138-1</f>
        <v>3.9248501862549245E-2</v>
      </c>
      <c r="AH139" s="332">
        <f t="shared" ref="AH139" si="634">+AH138/AD138-1</f>
        <v>-2.3789778564444197E-2</v>
      </c>
      <c r="AI139" s="332">
        <f t="shared" ref="AI139" si="635">+AI138/AE138-1</f>
        <v>2.5227861994369105E-2</v>
      </c>
      <c r="AJ139" s="332">
        <f t="shared" ref="AJ139" si="636">+AJ138/AF138-1</f>
        <v>-1.4235790272996152E-3</v>
      </c>
      <c r="AK139" s="332">
        <f t="shared" ref="AK139" si="637">+AK138/AG138-1</f>
        <v>-9.9972207792207834E-2</v>
      </c>
      <c r="AL139" s="332">
        <f t="shared" ref="AL139" si="638">+AL138/AH138-1</f>
        <v>-0.16680825165781221</v>
      </c>
      <c r="AM139" s="1815">
        <f t="shared" ref="AM139" si="639">+AM138/AI138-1</f>
        <v>-1.1388143298217357E-2</v>
      </c>
      <c r="AN139" s="332">
        <f t="shared" ref="AN139" si="640">+AN138/AJ138-1</f>
        <v>9.219270983407668E-2</v>
      </c>
      <c r="AO139" s="332">
        <f t="shared" ref="AO139" si="641">+AO138/AK138-1</f>
        <v>0.14003409827824864</v>
      </c>
      <c r="AP139" s="332">
        <f t="shared" ref="AP139" si="642">+AP138/AL138-1</f>
        <v>0.42583659245506977</v>
      </c>
      <c r="AQ139" s="332">
        <f t="shared" ref="AQ139" si="643">+AQ138/AM138-1</f>
        <v>7.0308699132126895E-2</v>
      </c>
      <c r="AR139" s="332">
        <f t="shared" ref="AR139" si="644">+AR138/AN138-1</f>
        <v>-5.0190127398439532E-2</v>
      </c>
      <c r="AS139" s="332">
        <f t="shared" ref="AS139" si="645">+AS138/AO138-1</f>
        <v>-0.13083433745625683</v>
      </c>
      <c r="AT139" s="332">
        <f t="shared" ref="AT139" si="646">+AT138/AP138-1</f>
        <v>-0.11821209016393441</v>
      </c>
      <c r="AU139" s="332">
        <f t="shared" ref="AU139" si="647">+AU138/AQ138-1</f>
        <v>-0.11717370723020337</v>
      </c>
      <c r="AV139" s="332">
        <f t="shared" ref="AV139" si="648">+AV138/AR138-1</f>
        <v>1.0294696985596152E-2</v>
      </c>
      <c r="AW139" s="332">
        <f t="shared" ref="AW139" si="649">+AW138/AS138-1</f>
        <v>7.4358913540269356E-2</v>
      </c>
      <c r="AX139" s="332">
        <f t="shared" ref="AX139" si="650">+AX138/AT138-1</f>
        <v>0.1280501447792437</v>
      </c>
      <c r="AY139" s="332"/>
      <c r="AZ139" s="332"/>
      <c r="BA139" s="72"/>
      <c r="BB139" s="332">
        <v>-0.10321409268546955</v>
      </c>
      <c r="BC139" s="2189"/>
      <c r="BD139" s="72"/>
      <c r="BJ139" s="2152">
        <f>+BJ138-BI138</f>
        <v>12956.5</v>
      </c>
      <c r="BK139" s="332">
        <f>+BK138/BJ138-1</f>
        <v>9.115740203909839E-2</v>
      </c>
      <c r="BL139" s="332">
        <f t="shared" ref="BL139:BQ139" si="651">+BL138/BK138-1</f>
        <v>4.3183414387122809E-2</v>
      </c>
      <c r="BM139" s="332">
        <f t="shared" si="651"/>
        <v>1.0728460751858959E-2</v>
      </c>
      <c r="BN139" s="332">
        <f t="shared" si="651"/>
        <v>-6.6436515504028515E-2</v>
      </c>
      <c r="BO139" s="1815">
        <f t="shared" si="651"/>
        <v>0.16039101506037556</v>
      </c>
      <c r="BP139" s="332">
        <f t="shared" si="651"/>
        <v>-6.6230874213068391E-2</v>
      </c>
      <c r="BQ139" s="332">
        <f t="shared" si="651"/>
        <v>2.8721765988970693E-2</v>
      </c>
      <c r="BR139" s="332">
        <f t="shared" ref="BR139" si="652">+BR138/BQ138-1</f>
        <v>4.4724876634603339E-2</v>
      </c>
      <c r="BS139" s="332">
        <f t="shared" ref="BS139" si="653">+BS138/BR138-1</f>
        <v>3.8573474585613887E-2</v>
      </c>
      <c r="BT139" s="332">
        <f t="shared" ref="BT139" si="654">+BT138/BS138-1</f>
        <v>3.8080977595553955E-2</v>
      </c>
      <c r="BU139" s="332">
        <f t="shared" ref="BU139" si="655">+BU138/BT138-1</f>
        <v>3.5344533812250223E-2</v>
      </c>
    </row>
    <row r="140" spans="1:73" s="325" customFormat="1" ht="15" customHeight="1">
      <c r="S140" s="1030"/>
      <c r="W140" s="1030"/>
      <c r="AM140" s="1030"/>
      <c r="BA140" s="72"/>
      <c r="BC140" s="2189"/>
      <c r="BD140" s="72"/>
      <c r="BJ140" s="2019"/>
      <c r="BO140" s="1030"/>
    </row>
    <row r="141" spans="1:73" s="325" customFormat="1" ht="15" customHeight="1">
      <c r="B141" s="325" t="s">
        <v>192</v>
      </c>
      <c r="S141" s="1031">
        <f t="shared" ref="S141:T141" si="656">+S144-S138</f>
        <v>-1400</v>
      </c>
      <c r="T141" s="940">
        <f t="shared" si="656"/>
        <v>-1646.1000000000004</v>
      </c>
      <c r="U141" s="940">
        <f t="shared" ref="U141:Z141" si="657">+U144-U138</f>
        <v>-1655.3000000000002</v>
      </c>
      <c r="V141" s="940">
        <f t="shared" si="657"/>
        <v>-1872.6999999999998</v>
      </c>
      <c r="W141" s="1816">
        <f t="shared" si="657"/>
        <v>-1500.6931972789116</v>
      </c>
      <c r="X141" s="940">
        <f t="shared" si="657"/>
        <v>-1445</v>
      </c>
      <c r="Y141" s="940">
        <f t="shared" si="657"/>
        <v>-2192.2999999999993</v>
      </c>
      <c r="Z141" s="940">
        <f t="shared" si="657"/>
        <v>-1974.1000000000004</v>
      </c>
      <c r="AA141" s="940">
        <f t="shared" ref="AA141:AD141" si="658">+AA144-AA138</f>
        <v>-1671.3000000000002</v>
      </c>
      <c r="AB141" s="940">
        <f t="shared" ref="AB141:AC141" si="659">+AB144-AB138</f>
        <v>-1814.1999999999998</v>
      </c>
      <c r="AC141" s="940">
        <f t="shared" si="659"/>
        <v>-1857.6999999999998</v>
      </c>
      <c r="AD141" s="940">
        <f t="shared" si="658"/>
        <v>-1936.8000000000002</v>
      </c>
      <c r="AE141" s="940">
        <f t="shared" ref="AE141" si="660">+AE144-AE138</f>
        <v>-1535.1999999999998</v>
      </c>
      <c r="AF141" s="940">
        <f t="shared" ref="AF141" si="661">+AF144-AF138</f>
        <v>-1729.3999999999996</v>
      </c>
      <c r="AG141" s="940">
        <f t="shared" ref="AG141:AH141" si="662">+AG144-AG138</f>
        <v>-1922.5</v>
      </c>
      <c r="AH141" s="940">
        <f t="shared" si="662"/>
        <v>-1943.6999999999998</v>
      </c>
      <c r="AI141" s="940">
        <f t="shared" ref="AI141:AJ141" si="663">+AI144-AI138</f>
        <v>-1581.6000000000004</v>
      </c>
      <c r="AJ141" s="940">
        <f t="shared" si="663"/>
        <v>-1811.0952817896705</v>
      </c>
      <c r="AK141" s="940">
        <f t="shared" ref="AK141:AL141" si="664">+AK144-AK138</f>
        <v>-1698.1800000000003</v>
      </c>
      <c r="AL141" s="940">
        <f t="shared" si="664"/>
        <v>-689.10000000000036</v>
      </c>
      <c r="AM141" s="1031">
        <f t="shared" ref="AM141" si="665">+AM144-AM138</f>
        <v>-1667.2999999999993</v>
      </c>
      <c r="AN141" s="940">
        <f t="shared" ref="AN141:AO141" si="666">+AN144-AN138</f>
        <v>-2022.2001705177918</v>
      </c>
      <c r="AO141" s="940">
        <f t="shared" si="666"/>
        <v>-1925.0511563375494</v>
      </c>
      <c r="AP141" s="940">
        <f t="shared" ref="AP141:AQ141" si="667">+AP144-AP138</f>
        <v>-2279</v>
      </c>
      <c r="AQ141" s="940">
        <f t="shared" si="667"/>
        <v>-1676.8538537691857</v>
      </c>
      <c r="AR141" s="940">
        <f t="shared" ref="AR141:AS141" si="668">+AR144-AR138</f>
        <v>-1858.5</v>
      </c>
      <c r="AS141" s="940">
        <f t="shared" si="668"/>
        <v>-1673</v>
      </c>
      <c r="AT141" s="940">
        <f t="shared" ref="AT141" si="669">+AT144-AT138</f>
        <v>-2069</v>
      </c>
      <c r="AU141" s="940">
        <f t="shared" ref="AU141:AX141" si="670">+AU144-AU138</f>
        <v>-1349.6022269484547</v>
      </c>
      <c r="AV141" s="940">
        <f t="shared" si="670"/>
        <v>-2034.3851463295332</v>
      </c>
      <c r="AW141" s="940">
        <f t="shared" si="670"/>
        <v>-2306.1750484948798</v>
      </c>
      <c r="AX141" s="940">
        <f t="shared" si="670"/>
        <v>-2964.848903845882</v>
      </c>
      <c r="AY141" s="940"/>
      <c r="AZ141" s="940"/>
      <c r="BA141" s="72"/>
      <c r="BB141" s="940">
        <v>-2056.5845974947024</v>
      </c>
      <c r="BC141" s="2189"/>
      <c r="BD141" s="72"/>
      <c r="BH141" s="942">
        <f>+BH144-BH138</f>
        <v>-3241.853655674051</v>
      </c>
      <c r="BI141" s="942">
        <f>+BI144-BI138</f>
        <v>-3384.1000000000004</v>
      </c>
      <c r="BJ141" s="2020">
        <f>+SUM(S141:V141)</f>
        <v>-6574.1</v>
      </c>
      <c r="BK141" s="942">
        <f>+SUM(W141:Z141)</f>
        <v>-7112.0931972789112</v>
      </c>
      <c r="BL141" s="942">
        <f>+SUM(AA141:AD141)</f>
        <v>-7280</v>
      </c>
      <c r="BM141" s="942">
        <f>+SUM(AE141:AH141)</f>
        <v>-7130.7999999999993</v>
      </c>
      <c r="BN141" s="942">
        <f>+SUM(AI141:AL141)</f>
        <v>-5779.9752817896715</v>
      </c>
      <c r="BO141" s="2456">
        <f>+SUM(AM141:AP141)</f>
        <v>-7893.5513268553404</v>
      </c>
      <c r="BP141" s="942">
        <f>+SUM(AQ141:AT141)</f>
        <v>-7277.3538537691857</v>
      </c>
      <c r="BQ141" s="942">
        <f>+SUM(AU141:AX141)</f>
        <v>-8655.0113256187506</v>
      </c>
      <c r="BR141" s="940">
        <f t="shared" ref="BR141" si="671">+BR144-BR138</f>
        <v>-9041.3787009650769</v>
      </c>
      <c r="BS141" s="940">
        <f t="shared" ref="BS141:BU141" si="672">+BS144-BS138</f>
        <v>-9386.358833796512</v>
      </c>
      <c r="BT141" s="940">
        <f t="shared" si="672"/>
        <v>-9736.0712181327181</v>
      </c>
      <c r="BU141" s="940">
        <f t="shared" si="672"/>
        <v>-10072.704630846816</v>
      </c>
    </row>
    <row r="142" spans="1:73" s="941" customFormat="1" ht="15" customHeight="1">
      <c r="B142" s="941" t="s">
        <v>302</v>
      </c>
      <c r="S142" s="1032">
        <f t="shared" ref="S142:T142" si="673">+S141/S138</f>
        <v>-0.25625537678692367</v>
      </c>
      <c r="T142" s="905">
        <f t="shared" si="673"/>
        <v>-0.25679786586792724</v>
      </c>
      <c r="U142" s="905">
        <f t="shared" ref="U142:AA142" si="674">+U141/U138</f>
        <v>-0.26054996773228817</v>
      </c>
      <c r="V142" s="905">
        <f t="shared" si="674"/>
        <v>-0.26311204776958197</v>
      </c>
      <c r="W142" s="1817">
        <v>-0.26500000000000001</v>
      </c>
      <c r="X142" s="905">
        <f t="shared" si="674"/>
        <v>-0.26657073809655579</v>
      </c>
      <c r="Y142" s="905">
        <f t="shared" si="674"/>
        <v>-0.2649017025338633</v>
      </c>
      <c r="Z142" s="905">
        <f t="shared" si="674"/>
        <v>-0.2379953464260311</v>
      </c>
      <c r="AA142" s="905">
        <f t="shared" si="674"/>
        <v>-0.24372921892317567</v>
      </c>
      <c r="AB142" s="905">
        <f t="shared" ref="AB142:AD142" si="675">+AB141/AB138</f>
        <v>-0.24690047496563644</v>
      </c>
      <c r="AC142" s="905">
        <f t="shared" si="675"/>
        <v>-0.2507288236246828</v>
      </c>
      <c r="AD142" s="905">
        <f t="shared" si="675"/>
        <v>-0.2397296728596007</v>
      </c>
      <c r="AE142" s="905">
        <f t="shared" ref="AE142:AF142" si="676">+AE141/AE138</f>
        <v>-0.24419806893918905</v>
      </c>
      <c r="AF142" s="905">
        <f t="shared" si="676"/>
        <v>-0.23741145461534233</v>
      </c>
      <c r="AG142" s="905">
        <f t="shared" ref="AG142:AH142" si="677">+AG141/AG138</f>
        <v>-0.24967532467532469</v>
      </c>
      <c r="AH142" s="905">
        <f t="shared" si="677"/>
        <v>-0.24644663936400865</v>
      </c>
      <c r="AI142" s="905">
        <f t="shared" ref="AI142:AJ142" si="678">+AI141/AI138</f>
        <v>-0.24538811226785415</v>
      </c>
      <c r="AJ142" s="905">
        <f t="shared" si="678"/>
        <v>-0.24898099975374821</v>
      </c>
      <c r="AK142" s="905">
        <f t="shared" ref="AK142:AM142" si="679">+AK141/AK138</f>
        <v>-0.24504005215423366</v>
      </c>
      <c r="AL142" s="905">
        <f t="shared" si="679"/>
        <v>-0.10486509518664501</v>
      </c>
      <c r="AM142" s="1032">
        <f t="shared" si="679"/>
        <v>-0.26166449567632877</v>
      </c>
      <c r="AN142" s="905">
        <f t="shared" ref="AN142:AO142" si="680">+AN141/AN138</f>
        <v>-0.25453632917668639</v>
      </c>
      <c r="AO142" s="905">
        <f t="shared" si="680"/>
        <v>-0.24365638033038081</v>
      </c>
      <c r="AP142" s="905">
        <f t="shared" ref="AP142:AS142" si="681">+AP141/AP138</f>
        <v>-0.24323343579234971</v>
      </c>
      <c r="AQ142" s="905">
        <f t="shared" si="681"/>
        <v>-0.24587660431519315</v>
      </c>
      <c r="AR142" s="905">
        <f t="shared" si="681"/>
        <v>-0.24629268874488133</v>
      </c>
      <c r="AS142" s="905">
        <f t="shared" si="681"/>
        <v>-0.24362895005096841</v>
      </c>
      <c r="AT142" s="905">
        <f t="shared" ref="AT142" si="682">+AT141/AT138</f>
        <v>-0.2504236262406197</v>
      </c>
      <c r="AU142" s="944">
        <f t="shared" ref="AU142" si="683">+AVERAGE(AQ142:AT142)</f>
        <v>-0.24655546733791567</v>
      </c>
      <c r="AV142" s="944">
        <f t="shared" ref="AV142" si="684">+AVERAGE(AR142:AU142)</f>
        <v>-0.24672518309359628</v>
      </c>
      <c r="AW142" s="944">
        <f t="shared" ref="AW142" si="685">+AVERAGE(AS142:AV142)</f>
        <v>-0.24683330668077499</v>
      </c>
      <c r="AX142" s="944">
        <f t="shared" ref="AX142" si="686">+AVERAGE(AT142:AW142)</f>
        <v>-0.24763439583822666</v>
      </c>
      <c r="AY142" s="944"/>
      <c r="AZ142" s="944"/>
      <c r="BA142" s="617"/>
      <c r="BB142" s="944">
        <v>-0.24475791972584815</v>
      </c>
      <c r="BC142" s="2192"/>
      <c r="BD142" s="617"/>
      <c r="BH142" s="905">
        <f t="shared" ref="BH142:BI142" si="687">+BH141/BH138</f>
        <v>-0.27833520692985081</v>
      </c>
      <c r="BI142" s="905">
        <f t="shared" si="687"/>
        <v>-0.27318668012108982</v>
      </c>
      <c r="BJ142" s="2021">
        <f t="shared" ref="BJ142" si="688">+BJ141/BJ138</f>
        <v>-0.25939472853535356</v>
      </c>
      <c r="BK142" s="905">
        <f t="shared" ref="BK142:BL142" si="689">+BK141/BK138</f>
        <v>-0.2571786285240773</v>
      </c>
      <c r="BL142" s="905">
        <f t="shared" si="689"/>
        <v>-0.25235280863823073</v>
      </c>
      <c r="BM142" s="905">
        <f t="shared" ref="BM142:BN142" si="690">+BM141/BM138</f>
        <v>-0.24455723986556002</v>
      </c>
      <c r="BN142" s="905">
        <f t="shared" si="690"/>
        <v>-0.2123363722522541</v>
      </c>
      <c r="BO142" s="1032">
        <f t="shared" ref="BO142:BP142" si="691">+BO141/BO138</f>
        <v>-0.24990013567923788</v>
      </c>
      <c r="BP142" s="905">
        <f t="shared" si="691"/>
        <v>-0.24673345314323833</v>
      </c>
      <c r="BQ142" s="905">
        <f t="shared" ref="BQ142" si="692">+BQ141/BQ138</f>
        <v>-0.28524908239355562</v>
      </c>
      <c r="BR142" s="944">
        <f t="shared" ref="BR142" si="693">+AVERAGE(BP142:BQ142)</f>
        <v>-0.26599126776839699</v>
      </c>
      <c r="BS142" s="944">
        <f t="shared" ref="BS142" si="694">+AVERAGE(BQ142:BR142)</f>
        <v>-0.2756201750809763</v>
      </c>
      <c r="BT142" s="944">
        <f t="shared" ref="BT142" si="695">+AVERAGE(BR142:BS142)</f>
        <v>-0.27080572142468662</v>
      </c>
      <c r="BU142" s="944">
        <f t="shared" ref="BU142" si="696">+AVERAGE(BS142:BT142)</f>
        <v>-0.27321294825283149</v>
      </c>
    </row>
    <row r="143" spans="1:73" s="325" customFormat="1" ht="15" customHeight="1">
      <c r="S143" s="1033"/>
      <c r="T143" s="941"/>
      <c r="U143" s="941"/>
      <c r="V143" s="941"/>
      <c r="W143" s="1030"/>
      <c r="Z143" s="941"/>
      <c r="AA143" s="941"/>
      <c r="AB143" s="941"/>
      <c r="AC143" s="941"/>
      <c r="AD143" s="941"/>
      <c r="AE143" s="941"/>
      <c r="AF143" s="941"/>
      <c r="AG143" s="941"/>
      <c r="AH143" s="941"/>
      <c r="AI143" s="941"/>
      <c r="AJ143" s="941"/>
      <c r="AK143" s="941"/>
      <c r="AL143" s="941"/>
      <c r="AM143" s="1033"/>
      <c r="AN143" s="941"/>
      <c r="AO143" s="941"/>
      <c r="AQ143" s="941"/>
      <c r="AR143" s="941"/>
      <c r="AS143" s="941"/>
      <c r="AT143" s="941"/>
      <c r="BA143" s="72"/>
      <c r="BC143" s="2189"/>
      <c r="BD143" s="72"/>
      <c r="BJ143" s="2019"/>
      <c r="BO143" s="1030"/>
    </row>
    <row r="144" spans="1:73" s="2315" customFormat="1" ht="15" customHeight="1">
      <c r="B144" s="2315" t="s">
        <v>303</v>
      </c>
      <c r="S144" s="2316">
        <f>8827.3-T144</f>
        <v>4063.2999999999993</v>
      </c>
      <c r="T144" s="2317">
        <v>4764</v>
      </c>
      <c r="U144" s="2317">
        <v>4697.8</v>
      </c>
      <c r="V144" s="2317">
        <v>5244.8</v>
      </c>
      <c r="W144" s="2316">
        <v>4162.3</v>
      </c>
      <c r="X144" s="2317">
        <v>3975.7</v>
      </c>
      <c r="Y144" s="2317">
        <v>6083.6</v>
      </c>
      <c r="Z144" s="2317">
        <v>6320.6</v>
      </c>
      <c r="AA144" s="2317">
        <v>5185.8999999999996</v>
      </c>
      <c r="AB144" s="2317">
        <v>5533.7</v>
      </c>
      <c r="AC144" s="2317">
        <v>5551.5</v>
      </c>
      <c r="AD144" s="2317">
        <v>6142.3</v>
      </c>
      <c r="AE144" s="2317">
        <v>4751.5</v>
      </c>
      <c r="AF144" s="2317">
        <v>5555</v>
      </c>
      <c r="AG144" s="2317">
        <v>5777.5</v>
      </c>
      <c r="AH144" s="2317">
        <v>5943.2</v>
      </c>
      <c r="AI144" s="2317">
        <v>4863.7</v>
      </c>
      <c r="AJ144" s="2317">
        <v>5462.9347991438681</v>
      </c>
      <c r="AK144" s="2317">
        <v>5232.0339999999997</v>
      </c>
      <c r="AL144" s="2317">
        <f>4882.2+1000</f>
        <v>5882.2</v>
      </c>
      <c r="AM144" s="2316">
        <v>4704.6000000000004</v>
      </c>
      <c r="AN144" s="2317">
        <v>5922.4424549915975</v>
      </c>
      <c r="AO144" s="2317">
        <v>5975.6291120277456</v>
      </c>
      <c r="AP144" s="2317">
        <v>7090.6</v>
      </c>
      <c r="AQ144" s="2317">
        <v>5143.046146230814</v>
      </c>
      <c r="AR144" s="2317">
        <v>5687.4</v>
      </c>
      <c r="AS144" s="2317">
        <v>5194</v>
      </c>
      <c r="AT144" s="2317">
        <v>6193</v>
      </c>
      <c r="AU144" s="2318">
        <f t="shared" ref="AU144:AX144" si="697">+AU161+AU152+AU179+AU170</f>
        <v>4671.1848071122813</v>
      </c>
      <c r="AV144" s="2318">
        <f t="shared" si="697"/>
        <v>5589.1976076540768</v>
      </c>
      <c r="AW144" s="2318">
        <f t="shared" si="697"/>
        <v>5071.4476107861501</v>
      </c>
      <c r="AX144" s="2318">
        <f t="shared" si="697"/>
        <v>6355.101392320229</v>
      </c>
      <c r="AY144" s="2318"/>
      <c r="AZ144" s="2318"/>
      <c r="BB144" s="2318">
        <v>6345.9406396795221</v>
      </c>
      <c r="BC144" s="2328">
        <f>+AT144/BB144-1</f>
        <v>-2.4100546847731885E-2</v>
      </c>
      <c r="BE144" s="2319">
        <f t="shared" ref="BE144:BH144" si="698">+BE152</f>
        <v>7452.7999999999993</v>
      </c>
      <c r="BF144" s="2319">
        <f t="shared" si="698"/>
        <v>7318.4000000000005</v>
      </c>
      <c r="BG144" s="2319">
        <f t="shared" si="698"/>
        <v>7683.0983307377255</v>
      </c>
      <c r="BH144" s="2319">
        <f t="shared" si="698"/>
        <v>8405.4463443259483</v>
      </c>
      <c r="BI144" s="2319">
        <f>+BI152</f>
        <v>9003.4</v>
      </c>
      <c r="BJ144" s="2320">
        <f>+SUM(S144:V144)</f>
        <v>18769.899999999998</v>
      </c>
      <c r="BK144" s="2319">
        <f>+SUM(W144:Z144)</f>
        <v>20542.2</v>
      </c>
      <c r="BL144" s="2319">
        <f>+SUM(AA144:AD144)</f>
        <v>22413.399999999998</v>
      </c>
      <c r="BM144" s="2319">
        <f>+SUM(AE144:AH144)</f>
        <v>22027.200000000001</v>
      </c>
      <c r="BN144" s="2319">
        <f>+SUM(AI144:AL144)</f>
        <v>21440.868799143867</v>
      </c>
      <c r="BO144" s="2457">
        <f>+SUM(AM144:AP144)</f>
        <v>23693.271567019343</v>
      </c>
      <c r="BP144" s="2319">
        <f>+SUM(AQ144:AT144)</f>
        <v>22217.446146230814</v>
      </c>
      <c r="BQ144" s="2319">
        <f>+SUM(AU144:AX144)</f>
        <v>21686.931417872736</v>
      </c>
      <c r="BR144" s="2318">
        <f>+BR161+BR152+BR179+BR170</f>
        <v>22657.603688583269</v>
      </c>
      <c r="BS144" s="2318">
        <f t="shared" ref="BS144:BU144" si="699">+BS161+BS152+BS179+BS170</f>
        <v>23535.363447344898</v>
      </c>
      <c r="BT144" s="2318">
        <f t="shared" si="699"/>
        <v>24439.342431603887</v>
      </c>
      <c r="BU144" s="2318">
        <f t="shared" si="699"/>
        <v>25310.62308218054</v>
      </c>
    </row>
    <row r="145" spans="1:73" s="325" customFormat="1" ht="15" customHeight="1">
      <c r="B145" s="325" t="s">
        <v>108</v>
      </c>
      <c r="S145" s="1030"/>
      <c r="W145" s="1815">
        <f t="shared" ref="W145:Z145" si="700">+W144/S144-1</f>
        <v>2.4364432850146667E-2</v>
      </c>
      <c r="X145" s="332">
        <f t="shared" si="700"/>
        <v>-0.16547019311502942</v>
      </c>
      <c r="Y145" s="332">
        <f t="shared" si="700"/>
        <v>0.2949891438545702</v>
      </c>
      <c r="Z145" s="332">
        <f t="shared" si="700"/>
        <v>0.20511744966442946</v>
      </c>
      <c r="AA145" s="332">
        <f>+AA144/W144-1</f>
        <v>0.24592172596881512</v>
      </c>
      <c r="AB145" s="332">
        <f>+AB144/X144-1</f>
        <v>0.39188067510124003</v>
      </c>
      <c r="AC145" s="332">
        <f>+AC144/Y144-1</f>
        <v>-8.7464659083437479E-2</v>
      </c>
      <c r="AD145" s="332">
        <f>+AD144/Z144-1</f>
        <v>-2.8209347213872138E-2</v>
      </c>
      <c r="AE145" s="332">
        <f t="shared" ref="AE145:AH145" si="701">+AE144/AA144-1</f>
        <v>-8.3765595171522711E-2</v>
      </c>
      <c r="AF145" s="332">
        <f t="shared" si="701"/>
        <v>3.849142526699989E-3</v>
      </c>
      <c r="AG145" s="332">
        <f t="shared" si="701"/>
        <v>4.0709718094208869E-2</v>
      </c>
      <c r="AH145" s="332">
        <f t="shared" si="701"/>
        <v>-3.2414567832896535E-2</v>
      </c>
      <c r="AI145" s="332">
        <f t="shared" ref="AI145" si="702">+AI144/AE144-1</f>
        <v>2.3613595706619028E-2</v>
      </c>
      <c r="AJ145" s="332">
        <f t="shared" ref="AJ145" si="703">+AJ144/AF144-1</f>
        <v>-1.6573393493453104E-2</v>
      </c>
      <c r="AK145" s="332">
        <f t="shared" ref="AK145" si="704">+AK144/AG144-1</f>
        <v>-9.4412115967113852E-2</v>
      </c>
      <c r="AL145" s="332">
        <f t="shared" ref="AL145" si="705">+AL144/AH144-1</f>
        <v>-1.0263830932830786E-2</v>
      </c>
      <c r="AM145" s="1815">
        <f t="shared" ref="AM145" si="706">+AM144/AI144-1</f>
        <v>-3.2711721528877136E-2</v>
      </c>
      <c r="AN145" s="332">
        <f t="shared" ref="AN145" si="707">+AN144/AJ144-1</f>
        <v>8.4113699456882074E-2</v>
      </c>
      <c r="AO145" s="332">
        <f t="shared" ref="AO145" si="708">+AO144/AK144-1</f>
        <v>0.14212352443194098</v>
      </c>
      <c r="AP145" s="332">
        <f t="shared" ref="AP145" si="709">+AP144/AL144-1</f>
        <v>0.20543334126687296</v>
      </c>
      <c r="AQ145" s="332">
        <f t="shared" ref="AQ145" si="710">+AQ144/AM144-1</f>
        <v>9.3195201766529179E-2</v>
      </c>
      <c r="AR145" s="332">
        <f t="shared" ref="AR145" si="711">+AR144/AN144-1</f>
        <v>-3.9686743565316984E-2</v>
      </c>
      <c r="AS145" s="332">
        <f t="shared" ref="AS145" si="712">+AS144/AO144-1</f>
        <v>-0.13080281546498307</v>
      </c>
      <c r="AT145" s="332">
        <f t="shared" ref="AT145" si="713">+AT144/AP144-1</f>
        <v>-0.12659013341607206</v>
      </c>
      <c r="AU145" s="332">
        <f t="shared" ref="AU145" si="714">+AU144/AQ144-1</f>
        <v>-9.174744416095626E-2</v>
      </c>
      <c r="AV145" s="332">
        <f t="shared" ref="AV145" si="715">+AV144/AR144-1</f>
        <v>-1.7266658287780512E-2</v>
      </c>
      <c r="AW145" s="332">
        <f t="shared" ref="AW145" si="716">+AW144/AS144-1</f>
        <v>-2.3594992147448979E-2</v>
      </c>
      <c r="AX145" s="332">
        <f t="shared" ref="AX145" si="717">+AX144/AT144-1</f>
        <v>2.617493820769079E-2</v>
      </c>
      <c r="AY145" s="332"/>
      <c r="AZ145" s="332"/>
      <c r="BA145" s="72"/>
      <c r="BB145" s="332">
        <v>-0.10502064145777201</v>
      </c>
      <c r="BC145" s="2189"/>
      <c r="BD145" s="72"/>
      <c r="BJ145" s="2019"/>
      <c r="BK145" s="332">
        <f>+BK144/BJ144-1</f>
        <v>9.4422452969914694E-2</v>
      </c>
      <c r="BL145" s="332">
        <f t="shared" ref="BL145:BQ145" si="718">+BL144/BK144-1</f>
        <v>9.10905355804148E-2</v>
      </c>
      <c r="BM145" s="332">
        <f t="shared" si="718"/>
        <v>-1.7230763739548571E-2</v>
      </c>
      <c r="BN145" s="332">
        <f t="shared" si="718"/>
        <v>-2.6618508065307189E-2</v>
      </c>
      <c r="BO145" s="1815">
        <f t="shared" si="718"/>
        <v>0.10505184230059816</v>
      </c>
      <c r="BP145" s="332">
        <f t="shared" si="718"/>
        <v>-6.228879859895986E-2</v>
      </c>
      <c r="BQ145" s="332">
        <f t="shared" si="718"/>
        <v>-2.3878294780882325E-2</v>
      </c>
      <c r="BR145" s="332">
        <f t="shared" ref="BR145" si="719">+BR144/BQ144-1</f>
        <v>4.4758396289784841E-2</v>
      </c>
      <c r="BS145" s="332">
        <f t="shared" ref="BS145" si="720">+BS144/BR144-1</f>
        <v>3.8740185009234374E-2</v>
      </c>
      <c r="BT145" s="332">
        <f t="shared" ref="BT145" si="721">+BT144/BS144-1</f>
        <v>3.840939130944121E-2</v>
      </c>
      <c r="BU145" s="332">
        <f t="shared" ref="BU145" si="722">+BU144/BT144-1</f>
        <v>3.5650740318198926E-2</v>
      </c>
    </row>
    <row r="146" spans="1:73" s="325" customFormat="1" ht="15" customHeight="1">
      <c r="S146" s="1030"/>
      <c r="W146" s="1815"/>
      <c r="X146" s="332"/>
      <c r="Y146" s="332"/>
      <c r="Z146" s="332"/>
      <c r="AA146" s="332"/>
      <c r="AB146" s="332"/>
      <c r="AC146" s="332"/>
      <c r="AD146" s="332"/>
      <c r="AE146" s="332"/>
      <c r="AF146" s="332"/>
      <c r="AG146" s="332"/>
      <c r="AH146" s="332"/>
      <c r="AI146" s="332"/>
      <c r="AJ146" s="332"/>
      <c r="AK146" s="332"/>
      <c r="AL146" s="332"/>
      <c r="AM146" s="1815"/>
      <c r="AN146" s="332"/>
      <c r="AO146" s="332"/>
      <c r="AP146" s="332"/>
      <c r="AQ146" s="332"/>
      <c r="AR146" s="332"/>
      <c r="AS146" s="332"/>
      <c r="AT146" s="332"/>
      <c r="AU146" s="332"/>
      <c r="AV146" s="332"/>
      <c r="AW146" s="332"/>
      <c r="AX146" s="332"/>
      <c r="AY146" s="332"/>
      <c r="AZ146" s="332"/>
      <c r="BA146" s="72"/>
      <c r="BB146" s="332"/>
      <c r="BC146" s="2189"/>
      <c r="BD146" s="72"/>
      <c r="BJ146" s="2019"/>
      <c r="BK146" s="332"/>
      <c r="BL146" s="332"/>
      <c r="BM146" s="332"/>
      <c r="BN146" s="332"/>
      <c r="BO146" s="1815"/>
      <c r="BP146" s="332"/>
      <c r="BQ146" s="332"/>
      <c r="BR146" s="332"/>
      <c r="BS146" s="332"/>
      <c r="BT146" s="332"/>
      <c r="BU146" s="332"/>
    </row>
    <row r="147" spans="1:73" s="325" customFormat="1" ht="15" customHeight="1">
      <c r="B147" s="1687" t="s">
        <v>305</v>
      </c>
      <c r="C147" s="1402">
        <f t="shared" ref="C147:AL147" si="723">+C156+C165+C174+C179</f>
        <v>1242.9000000000001</v>
      </c>
      <c r="D147" s="1402">
        <f t="shared" si="723"/>
        <v>1408.9</v>
      </c>
      <c r="E147" s="1402">
        <f t="shared" si="723"/>
        <v>1362.1</v>
      </c>
      <c r="F147" s="1402">
        <f t="shared" si="723"/>
        <v>1579.8</v>
      </c>
      <c r="G147" s="1402">
        <f t="shared" si="723"/>
        <v>1121.7</v>
      </c>
      <c r="H147" s="1402">
        <f t="shared" si="723"/>
        <v>1376.2</v>
      </c>
      <c r="I147" s="1402">
        <f t="shared" si="723"/>
        <v>1265.5</v>
      </c>
      <c r="J147" s="1402">
        <f t="shared" si="723"/>
        <v>1571.7</v>
      </c>
      <c r="K147" s="1402">
        <f t="shared" si="723"/>
        <v>1158.9574823999592</v>
      </c>
      <c r="L147" s="1402">
        <f t="shared" si="723"/>
        <v>1344.7744843457233</v>
      </c>
      <c r="M147" s="1402">
        <f t="shared" si="723"/>
        <v>1397.5706214624718</v>
      </c>
      <c r="N147" s="1402">
        <f t="shared" si="723"/>
        <v>1673.5683171033495</v>
      </c>
      <c r="O147" s="1402" t="e">
        <f t="shared" si="723"/>
        <v>#REF!</v>
      </c>
      <c r="P147" s="1402" t="e">
        <f t="shared" si="723"/>
        <v>#REF!</v>
      </c>
      <c r="Q147" s="1402" t="e">
        <f t="shared" si="723"/>
        <v>#REF!</v>
      </c>
      <c r="R147" s="1402" t="e">
        <f t="shared" si="723"/>
        <v>#REF!</v>
      </c>
      <c r="S147" s="1402">
        <f t="shared" si="723"/>
        <v>2073.1</v>
      </c>
      <c r="T147" s="1402">
        <f t="shared" si="723"/>
        <v>2537.5</v>
      </c>
      <c r="U147" s="1402">
        <f t="shared" si="723"/>
        <v>2524.6999999999998</v>
      </c>
      <c r="V147" s="1402">
        <f t="shared" si="723"/>
        <v>2939.6</v>
      </c>
      <c r="W147" s="1402">
        <f t="shared" si="723"/>
        <v>2152.1</v>
      </c>
      <c r="X147" s="1402">
        <f t="shared" si="723"/>
        <v>2357.4663999999998</v>
      </c>
      <c r="Y147" s="1402">
        <f t="shared" si="723"/>
        <v>3241.6</v>
      </c>
      <c r="Z147" s="1402">
        <f t="shared" si="723"/>
        <v>3304.6</v>
      </c>
      <c r="AA147" s="1402">
        <f t="shared" si="723"/>
        <v>2293.1999999999998</v>
      </c>
      <c r="AB147" s="1402">
        <f t="shared" si="723"/>
        <v>2669.6000000000004</v>
      </c>
      <c r="AC147" s="1402">
        <f t="shared" si="723"/>
        <v>2318.7136999999998</v>
      </c>
      <c r="AD147" s="1402">
        <f t="shared" si="723"/>
        <v>2931.0342999999993</v>
      </c>
      <c r="AE147" s="1402">
        <f t="shared" si="723"/>
        <v>2238.3463000000006</v>
      </c>
      <c r="AF147" s="1402">
        <f t="shared" si="723"/>
        <v>2836.4043000000006</v>
      </c>
      <c r="AG147" s="1402">
        <f t="shared" si="723"/>
        <v>2644.9198283999995</v>
      </c>
      <c r="AH147" s="1402">
        <f t="shared" si="723"/>
        <v>3345.1796002999995</v>
      </c>
      <c r="AI147" s="1402">
        <f t="shared" si="723"/>
        <v>2604.4889461000002</v>
      </c>
      <c r="AJ147" s="1402">
        <f t="shared" si="723"/>
        <v>3133.7589024000004</v>
      </c>
      <c r="AK147" s="1402">
        <f t="shared" si="723"/>
        <v>2711.6933109469992</v>
      </c>
      <c r="AL147" s="1402">
        <f t="shared" si="723"/>
        <v>4457.4990073278996</v>
      </c>
      <c r="AM147" s="1970">
        <v>2714.9632915287548</v>
      </c>
      <c r="AN147" s="820">
        <v>3428.7760608096664</v>
      </c>
      <c r="AO147" s="820">
        <v>3332.8688998918169</v>
      </c>
      <c r="AP147" s="1402">
        <f>+AP156+AP165+AP174+AP179</f>
        <v>3972.0271330551354</v>
      </c>
      <c r="AQ147" s="820">
        <v>2835.2374158311391</v>
      </c>
      <c r="AR147" s="820">
        <v>3604.3696946433329</v>
      </c>
      <c r="AS147" s="820">
        <v>3209.9014911532313</v>
      </c>
      <c r="AT147" s="820">
        <v>3773</v>
      </c>
      <c r="AU147" s="1402">
        <f t="shared" ref="AU147:AX147" si="724">+AU156+AU165+AU174+AU179</f>
        <v>2733.5789452980762</v>
      </c>
      <c r="AV147" s="1402">
        <f t="shared" si="724"/>
        <v>3552.7046132695195</v>
      </c>
      <c r="AW147" s="1402">
        <f t="shared" si="724"/>
        <v>3303.5970929139148</v>
      </c>
      <c r="AX147" s="1402">
        <f t="shared" si="724"/>
        <v>3936.82</v>
      </c>
      <c r="AY147" s="1402"/>
      <c r="AZ147" s="1402"/>
      <c r="BA147" s="72"/>
      <c r="BB147" s="1402">
        <v>3875.8086558928044</v>
      </c>
      <c r="BC147" s="2189"/>
      <c r="BD147" s="72"/>
      <c r="BJ147" s="2019"/>
      <c r="BK147" s="332"/>
      <c r="BL147" s="332"/>
      <c r="BM147" s="332"/>
      <c r="BN147" s="332"/>
      <c r="BO147" s="2458">
        <f>+SUM(AM147:AP147)</f>
        <v>13448.635385285374</v>
      </c>
      <c r="BP147" s="1690">
        <f>+SUM(AQ147:AT147)</f>
        <v>13422.508601627702</v>
      </c>
      <c r="BQ147" s="1690">
        <f>+SUM(AU147:AX147)</f>
        <v>13526.700651481511</v>
      </c>
      <c r="BR147" s="2213">
        <f t="shared" ref="BR147:BU147" si="725">+BR156+BR165+BR174+BR179</f>
        <v>14057.372012163949</v>
      </c>
      <c r="BS147" s="2213">
        <f t="shared" si="725"/>
        <v>14604.798271570489</v>
      </c>
      <c r="BT147" s="2213">
        <f t="shared" si="725"/>
        <v>15174.038349353292</v>
      </c>
      <c r="BU147" s="2213">
        <f t="shared" si="725"/>
        <v>15765.963133607407</v>
      </c>
    </row>
    <row r="148" spans="1:73" s="325" customFormat="1" ht="15" customHeight="1">
      <c r="B148" s="1671" t="s">
        <v>108</v>
      </c>
      <c r="C148" s="1735" t="e">
        <f t="shared" ref="C148" si="726">+C147/#REF!-1</f>
        <v>#REF!</v>
      </c>
      <c r="D148" s="1735" t="e">
        <f t="shared" ref="D148:AL148" si="727">+D147/#REF!-1</f>
        <v>#REF!</v>
      </c>
      <c r="E148" s="1735" t="e">
        <f t="shared" si="727"/>
        <v>#REF!</v>
      </c>
      <c r="F148" s="1735" t="e">
        <f t="shared" si="727"/>
        <v>#REF!</v>
      </c>
      <c r="G148" s="1735" t="e">
        <f t="shared" si="727"/>
        <v>#REF!</v>
      </c>
      <c r="H148" s="1735" t="e">
        <f t="shared" si="727"/>
        <v>#REF!</v>
      </c>
      <c r="I148" s="1735" t="e">
        <f t="shared" si="727"/>
        <v>#REF!</v>
      </c>
      <c r="J148" s="1735" t="e">
        <f t="shared" si="727"/>
        <v>#REF!</v>
      </c>
      <c r="K148" s="1735" t="e">
        <f t="shared" si="727"/>
        <v>#REF!</v>
      </c>
      <c r="L148" s="1735" t="e">
        <f t="shared" si="727"/>
        <v>#REF!</v>
      </c>
      <c r="M148" s="1735" t="e">
        <f t="shared" si="727"/>
        <v>#REF!</v>
      </c>
      <c r="N148" s="1735" t="e">
        <f t="shared" si="727"/>
        <v>#REF!</v>
      </c>
      <c r="O148" s="1735" t="e">
        <f t="shared" si="727"/>
        <v>#REF!</v>
      </c>
      <c r="P148" s="1735" t="e">
        <f t="shared" si="727"/>
        <v>#REF!</v>
      </c>
      <c r="Q148" s="1735" t="e">
        <f t="shared" si="727"/>
        <v>#REF!</v>
      </c>
      <c r="R148" s="1735" t="e">
        <f t="shared" si="727"/>
        <v>#REF!</v>
      </c>
      <c r="S148" s="1735" t="e">
        <f t="shared" si="727"/>
        <v>#REF!</v>
      </c>
      <c r="T148" s="1735" t="e">
        <f t="shared" si="727"/>
        <v>#REF!</v>
      </c>
      <c r="U148" s="1735" t="e">
        <f t="shared" si="727"/>
        <v>#REF!</v>
      </c>
      <c r="V148" s="1735" t="e">
        <f t="shared" si="727"/>
        <v>#REF!</v>
      </c>
      <c r="W148" s="1735" t="e">
        <f t="shared" si="727"/>
        <v>#REF!</v>
      </c>
      <c r="X148" s="1735" t="e">
        <f t="shared" si="727"/>
        <v>#REF!</v>
      </c>
      <c r="Y148" s="1735" t="e">
        <f t="shared" si="727"/>
        <v>#REF!</v>
      </c>
      <c r="Z148" s="1735" t="e">
        <f t="shared" si="727"/>
        <v>#REF!</v>
      </c>
      <c r="AA148" s="1735" t="e">
        <f t="shared" si="727"/>
        <v>#REF!</v>
      </c>
      <c r="AB148" s="1735" t="e">
        <f t="shared" si="727"/>
        <v>#REF!</v>
      </c>
      <c r="AC148" s="1735" t="e">
        <f t="shared" si="727"/>
        <v>#REF!</v>
      </c>
      <c r="AD148" s="1735" t="e">
        <f t="shared" si="727"/>
        <v>#REF!</v>
      </c>
      <c r="AE148" s="1735" t="e">
        <f t="shared" si="727"/>
        <v>#REF!</v>
      </c>
      <c r="AF148" s="1735" t="e">
        <f t="shared" si="727"/>
        <v>#REF!</v>
      </c>
      <c r="AG148" s="1735" t="e">
        <f t="shared" si="727"/>
        <v>#REF!</v>
      </c>
      <c r="AH148" s="1735" t="e">
        <f t="shared" si="727"/>
        <v>#REF!</v>
      </c>
      <c r="AI148" s="1735" t="e">
        <f t="shared" si="727"/>
        <v>#REF!</v>
      </c>
      <c r="AJ148" s="1735" t="e">
        <f t="shared" si="727"/>
        <v>#REF!</v>
      </c>
      <c r="AK148" s="1735" t="e">
        <f t="shared" si="727"/>
        <v>#REF!</v>
      </c>
      <c r="AL148" s="1735" t="e">
        <f t="shared" si="727"/>
        <v>#REF!</v>
      </c>
      <c r="AM148" s="1735">
        <f t="shared" ref="AM148" si="728">+AM147/AI147-1</f>
        <v>4.2416899328438396E-2</v>
      </c>
      <c r="AN148" s="1735">
        <f t="shared" ref="AN148" si="729">+AN147/AJ147-1</f>
        <v>9.4141625950779462E-2</v>
      </c>
      <c r="AO148" s="1735">
        <f t="shared" ref="AO148" si="730">+AO147/AK147-1</f>
        <v>0.22907295099971536</v>
      </c>
      <c r="AP148" s="1735">
        <f t="shared" ref="AP148" si="731">+AP147/AL147-1</f>
        <v>-0.10891126918361016</v>
      </c>
      <c r="AQ148" s="1735">
        <f t="shared" ref="AQ148" si="732">+AQ147/AM147-1</f>
        <v>4.4300460591001123E-2</v>
      </c>
      <c r="AR148" s="1735">
        <f t="shared" ref="AR148" si="733">+AR147/AN147-1</f>
        <v>5.1211753325238085E-2</v>
      </c>
      <c r="AS148" s="1735">
        <f t="shared" ref="AS148" si="734">+AS147/AO147-1</f>
        <v>-3.6895363253735214E-2</v>
      </c>
      <c r="AT148" s="1735">
        <f t="shared" ref="AT148" si="735">+AT147/AP147-1</f>
        <v>-5.0107193729578392E-2</v>
      </c>
      <c r="AU148" s="1735">
        <f t="shared" ref="AU148" si="736">+AU147/AQ147-1</f>
        <v>-3.5855364339307805E-2</v>
      </c>
      <c r="AV148" s="1735">
        <f t="shared" ref="AV148" si="737">+AV147/AR147-1</f>
        <v>-1.4334012809672614E-2</v>
      </c>
      <c r="AW148" s="1735">
        <f t="shared" ref="AW148" si="738">+AW147/AS147-1</f>
        <v>2.9189556757089452E-2</v>
      </c>
      <c r="AX148" s="1735">
        <f t="shared" ref="AX148" si="739">+AX147/AT147-1</f>
        <v>4.3419029949642196E-2</v>
      </c>
      <c r="AY148" s="1735"/>
      <c r="AZ148" s="1735"/>
      <c r="BA148" s="72"/>
      <c r="BB148" s="1735">
        <v>-2.4224023134586048E-2</v>
      </c>
      <c r="BC148" s="2189"/>
      <c r="BD148" s="72"/>
      <c r="BJ148" s="2019"/>
      <c r="BK148" s="332"/>
      <c r="BL148" s="332"/>
      <c r="BM148" s="332"/>
      <c r="BN148" s="332"/>
      <c r="BO148" s="1034" t="e">
        <f t="shared" ref="BO148" si="740">+BO147/BN147-1</f>
        <v>#DIV/0!</v>
      </c>
      <c r="BP148" s="471">
        <f t="shared" ref="BP148" si="741">+BP147/BO147-1</f>
        <v>-1.9427089001355924E-3</v>
      </c>
      <c r="BQ148" s="471">
        <f t="shared" ref="BQ148" si="742">+BQ147/BP147-1</f>
        <v>7.7624870988106665E-3</v>
      </c>
      <c r="BR148" s="471">
        <f t="shared" ref="BR148" si="743">+BR147/BQ147-1</f>
        <v>3.9231396802169582E-2</v>
      </c>
      <c r="BS148" s="471">
        <f t="shared" ref="BS148" si="744">+BS147/BR147-1</f>
        <v>3.8942290133095137E-2</v>
      </c>
      <c r="BT148" s="471">
        <f t="shared" ref="BT148" si="745">+BT147/BS147-1</f>
        <v>3.8976236932411368E-2</v>
      </c>
      <c r="BU148" s="471">
        <f t="shared" ref="BU148" si="746">+BU147/BT147-1</f>
        <v>3.9009047599997793E-2</v>
      </c>
    </row>
    <row r="149" spans="1:73" s="325" customFormat="1" ht="15" customHeight="1">
      <c r="B149" s="1687" t="s">
        <v>306</v>
      </c>
      <c r="C149" s="1402">
        <f t="shared" ref="C149:AK149" si="747">+C158+C167+C176</f>
        <v>329.8</v>
      </c>
      <c r="D149" s="1402">
        <f t="shared" si="747"/>
        <v>431.7</v>
      </c>
      <c r="E149" s="1402">
        <f t="shared" si="747"/>
        <v>521.29999999999995</v>
      </c>
      <c r="F149" s="1402">
        <f t="shared" si="747"/>
        <v>576.29999999999995</v>
      </c>
      <c r="G149" s="1402">
        <f t="shared" si="747"/>
        <v>434.6</v>
      </c>
      <c r="H149" s="1402">
        <f t="shared" si="747"/>
        <v>519.6</v>
      </c>
      <c r="I149" s="1402">
        <f t="shared" si="747"/>
        <v>503.1</v>
      </c>
      <c r="J149" s="1402">
        <f t="shared" si="747"/>
        <v>526</v>
      </c>
      <c r="K149" s="1402">
        <f t="shared" si="747"/>
        <v>423.56922945331746</v>
      </c>
      <c r="L149" s="1402">
        <f t="shared" si="747"/>
        <v>527.56223823299797</v>
      </c>
      <c r="M149" s="1402">
        <f t="shared" si="747"/>
        <v>561.1177527618197</v>
      </c>
      <c r="N149" s="1402">
        <f t="shared" si="747"/>
        <v>595.97820497808709</v>
      </c>
      <c r="O149" s="1402">
        <f t="shared" si="747"/>
        <v>509.01988554510478</v>
      </c>
      <c r="P149" s="1402">
        <f t="shared" si="747"/>
        <v>621.05869201712403</v>
      </c>
      <c r="Q149" s="1402">
        <f t="shared" si="747"/>
        <v>517.6</v>
      </c>
      <c r="R149" s="1402">
        <f t="shared" si="747"/>
        <v>735.6</v>
      </c>
      <c r="S149" s="1402">
        <f t="shared" si="747"/>
        <v>565.4</v>
      </c>
      <c r="T149" s="1402">
        <f t="shared" si="747"/>
        <v>688.1</v>
      </c>
      <c r="U149" s="1402">
        <f t="shared" si="747"/>
        <v>675.4</v>
      </c>
      <c r="V149" s="1402">
        <f t="shared" si="747"/>
        <v>813.6</v>
      </c>
      <c r="W149" s="1402">
        <f t="shared" si="747"/>
        <v>2010.2000000000003</v>
      </c>
      <c r="X149" s="1402">
        <f t="shared" si="747"/>
        <v>1618.2336</v>
      </c>
      <c r="Y149" s="1402">
        <f t="shared" si="747"/>
        <v>2842.0000000000005</v>
      </c>
      <c r="Z149" s="1402">
        <f t="shared" si="747"/>
        <v>3016.0000000000009</v>
      </c>
      <c r="AA149" s="1402">
        <f t="shared" si="747"/>
        <v>2892.6999999999994</v>
      </c>
      <c r="AB149" s="1402">
        <f t="shared" si="747"/>
        <v>2864.1</v>
      </c>
      <c r="AC149" s="1402">
        <f t="shared" si="747"/>
        <v>3232.7863000000007</v>
      </c>
      <c r="AD149" s="1402">
        <f t="shared" si="747"/>
        <v>3211.2657000000008</v>
      </c>
      <c r="AE149" s="1402">
        <f t="shared" si="747"/>
        <v>2513.1536999999994</v>
      </c>
      <c r="AF149" s="1402">
        <f t="shared" si="747"/>
        <v>2718.5956999999999</v>
      </c>
      <c r="AG149" s="1402">
        <f t="shared" si="747"/>
        <v>3132.5801716000005</v>
      </c>
      <c r="AH149" s="1402">
        <f t="shared" si="747"/>
        <v>2598.0203997000008</v>
      </c>
      <c r="AI149" s="1402">
        <f t="shared" si="747"/>
        <v>2259.2110538999996</v>
      </c>
      <c r="AJ149" s="1402">
        <f t="shared" si="747"/>
        <v>2329.3034567999998</v>
      </c>
      <c r="AK149" s="1402">
        <f t="shared" si="747"/>
        <v>2520.3406890530005</v>
      </c>
      <c r="AL149" s="2639">
        <f>+AL158+AL167+AL176+1000</f>
        <v>2424.7009926721003</v>
      </c>
      <c r="AM149" s="1970">
        <v>1863.8036949745501</v>
      </c>
      <c r="AN149" s="820">
        <v>2351.8964855992995</v>
      </c>
      <c r="AO149" s="820">
        <v>2642.7561054136258</v>
      </c>
      <c r="AP149" s="1402">
        <f>+AP158+AP167+AP176</f>
        <v>3118.5728669448645</v>
      </c>
      <c r="AQ149" s="820">
        <v>2307.8087303996749</v>
      </c>
      <c r="AR149" s="820">
        <v>2082.8476898246463</v>
      </c>
      <c r="AS149" s="820">
        <v>1984.0532232026389</v>
      </c>
      <c r="AT149" s="820">
        <v>2420</v>
      </c>
      <c r="AU149" s="1402">
        <f t="shared" ref="AU149:AX149" si="748">+AU158+AU167+AU176</f>
        <v>1937.6058618142047</v>
      </c>
      <c r="AV149" s="1402">
        <f t="shared" si="748"/>
        <v>2036.4929943845577</v>
      </c>
      <c r="AW149" s="1402">
        <f t="shared" si="748"/>
        <v>1767.8505178722357</v>
      </c>
      <c r="AX149" s="1402">
        <f t="shared" si="748"/>
        <v>2418.2813923202284</v>
      </c>
      <c r="AY149" s="1402"/>
      <c r="AZ149" s="1402"/>
      <c r="BA149" s="72"/>
      <c r="BB149" s="1402">
        <v>2470.1319837867186</v>
      </c>
      <c r="BC149" s="2189"/>
      <c r="BD149" s="72"/>
      <c r="BJ149" s="2019"/>
      <c r="BK149" s="332"/>
      <c r="BL149" s="332"/>
      <c r="BM149" s="332"/>
      <c r="BN149" s="332"/>
      <c r="BO149" s="2458">
        <f>+SUM(AM149:AP149)</f>
        <v>9977.0291529323404</v>
      </c>
      <c r="BP149" s="1690">
        <f>+SUM(AQ149:AT149)</f>
        <v>8794.7096434269588</v>
      </c>
      <c r="BQ149" s="1690">
        <f>+SUM(AU149:AX149)</f>
        <v>8160.230766391227</v>
      </c>
      <c r="BR149" s="2213">
        <f t="shared" ref="BR149:BU149" si="749">+BR158+BR167+BR176</f>
        <v>8600.231676419322</v>
      </c>
      <c r="BS149" s="2213">
        <f t="shared" si="749"/>
        <v>8930.565175774409</v>
      </c>
      <c r="BT149" s="2213">
        <f t="shared" si="749"/>
        <v>9265.3040822505936</v>
      </c>
      <c r="BU149" s="2213">
        <f t="shared" si="749"/>
        <v>9544.6599485731367</v>
      </c>
    </row>
    <row r="150" spans="1:73" s="325" customFormat="1" ht="15" customHeight="1">
      <c r="B150" s="1737" t="s">
        <v>108</v>
      </c>
      <c r="C150" s="471"/>
      <c r="D150" s="471"/>
      <c r="E150" s="471"/>
      <c r="F150" s="471"/>
      <c r="G150" s="471"/>
      <c r="H150" s="471"/>
      <c r="I150" s="471"/>
      <c r="J150" s="471"/>
      <c r="K150" s="471"/>
      <c r="L150" s="471"/>
      <c r="M150" s="471"/>
      <c r="N150" s="471"/>
      <c r="O150" s="471"/>
      <c r="P150" s="471"/>
      <c r="Q150" s="471"/>
      <c r="R150" s="471"/>
      <c r="S150" s="1034"/>
      <c r="T150" s="471"/>
      <c r="U150" s="471"/>
      <c r="V150" s="471"/>
      <c r="W150" s="1818"/>
      <c r="X150" s="338"/>
      <c r="Y150" s="338"/>
      <c r="Z150" s="471"/>
      <c r="AA150" s="471"/>
      <c r="AB150" s="471"/>
      <c r="AC150" s="471"/>
      <c r="AD150" s="471"/>
      <c r="AE150" s="471"/>
      <c r="AF150" s="471"/>
      <c r="AG150" s="471"/>
      <c r="AH150" s="471"/>
      <c r="AI150" s="1735">
        <f t="shared" ref="AI150:AM150" si="750">+AI149/AE149-1</f>
        <v>-0.10104541003600376</v>
      </c>
      <c r="AJ150" s="1735">
        <f t="shared" si="750"/>
        <v>-0.14319607847536875</v>
      </c>
      <c r="AK150" s="1735">
        <f t="shared" si="750"/>
        <v>-0.19544255821369505</v>
      </c>
      <c r="AL150" s="1735">
        <f t="shared" si="750"/>
        <v>-6.6712103972668579E-2</v>
      </c>
      <c r="AM150" s="1735">
        <f t="shared" si="750"/>
        <v>-0.17502010635211396</v>
      </c>
      <c r="AN150" s="1735">
        <f t="shared" ref="AN150" si="751">+AN149/AJ149-1</f>
        <v>9.6994785000397155E-3</v>
      </c>
      <c r="AO150" s="1735">
        <f t="shared" ref="AO150" si="752">+AO149/AK149-1</f>
        <v>4.8570979666491931E-2</v>
      </c>
      <c r="AP150" s="1735">
        <f t="shared" ref="AP150" si="753">+AP149/AL149-1</f>
        <v>0.28616801674506465</v>
      </c>
      <c r="AQ150" s="1735">
        <f t="shared" ref="AQ150" si="754">+AQ149/AM149-1</f>
        <v>0.23822521471671809</v>
      </c>
      <c r="AR150" s="1735">
        <f t="shared" ref="AR150" si="755">+AR149/AN149-1</f>
        <v>-0.11439652953352464</v>
      </c>
      <c r="AS150" s="1735">
        <f t="shared" ref="AS150" si="756">+AS149/AO149-1</f>
        <v>-0.24924845726839828</v>
      </c>
      <c r="AT150" s="1735">
        <f t="shared" ref="AT150" si="757">+AT149/AP149-1</f>
        <v>-0.22400402259294561</v>
      </c>
      <c r="AU150" s="1735">
        <f t="shared" ref="AU150" si="758">+AU149/AQ149-1</f>
        <v>-0.16041315023596303</v>
      </c>
      <c r="AV150" s="1735">
        <f t="shared" ref="AV150" si="759">+AV149/AR149-1</f>
        <v>-2.22554417524361E-2</v>
      </c>
      <c r="AW150" s="1735">
        <f t="shared" ref="AW150" si="760">+AW149/AS149-1</f>
        <v>-0.10897021450937239</v>
      </c>
      <c r="AX150" s="1735">
        <f t="shared" ref="AX150" si="761">+AX149/AT149-1</f>
        <v>-7.1016846271554357E-4</v>
      </c>
      <c r="AY150" s="1735"/>
      <c r="AZ150" s="1735"/>
      <c r="BA150" s="72"/>
      <c r="BB150" s="1735">
        <v>-0.20792872599875989</v>
      </c>
      <c r="BC150" s="2189"/>
      <c r="BD150" s="72"/>
      <c r="BE150" s="337"/>
      <c r="BF150" s="337"/>
      <c r="BG150" s="337"/>
      <c r="BH150" s="337"/>
      <c r="BI150" s="337"/>
      <c r="BJ150" s="2022"/>
      <c r="BK150" s="337"/>
      <c r="BL150" s="337"/>
      <c r="BM150" s="337"/>
      <c r="BN150" s="337"/>
      <c r="BO150" s="1034" t="e">
        <f t="shared" ref="BO150" si="762">+BO149/BN149-1</f>
        <v>#DIV/0!</v>
      </c>
      <c r="BP150" s="471">
        <f t="shared" ref="BP150" si="763">+BP149/BO149-1</f>
        <v>-0.11850416505577588</v>
      </c>
      <c r="BQ150" s="471">
        <f>+BQ149/BP149-1</f>
        <v>-7.2143243240546551E-2</v>
      </c>
      <c r="BR150" s="471">
        <f t="shared" ref="BR150" si="764">+BR149/BQ149-1</f>
        <v>5.3920155277995985E-2</v>
      </c>
      <c r="BS150" s="471">
        <f t="shared" ref="BS150" si="765">+BS149/BR149-1</f>
        <v>3.8409837290874105E-2</v>
      </c>
      <c r="BT150" s="471">
        <f t="shared" ref="BT150" si="766">+BT149/BS149-1</f>
        <v>3.748238771989687E-2</v>
      </c>
      <c r="BU150" s="471">
        <f t="shared" ref="BU150" si="767">+BU149/BT149-1</f>
        <v>3.0150749920631492E-2</v>
      </c>
    </row>
    <row r="151" spans="1:73" s="325" customFormat="1" ht="15" customHeight="1">
      <c r="B151" s="1737"/>
      <c r="C151" s="471"/>
      <c r="D151" s="471"/>
      <c r="E151" s="471"/>
      <c r="F151" s="471"/>
      <c r="G151" s="471"/>
      <c r="H151" s="471"/>
      <c r="I151" s="471"/>
      <c r="J151" s="471"/>
      <c r="K151" s="471"/>
      <c r="L151" s="471"/>
      <c r="M151" s="471"/>
      <c r="N151" s="471"/>
      <c r="O151" s="471"/>
      <c r="P151" s="471"/>
      <c r="Q151" s="471"/>
      <c r="R151" s="471"/>
      <c r="S151" s="1034"/>
      <c r="T151" s="471"/>
      <c r="U151" s="471"/>
      <c r="V151" s="471"/>
      <c r="W151" s="1818"/>
      <c r="X151" s="338"/>
      <c r="Y151" s="338"/>
      <c r="Z151" s="471"/>
      <c r="AA151" s="471"/>
      <c r="AB151" s="471"/>
      <c r="AC151" s="471"/>
      <c r="AD151" s="471"/>
      <c r="AE151" s="471"/>
      <c r="AF151" s="471"/>
      <c r="AG151" s="471"/>
      <c r="AH151" s="471"/>
      <c r="AI151" s="471"/>
      <c r="AJ151" s="471"/>
      <c r="AK151" s="471"/>
      <c r="AL151" s="471"/>
      <c r="AM151" s="1034"/>
      <c r="AN151" s="471"/>
      <c r="AO151" s="471"/>
      <c r="AP151" s="471"/>
      <c r="AQ151" s="471"/>
      <c r="AR151" s="338"/>
      <c r="AS151" s="338"/>
      <c r="AT151" s="338"/>
      <c r="AU151" s="338"/>
      <c r="AV151" s="338"/>
      <c r="AW151" s="338"/>
      <c r="AX151" s="338"/>
      <c r="AY151" s="338"/>
      <c r="AZ151" s="338"/>
      <c r="BA151" s="72"/>
      <c r="BB151" s="338"/>
      <c r="BC151" s="2189"/>
      <c r="BD151" s="72"/>
      <c r="BE151" s="337"/>
      <c r="BF151" s="337"/>
      <c r="BG151" s="337"/>
      <c r="BH151" s="337"/>
      <c r="BI151" s="337"/>
      <c r="BJ151" s="2022"/>
      <c r="BK151" s="337"/>
      <c r="BL151" s="337"/>
      <c r="BM151" s="337"/>
      <c r="BN151" s="337"/>
      <c r="BO151" s="1966"/>
      <c r="BP151" s="337"/>
      <c r="BQ151" s="337"/>
      <c r="BR151" s="338"/>
      <c r="BS151" s="338"/>
      <c r="BT151" s="338"/>
      <c r="BU151" s="338"/>
    </row>
    <row r="152" spans="1:73" s="484" customFormat="1" ht="15" customHeight="1">
      <c r="A152" s="483"/>
      <c r="B152" s="1740" t="s">
        <v>304</v>
      </c>
      <c r="C152" s="1742">
        <f t="shared" ref="C152:AB152" si="768">+C156+C158</f>
        <v>1572.7</v>
      </c>
      <c r="D152" s="1742">
        <f t="shared" si="768"/>
        <v>1840.6000000000001</v>
      </c>
      <c r="E152" s="1742">
        <f t="shared" si="768"/>
        <v>1883.3999999999999</v>
      </c>
      <c r="F152" s="1742">
        <f t="shared" si="768"/>
        <v>2156.1</v>
      </c>
      <c r="G152" s="1742">
        <f t="shared" si="768"/>
        <v>1556.3000000000002</v>
      </c>
      <c r="H152" s="1742">
        <f t="shared" si="768"/>
        <v>1895.8000000000002</v>
      </c>
      <c r="I152" s="1742">
        <f t="shared" si="768"/>
        <v>1768.6</v>
      </c>
      <c r="J152" s="1742">
        <f t="shared" si="768"/>
        <v>2097.6999999999998</v>
      </c>
      <c r="K152" s="1742">
        <f t="shared" si="768"/>
        <v>1582.5267118532765</v>
      </c>
      <c r="L152" s="1742">
        <f t="shared" si="768"/>
        <v>1872.3367225787213</v>
      </c>
      <c r="M152" s="1742">
        <f t="shared" si="768"/>
        <v>1958.6883742242915</v>
      </c>
      <c r="N152" s="1742">
        <f t="shared" si="768"/>
        <v>2269.5465220814367</v>
      </c>
      <c r="O152" s="1742">
        <f t="shared" si="768"/>
        <v>1677.3965391978118</v>
      </c>
      <c r="P152" s="1742">
        <f t="shared" si="768"/>
        <v>2055.7498051281364</v>
      </c>
      <c r="Q152" s="1742">
        <f t="shared" si="768"/>
        <v>2046.6</v>
      </c>
      <c r="R152" s="1742">
        <f t="shared" si="768"/>
        <v>2625.7</v>
      </c>
      <c r="S152" s="1819">
        <f t="shared" si="768"/>
        <v>1754</v>
      </c>
      <c r="T152" s="1742">
        <f t="shared" si="768"/>
        <v>2249.6999999999998</v>
      </c>
      <c r="U152" s="1742">
        <f t="shared" si="768"/>
        <v>2240.1</v>
      </c>
      <c r="V152" s="1742">
        <f t="shared" si="768"/>
        <v>2759.6</v>
      </c>
      <c r="W152" s="1819">
        <f t="shared" si="768"/>
        <v>2016.6</v>
      </c>
      <c r="X152" s="1742">
        <f t="shared" si="768"/>
        <v>2348.2947999999997</v>
      </c>
      <c r="Y152" s="1742">
        <f t="shared" si="768"/>
        <v>3161.5</v>
      </c>
      <c r="Z152" s="1742">
        <f t="shared" si="768"/>
        <v>3437.7</v>
      </c>
      <c r="AA152" s="1742">
        <f t="shared" si="768"/>
        <v>2610.6000000000004</v>
      </c>
      <c r="AB152" s="1742">
        <f t="shared" si="768"/>
        <v>2933.7</v>
      </c>
      <c r="AC152" s="1742">
        <f>+AC156+AC158</f>
        <v>3010.2084</v>
      </c>
      <c r="AD152" s="1742">
        <f t="shared" ref="AD152:AG152" si="769">+AD156+AD158</f>
        <v>3556.2888000000003</v>
      </c>
      <c r="AE152" s="1742">
        <f t="shared" si="769"/>
        <v>2556.9023999999999</v>
      </c>
      <c r="AF152" s="1742">
        <f t="shared" si="769"/>
        <v>3292.0151000000001</v>
      </c>
      <c r="AG152" s="1742">
        <f t="shared" si="769"/>
        <v>3343.2975151999999</v>
      </c>
      <c r="AH152" s="1742">
        <f t="shared" ref="AH152:AN152" si="770">+AH156+AH158</f>
        <v>3667.6087631999999</v>
      </c>
      <c r="AI152" s="1742">
        <f t="shared" ref="AI152" si="771">+AI156+AI158</f>
        <v>3003.9923082</v>
      </c>
      <c r="AJ152" s="1742">
        <f t="shared" si="770"/>
        <v>3691.1904717000002</v>
      </c>
      <c r="AK152" s="1742">
        <f t="shared" si="770"/>
        <v>3522.9235323978</v>
      </c>
      <c r="AL152" s="1742">
        <f t="shared" si="770"/>
        <v>3557.8077354576003</v>
      </c>
      <c r="AM152" s="1819">
        <f t="shared" si="770"/>
        <v>3229.139749180782</v>
      </c>
      <c r="AN152" s="1742">
        <f t="shared" si="770"/>
        <v>4212.7485451494995</v>
      </c>
      <c r="AO152" s="1742">
        <f t="shared" ref="AO152:AP152" si="772">+AO156+AO158</f>
        <v>4252.5248189884769</v>
      </c>
      <c r="AP152" s="1742">
        <f t="shared" si="772"/>
        <v>5301.9383230753356</v>
      </c>
      <c r="AQ152" s="1742">
        <f>+AQ156+AQ158</f>
        <v>3815.3066562773201</v>
      </c>
      <c r="AR152" s="1742">
        <f t="shared" ref="AR152:AT152" si="773">+AR156+AR158</f>
        <v>4459.449251407088</v>
      </c>
      <c r="AS152" s="1742">
        <f t="shared" si="773"/>
        <v>4054.1506693982874</v>
      </c>
      <c r="AT152" s="1742">
        <f t="shared" si="773"/>
        <v>4983</v>
      </c>
      <c r="AU152" s="1743">
        <f t="shared" ref="AU152:AX152" si="774">+AU156+AU158</f>
        <v>3667.600371004999</v>
      </c>
      <c r="AV152" s="1743">
        <f t="shared" si="774"/>
        <v>4493.6929537204105</v>
      </c>
      <c r="AW152" s="1743">
        <f t="shared" si="774"/>
        <v>4061.2643892053179</v>
      </c>
      <c r="AX152" s="1743">
        <f t="shared" si="774"/>
        <v>5188.9452291392272</v>
      </c>
      <c r="AY152" s="1743"/>
      <c r="AZ152" s="1743"/>
      <c r="BA152" s="100"/>
      <c r="BB152" s="1743">
        <v>5024.8761796424096</v>
      </c>
      <c r="BC152" s="2194">
        <f>+AT152/BB152-1</f>
        <v>-8.3337734394461904E-3</v>
      </c>
      <c r="BD152" s="100"/>
      <c r="BE152" s="1742">
        <f t="shared" ref="BE152:BU152" si="775">+BE156+BE158</f>
        <v>7452.7999999999993</v>
      </c>
      <c r="BF152" s="1742">
        <f>+BF156+BF158</f>
        <v>7318.4000000000005</v>
      </c>
      <c r="BG152" s="1742">
        <f t="shared" si="775"/>
        <v>7683.0983307377255</v>
      </c>
      <c r="BH152" s="1742">
        <f t="shared" si="775"/>
        <v>8405.4463443259483</v>
      </c>
      <c r="BI152" s="1742">
        <f t="shared" ref="BI152" si="776">+BI156+BI158</f>
        <v>9003.4</v>
      </c>
      <c r="BJ152" s="2023">
        <f t="shared" si="775"/>
        <v>9003.4</v>
      </c>
      <c r="BK152" s="1742">
        <f t="shared" si="775"/>
        <v>10964.094799999999</v>
      </c>
      <c r="BL152" s="1742">
        <f t="shared" si="775"/>
        <v>12110.797200000001</v>
      </c>
      <c r="BM152" s="1742">
        <f t="shared" si="775"/>
        <v>12859.823778399999</v>
      </c>
      <c r="BN152" s="1742">
        <f t="shared" si="775"/>
        <v>13775.914047755403</v>
      </c>
      <c r="BO152" s="1819">
        <f t="shared" si="775"/>
        <v>16996.351436394092</v>
      </c>
      <c r="BP152" s="1742">
        <f t="shared" ref="BP152:BQ152" si="777">+BP156+BP158</f>
        <v>17311.906577082696</v>
      </c>
      <c r="BQ152" s="1742">
        <f t="shared" si="777"/>
        <v>17411.502943069958</v>
      </c>
      <c r="BR152" s="1744">
        <f t="shared" si="775"/>
        <v>18210.350296312496</v>
      </c>
      <c r="BS152" s="1744">
        <f t="shared" si="775"/>
        <v>18938.069062271439</v>
      </c>
      <c r="BT152" s="1744">
        <f t="shared" si="775"/>
        <v>19687.956394625173</v>
      </c>
      <c r="BU152" s="1744">
        <f t="shared" si="775"/>
        <v>20412.237660597286</v>
      </c>
    </row>
    <row r="153" spans="1:73" s="1575" customFormat="1" ht="15" customHeight="1">
      <c r="A153" s="1683"/>
      <c r="B153" s="1286" t="s">
        <v>140</v>
      </c>
      <c r="C153" s="1684"/>
      <c r="D153" s="1684"/>
      <c r="E153" s="1684"/>
      <c r="F153" s="1684"/>
      <c r="G153" s="1684"/>
      <c r="H153" s="1684"/>
      <c r="I153" s="1684"/>
      <c r="J153" s="1684"/>
      <c r="K153" s="1684"/>
      <c r="L153" s="1684"/>
      <c r="M153" s="1684"/>
      <c r="N153" s="1684"/>
      <c r="O153" s="1684"/>
      <c r="P153" s="1684"/>
      <c r="Q153" s="1684"/>
      <c r="R153" s="1684"/>
      <c r="S153" s="1961"/>
      <c r="T153" s="1684"/>
      <c r="U153" s="1684"/>
      <c r="V153" s="1684"/>
      <c r="W153" s="1820">
        <f t="shared" ref="W153" si="778">+W152/W$144</f>
        <v>0.48449174735122402</v>
      </c>
      <c r="X153" s="1685">
        <f t="shared" ref="X153" si="779">+X152/X$144</f>
        <v>0.59066197147672106</v>
      </c>
      <c r="Y153" s="1685">
        <f t="shared" ref="Y153" si="780">+Y152/Y$144</f>
        <v>0.51967584982576098</v>
      </c>
      <c r="Z153" s="1685">
        <f t="shared" ref="Z153" si="781">+Z152/Z$144</f>
        <v>0.5438882384583742</v>
      </c>
      <c r="AA153" s="1685">
        <f t="shared" ref="AA153" si="782">+AA152/AA$144</f>
        <v>0.50340345938024267</v>
      </c>
      <c r="AB153" s="1685">
        <f t="shared" ref="AB153" si="783">+AB152/AB$144</f>
        <v>0.53015161645915032</v>
      </c>
      <c r="AC153" s="1685">
        <f t="shared" ref="AC153" si="784">+AC152/AC$144</f>
        <v>0.54223334233990816</v>
      </c>
      <c r="AD153" s="1685">
        <f t="shared" ref="AD153" si="785">+AD152/AD$144</f>
        <v>0.57898324731778006</v>
      </c>
      <c r="AE153" s="1685">
        <f t="shared" ref="AE153" si="786">+AE152/AE$144</f>
        <v>0.53812530779753764</v>
      </c>
      <c r="AF153" s="1685">
        <f t="shared" ref="AF153" si="787">+AF152/AF$144</f>
        <v>0.59262198019801982</v>
      </c>
      <c r="AG153" s="1685">
        <f t="shared" ref="AG153" si="788">+AG152/AG$144</f>
        <v>0.57867546779749024</v>
      </c>
      <c r="AH153" s="1685">
        <f t="shared" ref="AH153:AI153" si="789">+AH152/AH$144</f>
        <v>0.61711010284022072</v>
      </c>
      <c r="AI153" s="1685">
        <f t="shared" si="789"/>
        <v>0.61763519711330883</v>
      </c>
      <c r="AJ153" s="1685">
        <f t="shared" ref="AJ153" si="790">+AJ152/AJ$144</f>
        <v>0.67567902737526186</v>
      </c>
      <c r="AK153" s="1685">
        <f t="shared" ref="AK153" si="791">+AK152/AK$144</f>
        <v>0.67333727808301713</v>
      </c>
      <c r="AL153" s="1685">
        <f t="shared" ref="AL153" si="792">+AL152/AL$144</f>
        <v>0.6048430409468567</v>
      </c>
      <c r="AM153" s="1820">
        <f t="shared" ref="AM153" si="793">+AM152/AM$144</f>
        <v>0.68637923504246523</v>
      </c>
      <c r="AN153" s="1685">
        <f t="shared" ref="AN153:AO153" si="794">+AN152/AN$144</f>
        <v>0.71131945597865265</v>
      </c>
      <c r="AO153" s="1685">
        <f t="shared" si="794"/>
        <v>0.71164470539662439</v>
      </c>
      <c r="AP153" s="1685">
        <f t="shared" ref="AP153:AT153" si="795">+AP152/AP$144</f>
        <v>0.74774184456538728</v>
      </c>
      <c r="AQ153" s="1685">
        <f t="shared" si="795"/>
        <v>0.74183792013483008</v>
      </c>
      <c r="AR153" s="1685">
        <f t="shared" si="795"/>
        <v>0.78409277550499146</v>
      </c>
      <c r="AS153" s="1685">
        <f t="shared" si="795"/>
        <v>0.78054498833236186</v>
      </c>
      <c r="AT153" s="1685">
        <f t="shared" si="795"/>
        <v>0.80461811722912968</v>
      </c>
      <c r="AU153" s="1685">
        <f t="shared" ref="AU153:AX153" si="796">+AU152/AU$144</f>
        <v>0.78515420015512161</v>
      </c>
      <c r="AV153" s="1685">
        <f t="shared" si="796"/>
        <v>0.80399607764208636</v>
      </c>
      <c r="AW153" s="1685">
        <f t="shared" si="796"/>
        <v>0.80080969003163205</v>
      </c>
      <c r="AX153" s="1685">
        <f t="shared" si="796"/>
        <v>0.81650077769172436</v>
      </c>
      <c r="AY153" s="1685"/>
      <c r="AZ153" s="1685"/>
      <c r="BA153" s="1677"/>
      <c r="BB153" s="1685">
        <v>0.79182527302936956</v>
      </c>
      <c r="BC153" s="2195"/>
      <c r="BD153" s="1677"/>
      <c r="BE153" s="1685">
        <f t="shared" ref="BE153:BH153" si="797">+BE152/BE$144</f>
        <v>1</v>
      </c>
      <c r="BF153" s="1685">
        <f t="shared" si="797"/>
        <v>1</v>
      </c>
      <c r="BG153" s="1685">
        <f t="shared" si="797"/>
        <v>1</v>
      </c>
      <c r="BH153" s="1685">
        <f t="shared" si="797"/>
        <v>1</v>
      </c>
      <c r="BI153" s="1685">
        <f t="shared" ref="BI153" si="798">+BI152/BI$144</f>
        <v>1</v>
      </c>
      <c r="BJ153" s="2024">
        <f t="shared" ref="BJ153:BO153" si="799">+BJ152/BJ$144</f>
        <v>0.47967224119467877</v>
      </c>
      <c r="BK153" s="1685">
        <f t="shared" si="799"/>
        <v>0.53373517928946257</v>
      </c>
      <c r="BL153" s="1685">
        <f t="shared" si="799"/>
        <v>0.54033735176278486</v>
      </c>
      <c r="BM153" s="1685">
        <f t="shared" si="799"/>
        <v>0.58381563604997455</v>
      </c>
      <c r="BN153" s="1685">
        <f t="shared" si="799"/>
        <v>0.6425072685629919</v>
      </c>
      <c r="BO153" s="1820">
        <f t="shared" si="799"/>
        <v>0.71734928578004997</v>
      </c>
      <c r="BP153" s="1685">
        <f t="shared" ref="BP153:BQ153" si="800">+BP152/BP$144</f>
        <v>0.77920326499900883</v>
      </c>
      <c r="BQ153" s="1685">
        <f t="shared" si="800"/>
        <v>0.80285691910846857</v>
      </c>
      <c r="BR153" s="1685">
        <f>+BR152/BR$144</f>
        <v>0.80371916406536592</v>
      </c>
      <c r="BS153" s="1685">
        <f>+BS152/BS$144</f>
        <v>0.80466439809358048</v>
      </c>
      <c r="BT153" s="1685">
        <f>+BT152/BT$144</f>
        <v>0.80558453852529066</v>
      </c>
      <c r="BU153" s="1685">
        <f>+BU152/BU$144</f>
        <v>0.8064691886217582</v>
      </c>
    </row>
    <row r="154" spans="1:73" s="1734" customFormat="1">
      <c r="A154" s="1733"/>
      <c r="B154" s="1734" t="s">
        <v>108</v>
      </c>
      <c r="S154" s="1821">
        <f t="shared" ref="S154" si="801">+S152/O152-1</f>
        <v>4.5668068946191243E-2</v>
      </c>
      <c r="T154" s="1735">
        <f t="shared" ref="T154" si="802">+T152/P152-1</f>
        <v>9.4345233251657445E-2</v>
      </c>
      <c r="U154" s="1735">
        <f t="shared" ref="U154" si="803">+U152/Q152-1</f>
        <v>9.454705364995597E-2</v>
      </c>
      <c r="V154" s="1735">
        <f t="shared" ref="V154" si="804">+V152/R152-1</f>
        <v>5.0995924896218181E-2</v>
      </c>
      <c r="W154" s="1821">
        <f t="shared" ref="W154" si="805">+W152/S152-1</f>
        <v>0.149714937286203</v>
      </c>
      <c r="X154" s="1735">
        <f t="shared" ref="X154" si="806">+X152/T152-1</f>
        <v>4.3825754545050444E-2</v>
      </c>
      <c r="Y154" s="1735">
        <f t="shared" ref="Y154" si="807">+Y152/U152-1</f>
        <v>0.41132092317307278</v>
      </c>
      <c r="Z154" s="1735">
        <f t="shared" ref="Z154" si="808">+Z152/V152-1</f>
        <v>0.24572401797361931</v>
      </c>
      <c r="AA154" s="1735">
        <f t="shared" ref="AA154" si="809">+AA152/W152-1</f>
        <v>0.29455519190717072</v>
      </c>
      <c r="AB154" s="1735">
        <f t="shared" ref="AB154" si="810">+AB152/X152-1</f>
        <v>0.2492894844378144</v>
      </c>
      <c r="AC154" s="1738">
        <f t="shared" ref="AC154" si="811">+AC152/Y152-1</f>
        <v>-4.7854372924244881E-2</v>
      </c>
      <c r="AD154" s="1738">
        <f t="shared" ref="AD154" si="812">+AD152/Z152-1</f>
        <v>3.4496552927829827E-2</v>
      </c>
      <c r="AE154" s="1738">
        <f t="shared" ref="AE154" si="813">+AE152/AA152-1</f>
        <v>-2.0569064582854679E-2</v>
      </c>
      <c r="AF154" s="1738">
        <f t="shared" ref="AF154" si="814">+AF152/AB152-1</f>
        <v>0.12213760779902527</v>
      </c>
      <c r="AG154" s="1738">
        <f t="shared" ref="AG154:AK154" si="815">+AG152/AC152-1</f>
        <v>0.11065317444466638</v>
      </c>
      <c r="AH154" s="1738">
        <f t="shared" si="815"/>
        <v>3.1302284336412578E-2</v>
      </c>
      <c r="AI154" s="1738">
        <f t="shared" si="815"/>
        <v>0.17485607123682168</v>
      </c>
      <c r="AJ154" s="1738">
        <f t="shared" si="815"/>
        <v>0.12125563205952483</v>
      </c>
      <c r="AK154" s="1738">
        <f t="shared" si="815"/>
        <v>5.3727200879116088E-2</v>
      </c>
      <c r="AL154" s="1738">
        <f t="shared" ref="AL154" si="816">+AL152/AH152-1</f>
        <v>-2.9938042695316747E-2</v>
      </c>
      <c r="AM154" s="2398">
        <f t="shared" ref="AM154" si="817">+AM152/AI152-1</f>
        <v>7.4949406616720227E-2</v>
      </c>
      <c r="AN154" s="1738">
        <f t="shared" ref="AN154:AO154" si="818">+AN152/AJ152-1</f>
        <v>0.14129806561006109</v>
      </c>
      <c r="AO154" s="1738">
        <f t="shared" si="818"/>
        <v>0.20710108518707759</v>
      </c>
      <c r="AP154" s="1738">
        <f t="shared" ref="AP154" si="819">+AP152/AL152-1</f>
        <v>0.4902262059401048</v>
      </c>
      <c r="AQ154" s="1738">
        <f t="shared" ref="AQ154" si="820">+AQ152/AM152-1</f>
        <v>0.18152416823869144</v>
      </c>
      <c r="AR154" s="1738">
        <f t="shared" ref="AR154" si="821">+AR152/AN152-1</f>
        <v>5.8560510700700785E-2</v>
      </c>
      <c r="AS154" s="1735">
        <f t="shared" ref="AS154" si="822">+AS152/AO152-1</f>
        <v>-4.6648557747248076E-2</v>
      </c>
      <c r="AT154" s="1735">
        <f t="shared" ref="AT154" si="823">+AT152/AP152-1</f>
        <v>-6.0155042107381318E-2</v>
      </c>
      <c r="AU154" s="1735">
        <f t="shared" ref="AU154" si="824">+AU152/AQ152-1</f>
        <v>-3.871413193728479E-2</v>
      </c>
      <c r="AV154" s="1735">
        <f t="shared" ref="AV154" si="825">+AV152/AR152-1</f>
        <v>7.6789083993988871E-3</v>
      </c>
      <c r="AW154" s="1735">
        <f t="shared" ref="AW154" si="826">+AW152/AS152-1</f>
        <v>1.7546757353461562E-3</v>
      </c>
      <c r="AX154" s="1735">
        <f t="shared" ref="AX154" si="827">+AX152/AT152-1</f>
        <v>4.13295663534472E-2</v>
      </c>
      <c r="AY154" s="1735"/>
      <c r="AZ154" s="1735"/>
      <c r="BA154" s="1736"/>
      <c r="BB154" s="1735">
        <v>-5.2256764705670644E-2</v>
      </c>
      <c r="BC154" s="2196"/>
      <c r="BD154" s="2265"/>
      <c r="BJ154" s="2025"/>
      <c r="BK154" s="1735">
        <f t="shared" ref="BK154:BQ154" si="828">+BK152/BJ152-1</f>
        <v>0.2177727080880556</v>
      </c>
      <c r="BL154" s="1735">
        <f t="shared" si="828"/>
        <v>0.10458705628849563</v>
      </c>
      <c r="BM154" s="1735">
        <f t="shared" si="828"/>
        <v>6.1847834294508575E-2</v>
      </c>
      <c r="BN154" s="1735">
        <f t="shared" si="828"/>
        <v>7.123661141407811E-2</v>
      </c>
      <c r="BO154" s="1821">
        <f t="shared" si="828"/>
        <v>0.23377304601892579</v>
      </c>
      <c r="BP154" s="1735">
        <f t="shared" si="828"/>
        <v>1.8566051771141234E-2</v>
      </c>
      <c r="BQ154" s="1735">
        <f t="shared" si="828"/>
        <v>5.7530558834637535E-3</v>
      </c>
      <c r="BR154" s="1735">
        <f t="shared" ref="BR154:BU154" si="829">+BR152/BQ152-1</f>
        <v>4.5880436390500767E-2</v>
      </c>
      <c r="BS154" s="1735">
        <f t="shared" si="829"/>
        <v>3.9961821388263097E-2</v>
      </c>
      <c r="BT154" s="1735">
        <f t="shared" si="829"/>
        <v>3.9596821084978862E-2</v>
      </c>
      <c r="BU154" s="1735">
        <f t="shared" si="829"/>
        <v>3.6788036881768127E-2</v>
      </c>
    </row>
    <row r="155" spans="1:73" s="1734" customFormat="1">
      <c r="A155" s="1733"/>
      <c r="S155" s="1821"/>
      <c r="T155" s="1735"/>
      <c r="U155" s="1735"/>
      <c r="V155" s="1735"/>
      <c r="W155" s="1821"/>
      <c r="X155" s="1735"/>
      <c r="Y155" s="1735"/>
      <c r="Z155" s="1735"/>
      <c r="AA155" s="1735"/>
      <c r="AB155" s="1735"/>
      <c r="AC155" s="1735"/>
      <c r="AD155" s="1735"/>
      <c r="AE155" s="1735"/>
      <c r="AF155" s="1735"/>
      <c r="AG155" s="1735"/>
      <c r="AH155" s="1735"/>
      <c r="AI155" s="1735"/>
      <c r="AJ155" s="1735"/>
      <c r="AK155" s="1735"/>
      <c r="AL155" s="1735"/>
      <c r="AM155" s="1821"/>
      <c r="AN155" s="1735"/>
      <c r="AO155" s="1735"/>
      <c r="AP155" s="1735"/>
      <c r="AQ155" s="1735"/>
      <c r="AR155" s="1735"/>
      <c r="AS155" s="1735"/>
      <c r="AT155" s="1735"/>
      <c r="AU155" s="1735"/>
      <c r="AV155" s="1735"/>
      <c r="AW155" s="1735"/>
      <c r="AX155" s="1735"/>
      <c r="AY155" s="1735"/>
      <c r="AZ155" s="1735"/>
      <c r="BA155" s="1736"/>
      <c r="BB155" s="1735"/>
      <c r="BC155" s="2196"/>
      <c r="BD155" s="2265"/>
      <c r="BJ155" s="2025"/>
      <c r="BK155" s="1735"/>
      <c r="BL155" s="1735"/>
      <c r="BM155" s="1735"/>
      <c r="BN155" s="1735"/>
      <c r="BO155" s="1821"/>
      <c r="BP155" s="1735"/>
      <c r="BQ155" s="1735"/>
      <c r="BR155" s="1735"/>
      <c r="BS155" s="1735"/>
      <c r="BT155" s="1735"/>
      <c r="BU155" s="1735"/>
    </row>
    <row r="156" spans="1:73" s="1691" customFormat="1" ht="15" customHeight="1">
      <c r="A156" s="1686"/>
      <c r="B156" s="1687" t="s">
        <v>305</v>
      </c>
      <c r="C156" s="1688">
        <v>1242.9000000000001</v>
      </c>
      <c r="D156" s="1688">
        <v>1408.9</v>
      </c>
      <c r="E156" s="1688">
        <v>1362.1</v>
      </c>
      <c r="F156" s="1688">
        <v>1579.8</v>
      </c>
      <c r="G156" s="1688">
        <v>1121.7</v>
      </c>
      <c r="H156" s="1688">
        <v>1376.2</v>
      </c>
      <c r="I156" s="1688">
        <v>1265.5</v>
      </c>
      <c r="J156" s="1688">
        <v>1571.7</v>
      </c>
      <c r="K156" s="1688">
        <v>1158.9574823999592</v>
      </c>
      <c r="L156" s="1688">
        <v>1344.7744843457233</v>
      </c>
      <c r="M156" s="1688">
        <v>1397.5706214624718</v>
      </c>
      <c r="N156" s="1688">
        <v>1673.5683171033495</v>
      </c>
      <c r="O156" s="1688">
        <v>1168.3766536527069</v>
      </c>
      <c r="P156" s="1688">
        <v>1434.6911131110121</v>
      </c>
      <c r="Q156" s="1688">
        <v>1529</v>
      </c>
      <c r="R156" s="1688">
        <v>1890.1</v>
      </c>
      <c r="S156" s="1822">
        <v>1188.5999999999999</v>
      </c>
      <c r="T156" s="1688">
        <v>1561.6</v>
      </c>
      <c r="U156" s="1688">
        <v>1564.7</v>
      </c>
      <c r="V156" s="1688">
        <v>1946</v>
      </c>
      <c r="W156" s="1822">
        <v>1305.3</v>
      </c>
      <c r="X156" s="1688">
        <v>1684.9663999999998</v>
      </c>
      <c r="Y156" s="1688">
        <v>2042.6</v>
      </c>
      <c r="Z156" s="1688">
        <v>2262</v>
      </c>
      <c r="AA156" s="1688">
        <v>1469.7</v>
      </c>
      <c r="AB156" s="1688">
        <v>1820.9</v>
      </c>
      <c r="AC156" s="1692">
        <f t="shared" ref="AC156:AP158" si="830">+Y156*(1+AC157)</f>
        <v>1705.5709999999999</v>
      </c>
      <c r="AD156" s="1692">
        <f t="shared" si="830"/>
        <v>2117.232</v>
      </c>
      <c r="AE156" s="1692">
        <f t="shared" si="830"/>
        <v>1515.2606999999998</v>
      </c>
      <c r="AF156" s="1692">
        <f t="shared" si="830"/>
        <v>2081.2887000000001</v>
      </c>
      <c r="AG156" s="1692">
        <f t="shared" si="830"/>
        <v>2034.7462029999999</v>
      </c>
      <c r="AH156" s="1692">
        <f t="shared" si="830"/>
        <v>2496.2165279999999</v>
      </c>
      <c r="AI156" s="1692">
        <f t="shared" si="830"/>
        <v>1892.5606143</v>
      </c>
      <c r="AJ156" s="1692">
        <f t="shared" si="830"/>
        <v>2387.2381389000002</v>
      </c>
      <c r="AK156" s="1692">
        <f t="shared" si="830"/>
        <v>2248.3945543149998</v>
      </c>
      <c r="AL156" s="1692">
        <f t="shared" si="830"/>
        <v>2710.8911494080003</v>
      </c>
      <c r="AM156" s="1822">
        <v>2115.3279584910301</v>
      </c>
      <c r="AN156" s="1688">
        <v>2745.0172484940827</v>
      </c>
      <c r="AO156" s="1688">
        <v>2670.4603415460851</v>
      </c>
      <c r="AP156" s="1692">
        <f t="shared" si="830"/>
        <v>3282.8891819330884</v>
      </c>
      <c r="AQ156" s="1688">
        <v>2288.4599510803023</v>
      </c>
      <c r="AR156" s="1688">
        <v>3026.5995334179624</v>
      </c>
      <c r="AS156" s="1688">
        <v>2665.5189790240738</v>
      </c>
      <c r="AT156" s="1688">
        <v>3216</v>
      </c>
      <c r="AU156" s="1689">
        <f t="shared" ref="AU156" si="831">+AQ156*(1+AU157)</f>
        <v>2242.690752058696</v>
      </c>
      <c r="AV156" s="1689">
        <f t="shared" ref="AV156" si="832">+AR156*(1+AV157)</f>
        <v>2966.067542749603</v>
      </c>
      <c r="AW156" s="1689">
        <f t="shared" ref="AW156" si="833">+AS156*(1+AW157)</f>
        <v>2745.4845483947961</v>
      </c>
      <c r="AX156" s="1689">
        <f t="shared" ref="AX156" si="834">+AT156*(1+AX157)</f>
        <v>3344.6400000000003</v>
      </c>
      <c r="AY156" s="1689"/>
      <c r="AZ156" s="1689"/>
      <c r="BA156" s="2254"/>
      <c r="BB156" s="1689">
        <v>3282.8891819330884</v>
      </c>
      <c r="BC156" s="2191">
        <f>+AT156/BB156-1</f>
        <v>-2.0375095906740803E-2</v>
      </c>
      <c r="BD156" s="2254"/>
      <c r="BE156" s="1690">
        <f>+SUM(C156:F156)</f>
        <v>5593.7</v>
      </c>
      <c r="BF156" s="1690">
        <f>+SUM(G156:J156)</f>
        <v>5335.1</v>
      </c>
      <c r="BG156" s="1690">
        <f>+SUM(K156:N156)</f>
        <v>5574.8709053115035</v>
      </c>
      <c r="BH156" s="1690">
        <f>+SUM(O156:R156)</f>
        <v>6022.1677667637196</v>
      </c>
      <c r="BI156" s="1690">
        <f>+SUM(S156:V156)</f>
        <v>6260.9</v>
      </c>
      <c r="BJ156" s="2026">
        <f>+SUM(S156:V156)</f>
        <v>6260.9</v>
      </c>
      <c r="BK156" s="1690">
        <f>+SUM(W156:Z156)</f>
        <v>7294.866399999999</v>
      </c>
      <c r="BL156" s="1690">
        <f>+SUM(AA156:AD156)</f>
        <v>7113.4030000000002</v>
      </c>
      <c r="BM156" s="1690">
        <f>+SUM(AE156:AH156)</f>
        <v>8127.5121309999995</v>
      </c>
      <c r="BN156" s="1690">
        <f>+SUM(AI156:AL156)</f>
        <v>9239.0844569230012</v>
      </c>
      <c r="BO156" s="2458">
        <f>+SUM(AM156:AP156)</f>
        <v>10813.694730464285</v>
      </c>
      <c r="BP156" s="1690">
        <f>+SUM(AQ156:AT156)</f>
        <v>11196.578463522339</v>
      </c>
      <c r="BQ156" s="1690">
        <f>+SUM(AU156:AX156)</f>
        <v>11298.882843203097</v>
      </c>
      <c r="BR156" s="1689">
        <f t="shared" ref="BR156:BU156" si="835">+BQ156*(1+BR157)</f>
        <v>11750.838156931221</v>
      </c>
      <c r="BS156" s="1689">
        <f t="shared" si="835"/>
        <v>12220.87168320847</v>
      </c>
      <c r="BT156" s="1689">
        <f t="shared" si="835"/>
        <v>12709.70655053681</v>
      </c>
      <c r="BU156" s="1689">
        <f t="shared" si="835"/>
        <v>13218.094812558284</v>
      </c>
    </row>
    <row r="157" spans="1:73" s="325" customFormat="1" ht="15" customHeight="1">
      <c r="A157" s="1030"/>
      <c r="B157" s="1671" t="s">
        <v>108</v>
      </c>
      <c r="C157" s="471"/>
      <c r="D157" s="337"/>
      <c r="E157" s="337"/>
      <c r="F157" s="337"/>
      <c r="G157" s="471">
        <f t="shared" ref="G157:AB157" si="836">+G156/C156-1</f>
        <v>-9.7513878831764433E-2</v>
      </c>
      <c r="H157" s="471">
        <f t="shared" si="836"/>
        <v>-2.3209596138831778E-2</v>
      </c>
      <c r="I157" s="471">
        <f t="shared" si="836"/>
        <v>-7.0919903090815639E-2</v>
      </c>
      <c r="J157" s="471">
        <f t="shared" si="836"/>
        <v>-5.1272312951006205E-3</v>
      </c>
      <c r="K157" s="471">
        <f t="shared" si="836"/>
        <v>3.3215193367174045E-2</v>
      </c>
      <c r="L157" s="471">
        <f t="shared" si="836"/>
        <v>-2.283499175575987E-2</v>
      </c>
      <c r="M157" s="471">
        <f t="shared" si="836"/>
        <v>0.10436240336821156</v>
      </c>
      <c r="N157" s="471">
        <f t="shared" si="836"/>
        <v>6.481409753982903E-2</v>
      </c>
      <c r="O157" s="471">
        <f t="shared" si="836"/>
        <v>8.1272793832285473E-3</v>
      </c>
      <c r="P157" s="471">
        <f t="shared" si="836"/>
        <v>6.6863723108961493E-2</v>
      </c>
      <c r="Q157" s="471">
        <f t="shared" si="836"/>
        <v>9.4041314634959461E-2</v>
      </c>
      <c r="R157" s="471">
        <f t="shared" si="836"/>
        <v>0.12938323502169813</v>
      </c>
      <c r="S157" s="1034">
        <f t="shared" si="836"/>
        <v>1.7308927120435635E-2</v>
      </c>
      <c r="T157" s="471">
        <f t="shared" si="836"/>
        <v>8.8457289328151001E-2</v>
      </c>
      <c r="U157" s="471">
        <f t="shared" si="836"/>
        <v>2.3348593852190902E-2</v>
      </c>
      <c r="V157" s="471">
        <f t="shared" si="836"/>
        <v>2.9575154753716859E-2</v>
      </c>
      <c r="W157" s="1034">
        <f t="shared" si="836"/>
        <v>9.8182735991923398E-2</v>
      </c>
      <c r="X157" s="471">
        <f t="shared" si="836"/>
        <v>7.8999999999999959E-2</v>
      </c>
      <c r="Y157" s="471">
        <f t="shared" si="836"/>
        <v>0.30542596024797075</v>
      </c>
      <c r="Z157" s="471">
        <f t="shared" si="836"/>
        <v>0.16238437821171625</v>
      </c>
      <c r="AA157" s="471">
        <f t="shared" si="836"/>
        <v>0.12594805791772012</v>
      </c>
      <c r="AB157" s="471">
        <f t="shared" si="836"/>
        <v>8.0674368343487624E-2</v>
      </c>
      <c r="AC157" s="1235">
        <v>-0.16500000000000001</v>
      </c>
      <c r="AD157" s="1235">
        <v>-6.4000000000000001E-2</v>
      </c>
      <c r="AE157" s="1235">
        <v>3.1E-2</v>
      </c>
      <c r="AF157" s="1235">
        <v>0.14299999999999999</v>
      </c>
      <c r="AG157" s="1235">
        <v>0.193</v>
      </c>
      <c r="AH157" s="1235">
        <v>0.17899999999999999</v>
      </c>
      <c r="AI157" s="1235">
        <v>0.249</v>
      </c>
      <c r="AJ157" s="1235">
        <v>0.14699999999999999</v>
      </c>
      <c r="AK157" s="1235">
        <v>0.105</v>
      </c>
      <c r="AL157" s="1235">
        <v>8.5999999999999993E-2</v>
      </c>
      <c r="AM157" s="1735">
        <f t="shared" ref="AM157" si="837">+AM156/AI156-1</f>
        <v>0.11770684780599483</v>
      </c>
      <c r="AN157" s="1735">
        <f t="shared" ref="AN157" si="838">+AN156/AJ156-1</f>
        <v>0.14987156235654853</v>
      </c>
      <c r="AO157" s="1735">
        <f t="shared" ref="AO157" si="839">+AO156/AK156-1</f>
        <v>0.18771873754145108</v>
      </c>
      <c r="AP157" s="1235">
        <v>0.21099999999999999</v>
      </c>
      <c r="AQ157" s="1735">
        <f t="shared" ref="AQ157" si="840">+AQ156/AM156-1</f>
        <v>8.184640679205879E-2</v>
      </c>
      <c r="AR157" s="1735">
        <f t="shared" ref="AR157" si="841">+AR156/AN156-1</f>
        <v>0.1025794227990211</v>
      </c>
      <c r="AS157" s="1735">
        <f t="shared" ref="AS157:AT157" si="842">+AS156/AO156-1</f>
        <v>-1.8503785452774757E-3</v>
      </c>
      <c r="AT157" s="1735">
        <f t="shared" si="842"/>
        <v>-2.0375095906740803E-2</v>
      </c>
      <c r="AU157" s="944">
        <v>-0.02</v>
      </c>
      <c r="AV157" s="944">
        <v>-0.02</v>
      </c>
      <c r="AW157" s="944">
        <v>0.03</v>
      </c>
      <c r="AX157" s="944">
        <v>0.04</v>
      </c>
      <c r="AY157" s="944"/>
      <c r="AZ157" s="944"/>
      <c r="BA157" s="72"/>
      <c r="BB157" s="944">
        <v>0</v>
      </c>
      <c r="BC157" s="2189"/>
      <c r="BD157" s="72"/>
      <c r="BE157" s="337"/>
      <c r="BF157" s="471">
        <f t="shared" ref="BF157:BQ157" si="843">+BF156/BE156-1</f>
        <v>-4.6230580832007373E-2</v>
      </c>
      <c r="BG157" s="471">
        <f t="shared" si="843"/>
        <v>4.4942157656183257E-2</v>
      </c>
      <c r="BH157" s="471">
        <f t="shared" si="843"/>
        <v>8.0234478797715392E-2</v>
      </c>
      <c r="BI157" s="471">
        <f>+BI156/BG156-1</f>
        <v>0.12305739564926532</v>
      </c>
      <c r="BJ157" s="2027">
        <f>+BJ156/BH156-1</f>
        <v>3.9642242209498191E-2</v>
      </c>
      <c r="BK157" s="471">
        <f>+BK156/BJ156-1</f>
        <v>0.16514660831509831</v>
      </c>
      <c r="BL157" s="471">
        <f t="shared" si="843"/>
        <v>-2.4875493264687965E-2</v>
      </c>
      <c r="BM157" s="471">
        <f t="shared" si="843"/>
        <v>0.14256314888949762</v>
      </c>
      <c r="BN157" s="471">
        <f t="shared" si="843"/>
        <v>0.13676661541767943</v>
      </c>
      <c r="BO157" s="1034">
        <f t="shared" si="843"/>
        <v>0.17042925420617872</v>
      </c>
      <c r="BP157" s="471">
        <f t="shared" si="843"/>
        <v>3.5407299965606986E-2</v>
      </c>
      <c r="BQ157" s="471">
        <f t="shared" si="843"/>
        <v>9.1371109499263081E-3</v>
      </c>
      <c r="BR157" s="944">
        <v>0.04</v>
      </c>
      <c r="BS157" s="944">
        <v>0.04</v>
      </c>
      <c r="BT157" s="944">
        <v>0.04</v>
      </c>
      <c r="BU157" s="944">
        <v>0.04</v>
      </c>
    </row>
    <row r="158" spans="1:73" s="325" customFormat="1" ht="15" customHeight="1">
      <c r="A158" s="1030"/>
      <c r="B158" s="1687" t="s">
        <v>306</v>
      </c>
      <c r="C158" s="1688">
        <v>329.8</v>
      </c>
      <c r="D158" s="1688">
        <v>431.7</v>
      </c>
      <c r="E158" s="1688">
        <v>521.29999999999995</v>
      </c>
      <c r="F158" s="1688">
        <v>576.29999999999995</v>
      </c>
      <c r="G158" s="1688">
        <v>434.6</v>
      </c>
      <c r="H158" s="1688">
        <v>519.6</v>
      </c>
      <c r="I158" s="1688">
        <v>503.1</v>
      </c>
      <c r="J158" s="1688">
        <v>526</v>
      </c>
      <c r="K158" s="1688">
        <v>423.56922945331746</v>
      </c>
      <c r="L158" s="1688">
        <v>527.56223823299797</v>
      </c>
      <c r="M158" s="1688">
        <v>561.1177527618197</v>
      </c>
      <c r="N158" s="1688">
        <v>595.97820497808709</v>
      </c>
      <c r="O158" s="1688">
        <v>509.01988554510478</v>
      </c>
      <c r="P158" s="1688">
        <v>621.05869201712403</v>
      </c>
      <c r="Q158" s="1688">
        <v>517.6</v>
      </c>
      <c r="R158" s="1688">
        <v>735.6</v>
      </c>
      <c r="S158" s="1822">
        <v>565.4</v>
      </c>
      <c r="T158" s="1688">
        <v>688.1</v>
      </c>
      <c r="U158" s="1688">
        <v>675.4</v>
      </c>
      <c r="V158" s="1688">
        <v>813.6</v>
      </c>
      <c r="W158" s="1822">
        <v>711.3</v>
      </c>
      <c r="X158" s="1692">
        <f>+T158*(1+X159)</f>
        <v>663.32839999999999</v>
      </c>
      <c r="Y158" s="1688">
        <v>1118.9000000000001</v>
      </c>
      <c r="Z158" s="1688">
        <v>1175.7</v>
      </c>
      <c r="AA158" s="1688">
        <v>1140.9000000000001</v>
      </c>
      <c r="AB158" s="1688">
        <v>1112.8</v>
      </c>
      <c r="AC158" s="1692">
        <f t="shared" ref="AC158:AD158" si="844">+Y158*(1+AC159)</f>
        <v>1304.6374000000001</v>
      </c>
      <c r="AD158" s="1692">
        <f t="shared" si="844"/>
        <v>1439.0568000000001</v>
      </c>
      <c r="AE158" s="1692">
        <f t="shared" ref="AE158" si="845">+AA158*(1+AE159)</f>
        <v>1041.6417000000001</v>
      </c>
      <c r="AF158" s="1692">
        <f t="shared" ref="AF158" si="846">+AB158*(1+AF159)</f>
        <v>1210.7264</v>
      </c>
      <c r="AG158" s="1692">
        <f t="shared" ref="AG158:AL158" si="847">+AC158*(1+AG159)</f>
        <v>1308.5513122</v>
      </c>
      <c r="AH158" s="1692">
        <f t="shared" si="847"/>
        <v>1171.3922352000002</v>
      </c>
      <c r="AI158" s="1692">
        <f t="shared" si="847"/>
        <v>1111.4316939</v>
      </c>
      <c r="AJ158" s="1692">
        <f t="shared" si="847"/>
        <v>1303.9523328</v>
      </c>
      <c r="AK158" s="1692">
        <f t="shared" si="847"/>
        <v>1274.5289780828</v>
      </c>
      <c r="AL158" s="1692">
        <f t="shared" si="847"/>
        <v>846.91658604960014</v>
      </c>
      <c r="AM158" s="1822">
        <v>1113.8117906897519</v>
      </c>
      <c r="AN158" s="1688">
        <v>1467.7312966554173</v>
      </c>
      <c r="AO158" s="1688">
        <v>1582.0644774423922</v>
      </c>
      <c r="AP158" s="1692">
        <f t="shared" si="830"/>
        <v>2019.0491411422468</v>
      </c>
      <c r="AQ158" s="1688">
        <v>1526.8467051970176</v>
      </c>
      <c r="AR158" s="1688">
        <v>1432.8497179891256</v>
      </c>
      <c r="AS158" s="1688">
        <v>1388.6316903742138</v>
      </c>
      <c r="AT158" s="1688">
        <v>1767</v>
      </c>
      <c r="AU158" s="1689">
        <f t="shared" ref="AU158:AX158" si="848">+AU186-AU167-AU176</f>
        <v>1424.9096189463028</v>
      </c>
      <c r="AV158" s="1689">
        <f t="shared" si="848"/>
        <v>1527.6254109708079</v>
      </c>
      <c r="AW158" s="1689">
        <f t="shared" si="848"/>
        <v>1315.7798408105218</v>
      </c>
      <c r="AX158" s="1689">
        <f t="shared" si="848"/>
        <v>1844.3052291392266</v>
      </c>
      <c r="AY158" s="1689"/>
      <c r="AZ158" s="1689"/>
      <c r="BA158" s="72"/>
      <c r="BB158" s="1689">
        <v>1741.9869977093217</v>
      </c>
      <c r="BC158" s="2191">
        <f>+AT158/BB158-1</f>
        <v>1.4358891497795234E-2</v>
      </c>
      <c r="BD158" s="72"/>
      <c r="BE158" s="1690">
        <f>+SUM(C158:F158)</f>
        <v>1859.1</v>
      </c>
      <c r="BF158" s="1690">
        <f>+SUM(G158:J158)</f>
        <v>1983.3000000000002</v>
      </c>
      <c r="BG158" s="1690">
        <f>+SUM(K158:N158)</f>
        <v>2108.227425426222</v>
      </c>
      <c r="BH158" s="1690">
        <f>+SUM(O158:R158)</f>
        <v>2383.2785775622287</v>
      </c>
      <c r="BI158" s="1690">
        <f>+SUM(S158:V158)</f>
        <v>2742.5</v>
      </c>
      <c r="BJ158" s="2026">
        <f>+SUM(S158:V158)</f>
        <v>2742.5</v>
      </c>
      <c r="BK158" s="1690">
        <f>+SUM(W158:Z158)</f>
        <v>3669.2284</v>
      </c>
      <c r="BL158" s="1690">
        <f>+SUM(AA158:AD158)</f>
        <v>4997.3941999999997</v>
      </c>
      <c r="BM158" s="1690">
        <f>+SUM(AE158:AH158)</f>
        <v>4732.3116473999999</v>
      </c>
      <c r="BN158" s="1690">
        <f>+SUM(AI158:AL158)</f>
        <v>4536.8295908324008</v>
      </c>
      <c r="BO158" s="2458">
        <f>+SUM(AM158:AP158)</f>
        <v>6182.6567059298086</v>
      </c>
      <c r="BP158" s="1690">
        <f>+SUM(AQ158:AT158)</f>
        <v>6115.3281135603565</v>
      </c>
      <c r="BQ158" s="1690">
        <f>+SUM(AU158:AX158)</f>
        <v>6112.6200998668592</v>
      </c>
      <c r="BR158" s="1689">
        <f t="shared" ref="BR158:BU158" si="849">+BR186-BR167-BR176</f>
        <v>6459.512139381276</v>
      </c>
      <c r="BS158" s="1689">
        <f t="shared" si="849"/>
        <v>6717.1973790629672</v>
      </c>
      <c r="BT158" s="1689">
        <f t="shared" si="849"/>
        <v>6978.2498440883628</v>
      </c>
      <c r="BU158" s="1689">
        <f t="shared" si="849"/>
        <v>7194.1428480390014</v>
      </c>
    </row>
    <row r="159" spans="1:73" s="325" customFormat="1" ht="15" customHeight="1">
      <c r="A159" s="1030"/>
      <c r="B159" s="1737" t="s">
        <v>108</v>
      </c>
      <c r="C159" s="578"/>
      <c r="D159" s="578"/>
      <c r="E159" s="578"/>
      <c r="F159" s="578"/>
      <c r="G159" s="471">
        <f t="shared" ref="G159" si="850">+G158/C158-1</f>
        <v>0.31776834445118252</v>
      </c>
      <c r="H159" s="471">
        <f t="shared" ref="H159" si="851">+H158/D158-1</f>
        <v>0.20361362056984023</v>
      </c>
      <c r="I159" s="471">
        <f t="shared" ref="I159" si="852">+I158/E158-1</f>
        <v>-3.4912718204488602E-2</v>
      </c>
      <c r="J159" s="471">
        <f t="shared" ref="J159" si="853">+J158/F158-1</f>
        <v>-8.7280930071143459E-2</v>
      </c>
      <c r="K159" s="471">
        <f t="shared" ref="K159" si="854">+K158/G158-1</f>
        <v>-2.5381432459002706E-2</v>
      </c>
      <c r="L159" s="471">
        <f t="shared" ref="L159" si="855">+L158/H158-1</f>
        <v>1.532378412817148E-2</v>
      </c>
      <c r="M159" s="471">
        <f t="shared" ref="M159" si="856">+M158/I158-1</f>
        <v>0.11532051831011669</v>
      </c>
      <c r="N159" s="471">
        <f t="shared" ref="N159" si="857">+N158/J158-1</f>
        <v>0.13303841250586901</v>
      </c>
      <c r="O159" s="471">
        <f t="shared" ref="O159" si="858">+O158/K158-1</f>
        <v>0.20173952721276467</v>
      </c>
      <c r="P159" s="471">
        <f t="shared" ref="P159" si="859">+P158/L158-1</f>
        <v>0.17722355204436235</v>
      </c>
      <c r="Q159" s="471">
        <f t="shared" ref="Q159" si="860">+Q158/M158-1</f>
        <v>-7.7555473067151159E-2</v>
      </c>
      <c r="R159" s="471">
        <f t="shared" ref="R159" si="861">+R158/N158-1</f>
        <v>0.23427332384922783</v>
      </c>
      <c r="S159" s="1034">
        <f t="shared" ref="S159" si="862">+S158/O158-1</f>
        <v>0.11076210587434754</v>
      </c>
      <c r="T159" s="471">
        <f t="shared" ref="T159" si="863">+T158/P158-1</f>
        <v>0.10794681540505269</v>
      </c>
      <c r="U159" s="471">
        <f t="shared" ref="U159" si="864">+U158/Q158-1</f>
        <v>0.30486862442040175</v>
      </c>
      <c r="V159" s="471">
        <f t="shared" ref="V159" si="865">+V158/R158-1</f>
        <v>0.10603588907014672</v>
      </c>
      <c r="W159" s="1034">
        <f t="shared" ref="W159" si="866">+W158/S158-1</f>
        <v>0.25804740007074645</v>
      </c>
      <c r="X159" s="1235">
        <v>-3.5999999999999997E-2</v>
      </c>
      <c r="Y159" s="471">
        <f>+Y158/U158-1</f>
        <v>0.65664791234823827</v>
      </c>
      <c r="Z159" s="471">
        <f>+Z158/V158-1</f>
        <v>0.44505899705014751</v>
      </c>
      <c r="AA159" s="471">
        <f>+AA158/W158-1</f>
        <v>0.60396457191058639</v>
      </c>
      <c r="AB159" s="471">
        <f>+AB158/X158-1</f>
        <v>0.67760041632470425</v>
      </c>
      <c r="AC159" s="1235">
        <v>0.16600000000000001</v>
      </c>
      <c r="AD159" s="1235">
        <v>0.224</v>
      </c>
      <c r="AE159" s="1235">
        <v>-8.6999999999999994E-2</v>
      </c>
      <c r="AF159" s="1235">
        <v>8.7999999999999995E-2</v>
      </c>
      <c r="AG159" s="1235">
        <v>3.0000000000000001E-3</v>
      </c>
      <c r="AH159" s="1235">
        <v>-0.186</v>
      </c>
      <c r="AI159" s="1235">
        <v>6.7000000000000004E-2</v>
      </c>
      <c r="AJ159" s="1235">
        <v>7.6999999999999999E-2</v>
      </c>
      <c r="AK159" s="1235">
        <v>-2.5999999999999999E-2</v>
      </c>
      <c r="AL159" s="1235">
        <v>-0.27700000000000002</v>
      </c>
      <c r="AM159" s="1735">
        <f t="shared" ref="AM159" si="867">+AM158/AI158-1</f>
        <v>2.1414692444121641E-3</v>
      </c>
      <c r="AN159" s="1735">
        <f t="shared" ref="AN159" si="868">+AN158/AJ158-1</f>
        <v>0.12560195624922255</v>
      </c>
      <c r="AO159" s="1735">
        <f t="shared" ref="AO159" si="869">+AO158/AK158-1</f>
        <v>0.24129345401169311</v>
      </c>
      <c r="AP159" s="1235">
        <v>1.3839999999999999</v>
      </c>
      <c r="AQ159" s="1735">
        <f t="shared" ref="AQ159" si="870">+AQ158/AM158-1</f>
        <v>0.3708300791568071</v>
      </c>
      <c r="AR159" s="1735">
        <f t="shared" ref="AR159" si="871">+AR158/AN158-1</f>
        <v>-2.3765643442895779E-2</v>
      </c>
      <c r="AS159" s="1735">
        <f t="shared" ref="AS159" si="872">+AS158/AO158-1</f>
        <v>-0.12226605794277556</v>
      </c>
      <c r="AT159" s="1735">
        <f t="shared" ref="AT159" si="873">+AT158/AP158-1</f>
        <v>-0.12483556541850871</v>
      </c>
      <c r="AU159" s="1735">
        <f t="shared" ref="AU159" si="874">+AU158/AQ158-1</f>
        <v>-6.6763143872757946E-2</v>
      </c>
      <c r="AV159" s="1735">
        <f t="shared" ref="AV159" si="875">+AV158/AR158-1</f>
        <v>6.6144894186594527E-2</v>
      </c>
      <c r="AW159" s="1735">
        <f t="shared" ref="AW159" si="876">+AW158/AS158-1</f>
        <v>-5.2463046946638281E-2</v>
      </c>
      <c r="AX159" s="1735">
        <f t="shared" ref="AX159" si="877">+AX158/AT158-1</f>
        <v>4.3749422263286153E-2</v>
      </c>
      <c r="AY159" s="1735"/>
      <c r="AZ159" s="1735"/>
      <c r="BA159" s="72"/>
      <c r="BB159" s="1735">
        <v>-0.13722407136469261</v>
      </c>
      <c r="BC159" s="2189"/>
      <c r="BD159" s="72"/>
      <c r="BE159" s="337"/>
      <c r="BF159" s="471">
        <f t="shared" ref="BF159" si="878">+BF158/BE158-1</f>
        <v>6.6806519283524546E-2</v>
      </c>
      <c r="BG159" s="471">
        <f t="shared" ref="BG159" si="879">+BG158/BF158-1</f>
        <v>6.2989676511985948E-2</v>
      </c>
      <c r="BH159" s="471">
        <f t="shared" ref="BH159" si="880">+BH158/BG158-1</f>
        <v>0.13046559816970382</v>
      </c>
      <c r="BI159" s="471">
        <f t="shared" ref="BI159:BJ159" si="881">+BI158/BG158-1</f>
        <v>0.30085585972563966</v>
      </c>
      <c r="BJ159" s="2027">
        <f t="shared" si="881"/>
        <v>0.15072573798955813</v>
      </c>
      <c r="BK159" s="471">
        <f>+BK158/BJ158-1</f>
        <v>0.33791372835004552</v>
      </c>
      <c r="BL159" s="471">
        <f t="shared" ref="BL159" si="882">+BL158/BK158-1</f>
        <v>0.36197414148435136</v>
      </c>
      <c r="BM159" s="471">
        <f t="shared" ref="BM159" si="883">+BM158/BL158-1</f>
        <v>-5.3044155011825911E-2</v>
      </c>
      <c r="BN159" s="471">
        <f t="shared" ref="BN159" si="884">+BN158/BM158-1</f>
        <v>-4.1307942319267932E-2</v>
      </c>
      <c r="BO159" s="1034">
        <f t="shared" ref="BO159:BQ159" si="885">+BO158/BN158-1</f>
        <v>0.36277031837897122</v>
      </c>
      <c r="BP159" s="471">
        <f t="shared" si="885"/>
        <v>-1.0889912795073453E-2</v>
      </c>
      <c r="BQ159" s="471">
        <f t="shared" si="885"/>
        <v>-4.4282394063088759E-4</v>
      </c>
      <c r="BR159" s="471">
        <f t="shared" ref="BR159" si="886">+BR158/BQ158-1</f>
        <v>5.6750138867941891E-2</v>
      </c>
      <c r="BS159" s="471">
        <f t="shared" ref="BS159" si="887">+BS158/BR158-1</f>
        <v>3.9892368668320799E-2</v>
      </c>
      <c r="BT159" s="471">
        <f t="shared" ref="BT159" si="888">+BT158/BS158-1</f>
        <v>3.8863301209381973E-2</v>
      </c>
      <c r="BU159" s="471">
        <f t="shared" ref="BU159" si="889">+BU158/BT158-1</f>
        <v>3.0937987142081624E-2</v>
      </c>
    </row>
    <row r="160" spans="1:73" s="326" customFormat="1" ht="15" customHeight="1">
      <c r="A160" s="1680"/>
      <c r="B160" s="1671"/>
      <c r="C160" s="337"/>
      <c r="D160" s="337"/>
      <c r="E160" s="337"/>
      <c r="F160" s="337"/>
      <c r="G160" s="464"/>
      <c r="H160" s="464"/>
      <c r="I160" s="464"/>
      <c r="J160" s="464"/>
      <c r="K160" s="464"/>
      <c r="L160" s="464"/>
      <c r="M160" s="464"/>
      <c r="N160" s="464"/>
      <c r="O160" s="464"/>
      <c r="P160" s="464"/>
      <c r="Q160" s="464"/>
      <c r="R160" s="464"/>
      <c r="S160" s="1823"/>
      <c r="T160" s="464"/>
      <c r="U160" s="464"/>
      <c r="V160" s="464"/>
      <c r="W160" s="1823"/>
      <c r="X160" s="1024"/>
      <c r="Y160" s="464"/>
      <c r="Z160" s="464"/>
      <c r="AA160" s="464"/>
      <c r="AB160" s="464"/>
      <c r="AC160" s="1024"/>
      <c r="AD160" s="1024"/>
      <c r="AE160" s="1024"/>
      <c r="AF160" s="1024"/>
      <c r="AG160" s="1024"/>
      <c r="AH160" s="1024"/>
      <c r="AI160" s="1024"/>
      <c r="AJ160" s="1024"/>
      <c r="AK160" s="2335" t="s">
        <v>307</v>
      </c>
      <c r="AL160" s="1688">
        <f>+AL185-AL184</f>
        <v>2544.4696434380103</v>
      </c>
      <c r="AM160" s="2401"/>
      <c r="AN160" s="1024"/>
      <c r="AO160" s="1024"/>
      <c r="AP160" s="1024"/>
      <c r="AQ160" s="1024"/>
      <c r="AR160" s="1024"/>
      <c r="AS160" s="944"/>
      <c r="AT160" s="944"/>
      <c r="AU160" s="944"/>
      <c r="AV160" s="944"/>
      <c r="AW160" s="944"/>
      <c r="AX160" s="944"/>
      <c r="AY160" s="944"/>
      <c r="AZ160" s="944"/>
      <c r="BA160" s="85"/>
      <c r="BB160" s="944"/>
      <c r="BC160" s="2197"/>
      <c r="BD160" s="85"/>
      <c r="BE160" s="464"/>
      <c r="BF160" s="464"/>
      <c r="BG160" s="464"/>
      <c r="BH160" s="464"/>
      <c r="BI160" s="464"/>
      <c r="BJ160" s="2028"/>
      <c r="BK160" s="464"/>
      <c r="BL160" s="464"/>
      <c r="BM160" s="464"/>
      <c r="BN160" s="464"/>
      <c r="BO160" s="1823"/>
      <c r="BP160" s="464"/>
      <c r="BQ160" s="464"/>
      <c r="BR160" s="944"/>
      <c r="BS160" s="944"/>
      <c r="BT160" s="944"/>
      <c r="BU160" s="944"/>
    </row>
    <row r="161" spans="1:73" s="484" customFormat="1" ht="15" customHeight="1">
      <c r="A161" s="483"/>
      <c r="B161" s="1740" t="s">
        <v>308</v>
      </c>
      <c r="C161" s="1741"/>
      <c r="D161" s="1741"/>
      <c r="E161" s="1741"/>
      <c r="F161" s="1741"/>
      <c r="G161" s="1741"/>
      <c r="H161" s="1741"/>
      <c r="I161" s="1741"/>
      <c r="J161" s="1741"/>
      <c r="K161" s="1741"/>
      <c r="L161" s="1741"/>
      <c r="M161" s="1741"/>
      <c r="N161" s="1741"/>
      <c r="O161" s="1741"/>
      <c r="P161" s="1741"/>
      <c r="Q161" s="1741"/>
      <c r="R161" s="1741"/>
      <c r="S161" s="1962"/>
      <c r="T161" s="1741"/>
      <c r="U161" s="1741"/>
      <c r="V161" s="1741"/>
      <c r="W161" s="1819">
        <f t="shared" ref="W161:AB161" si="890">+W144-W152</f>
        <v>2145.7000000000003</v>
      </c>
      <c r="X161" s="1742">
        <f t="shared" si="890"/>
        <v>1627.4052000000001</v>
      </c>
      <c r="Y161" s="1742">
        <f t="shared" si="890"/>
        <v>2922.1000000000004</v>
      </c>
      <c r="Z161" s="1742">
        <f t="shared" si="890"/>
        <v>2882.9000000000005</v>
      </c>
      <c r="AA161" s="1742">
        <f t="shared" si="890"/>
        <v>2575.2999999999993</v>
      </c>
      <c r="AB161" s="1742">
        <f t="shared" si="890"/>
        <v>2600</v>
      </c>
      <c r="AC161" s="1742">
        <f>+AC165+AC167</f>
        <v>2588.2929000000004</v>
      </c>
      <c r="AD161" s="1742">
        <f>+AD165+AD167</f>
        <v>2531.2217000000005</v>
      </c>
      <c r="AE161" s="1742">
        <f t="shared" ref="AE161:AN161" si="891">+AE165+AE167</f>
        <v>2155.0169999999994</v>
      </c>
      <c r="AF161" s="1742">
        <f t="shared" si="891"/>
        <v>2265.7583999999997</v>
      </c>
      <c r="AG161" s="1742">
        <f t="shared" si="891"/>
        <v>2474.9308434000004</v>
      </c>
      <c r="AH161" s="1742">
        <f t="shared" si="891"/>
        <v>2242.5669245000004</v>
      </c>
      <c r="AI161" s="1742">
        <f t="shared" ref="AI161" si="892">+AI165+AI167</f>
        <v>1827.1833299999994</v>
      </c>
      <c r="AJ161" s="1743">
        <f>+AJ144-AJ152</f>
        <v>1771.7443274438679</v>
      </c>
      <c r="AK161" s="1742">
        <f t="shared" si="891"/>
        <v>1709.2539235782001</v>
      </c>
      <c r="AL161" s="1742">
        <f t="shared" si="891"/>
        <v>1247.6701285825002</v>
      </c>
      <c r="AM161" s="1819">
        <f t="shared" si="891"/>
        <v>959.03095537647619</v>
      </c>
      <c r="AN161" s="1742">
        <f t="shared" si="891"/>
        <v>1149.758275633782</v>
      </c>
      <c r="AO161" s="1742">
        <f t="shared" ref="AO161" si="893">+AO165+AO167</f>
        <v>1242.2658965451424</v>
      </c>
      <c r="AP161" s="1742">
        <f t="shared" ref="AP161" si="894">+AP165+AP167</f>
        <v>1297.0673475272347</v>
      </c>
      <c r="AQ161" s="1742">
        <f t="shared" ref="AQ161:AT161" si="895">+AQ165+AQ167</f>
        <v>976.81716141427216</v>
      </c>
      <c r="AR161" s="1742">
        <f t="shared" si="895"/>
        <v>932.04647380199049</v>
      </c>
      <c r="AS161" s="1742">
        <f t="shared" si="895"/>
        <v>852.10626830581464</v>
      </c>
      <c r="AT161" s="1742">
        <f t="shared" si="895"/>
        <v>922</v>
      </c>
      <c r="AU161" s="1743">
        <f t="shared" ref="AU161:AX161" si="896">+AU165+AU167</f>
        <v>745.39851588238037</v>
      </c>
      <c r="AV161" s="1743">
        <f t="shared" si="896"/>
        <v>842.41897593046201</v>
      </c>
      <c r="AW161" s="1743">
        <f t="shared" si="896"/>
        <v>770.29888639749765</v>
      </c>
      <c r="AX161" s="1743">
        <f t="shared" si="896"/>
        <v>935.65616318100172</v>
      </c>
      <c r="AY161" s="2644"/>
      <c r="AZ161" s="2644"/>
      <c r="BA161" s="85"/>
      <c r="BB161" s="1743">
        <v>992.62487784335428</v>
      </c>
      <c r="BC161" s="2194">
        <f>+AT161/BB161-1</f>
        <v>-7.114961494497174E-2</v>
      </c>
      <c r="BD161" s="85"/>
      <c r="BE161" s="1742" t="e">
        <f>+BE165+#REF!</f>
        <v>#REF!</v>
      </c>
      <c r="BF161" s="1742" t="e">
        <f>+BF165+#REF!</f>
        <v>#REF!</v>
      </c>
      <c r="BG161" s="1742" t="e">
        <f>+BG165+#REF!</f>
        <v>#REF!</v>
      </c>
      <c r="BH161" s="1742" t="e">
        <f>+BH165+#REF!</f>
        <v>#REF!</v>
      </c>
      <c r="BI161" s="1742"/>
      <c r="BJ161" s="2023">
        <f>+BJ144-BJ152</f>
        <v>9766.4999999999982</v>
      </c>
      <c r="BK161" s="1742">
        <f>+BK165+BK167</f>
        <v>9578.1052000000018</v>
      </c>
      <c r="BL161" s="1742">
        <f t="shared" ref="BL161:BU161" si="897">+BL165+BL167</f>
        <v>10294.8146</v>
      </c>
      <c r="BM161" s="1742">
        <f t="shared" si="897"/>
        <v>9138.2731679000008</v>
      </c>
      <c r="BN161" s="1742">
        <f t="shared" si="897"/>
        <v>6555.9792696607001</v>
      </c>
      <c r="BO161" s="1819">
        <f t="shared" si="897"/>
        <v>4648.122475082635</v>
      </c>
      <c r="BP161" s="1742">
        <f t="shared" ref="BP161:BQ161" si="898">+BP165+BP167</f>
        <v>3682.9699035220774</v>
      </c>
      <c r="BQ161" s="1742">
        <f t="shared" si="898"/>
        <v>3293.7725413913417</v>
      </c>
      <c r="BR161" s="1744">
        <f t="shared" si="897"/>
        <v>3451.317850731114</v>
      </c>
      <c r="BS161" s="1744">
        <f t="shared" si="897"/>
        <v>3586.793643243016</v>
      </c>
      <c r="BT161" s="1744">
        <f t="shared" si="897"/>
        <v>3726.0287908516684</v>
      </c>
      <c r="BU161" s="1744">
        <f t="shared" si="897"/>
        <v>3857.874541073681</v>
      </c>
    </row>
    <row r="162" spans="1:73" s="1575" customFormat="1" ht="15" customHeight="1">
      <c r="A162" s="1683"/>
      <c r="B162" s="1286" t="s">
        <v>140</v>
      </c>
      <c r="C162" s="1684"/>
      <c r="D162" s="1684"/>
      <c r="E162" s="1684"/>
      <c r="F162" s="1684"/>
      <c r="G162" s="1684"/>
      <c r="H162" s="1684"/>
      <c r="I162" s="1684"/>
      <c r="J162" s="1684"/>
      <c r="K162" s="1684"/>
      <c r="L162" s="1684"/>
      <c r="M162" s="1684"/>
      <c r="N162" s="1684"/>
      <c r="O162" s="1684"/>
      <c r="P162" s="1684"/>
      <c r="Q162" s="1684"/>
      <c r="R162" s="1684"/>
      <c r="S162" s="1961"/>
      <c r="T162" s="1684"/>
      <c r="U162" s="1684"/>
      <c r="V162" s="1684"/>
      <c r="W162" s="1820">
        <f t="shared" ref="W162:AP162" si="899">+W161/W$144</f>
        <v>0.51550825264877598</v>
      </c>
      <c r="X162" s="1685">
        <f t="shared" si="899"/>
        <v>0.409338028523279</v>
      </c>
      <c r="Y162" s="1685">
        <f t="shared" si="899"/>
        <v>0.48032415017423896</v>
      </c>
      <c r="Z162" s="1685">
        <f t="shared" si="899"/>
        <v>0.45611176154162586</v>
      </c>
      <c r="AA162" s="1685">
        <f t="shared" si="899"/>
        <v>0.49659654061975733</v>
      </c>
      <c r="AB162" s="1685">
        <f t="shared" si="899"/>
        <v>0.46984838354084973</v>
      </c>
      <c r="AC162" s="1685">
        <f t="shared" si="899"/>
        <v>0.46623307214266418</v>
      </c>
      <c r="AD162" s="1685">
        <f t="shared" si="899"/>
        <v>0.41209672272601477</v>
      </c>
      <c r="AE162" s="1685">
        <f t="shared" si="899"/>
        <v>0.4535445648742501</v>
      </c>
      <c r="AF162" s="1685">
        <f t="shared" si="899"/>
        <v>0.40787729972997294</v>
      </c>
      <c r="AG162" s="1685">
        <f t="shared" si="899"/>
        <v>0.42837401010817833</v>
      </c>
      <c r="AH162" s="1685">
        <f t="shared" si="899"/>
        <v>0.3773332421086284</v>
      </c>
      <c r="AI162" s="1685">
        <f t="shared" si="899"/>
        <v>0.37567763842342239</v>
      </c>
      <c r="AJ162" s="1685">
        <f t="shared" si="899"/>
        <v>0.32432097262473814</v>
      </c>
      <c r="AK162" s="1685">
        <f t="shared" si="899"/>
        <v>0.32669014069446034</v>
      </c>
      <c r="AL162" s="1685">
        <f t="shared" si="899"/>
        <v>0.21210943670437934</v>
      </c>
      <c r="AM162" s="1820">
        <f t="shared" si="899"/>
        <v>0.20384962704086981</v>
      </c>
      <c r="AN162" s="1685">
        <f t="shared" ref="AN162:AO162" si="900">+AN161/AN$144</f>
        <v>0.1941358289880443</v>
      </c>
      <c r="AO162" s="1685">
        <f t="shared" si="900"/>
        <v>0.20788872154811444</v>
      </c>
      <c r="AP162" s="1685">
        <f t="shared" si="899"/>
        <v>0.18292772791121126</v>
      </c>
      <c r="AQ162" s="1685">
        <f t="shared" ref="AQ162:AT162" si="901">+AQ161/AQ$144</f>
        <v>0.18992969023428896</v>
      </c>
      <c r="AR162" s="1685">
        <f t="shared" si="901"/>
        <v>0.16387918447831884</v>
      </c>
      <c r="AS162" s="1685">
        <f t="shared" si="901"/>
        <v>0.16405588531109253</v>
      </c>
      <c r="AT162" s="1685">
        <f t="shared" si="901"/>
        <v>0.14887776521879542</v>
      </c>
      <c r="AU162" s="1685">
        <f t="shared" ref="AU162:AX162" si="902">+AU161/AU$144</f>
        <v>0.15957375840652824</v>
      </c>
      <c r="AV162" s="1685">
        <f t="shared" si="902"/>
        <v>0.1507227038773542</v>
      </c>
      <c r="AW162" s="1685">
        <f t="shared" si="902"/>
        <v>0.1518893510324737</v>
      </c>
      <c r="AX162" s="1685">
        <f t="shared" si="902"/>
        <v>0.14722914795847125</v>
      </c>
      <c r="AY162" s="1685"/>
      <c r="AZ162" s="1685"/>
      <c r="BA162" s="1677"/>
      <c r="BB162" s="1685">
        <v>0.15641887218999942</v>
      </c>
      <c r="BC162" s="2195"/>
      <c r="BD162" s="1677"/>
      <c r="BE162" s="1578"/>
      <c r="BF162" s="1578"/>
      <c r="BG162" s="1578"/>
      <c r="BH162" s="1578"/>
      <c r="BI162" s="1685"/>
      <c r="BJ162" s="2024">
        <f t="shared" ref="BJ162:BO162" si="903">+BJ161/BJ$144</f>
        <v>0.52032775880532123</v>
      </c>
      <c r="BK162" s="1685">
        <f t="shared" si="903"/>
        <v>0.46626482071053743</v>
      </c>
      <c r="BL162" s="1685">
        <f t="shared" si="903"/>
        <v>0.45931516860449556</v>
      </c>
      <c r="BM162" s="1685">
        <f t="shared" si="903"/>
        <v>0.41486313139663689</v>
      </c>
      <c r="BN162" s="1685">
        <f t="shared" si="903"/>
        <v>0.30577022466190734</v>
      </c>
      <c r="BO162" s="1820">
        <f t="shared" si="903"/>
        <v>0.19617900642951933</v>
      </c>
      <c r="BP162" s="1685">
        <f t="shared" ref="BP162:BQ162" si="904">+BP161/BP$144</f>
        <v>0.16576927335759031</v>
      </c>
      <c r="BQ162" s="1685">
        <f t="shared" si="904"/>
        <v>0.15187822001764908</v>
      </c>
      <c r="BR162" s="1685">
        <f>+BR161/BR$144</f>
        <v>0.15232492800949496</v>
      </c>
      <c r="BS162" s="1685">
        <f>+BS161/BS$144</f>
        <v>0.1524001807436568</v>
      </c>
      <c r="BT162" s="1685">
        <f>+BT161/BT$144</f>
        <v>0.15246027184566682</v>
      </c>
      <c r="BU162" s="1685">
        <f>+BU161/BU$144</f>
        <v>0.15242116041741161</v>
      </c>
    </row>
    <row r="163" spans="1:73" s="1734" customFormat="1">
      <c r="A163" s="1733"/>
      <c r="B163" s="1734" t="s">
        <v>108</v>
      </c>
      <c r="S163" s="1821" t="e">
        <f t="shared" ref="S163:AS163" si="905">+S161/O161-1</f>
        <v>#DIV/0!</v>
      </c>
      <c r="T163" s="1735" t="e">
        <f t="shared" si="905"/>
        <v>#DIV/0!</v>
      </c>
      <c r="U163" s="1735" t="e">
        <f t="shared" si="905"/>
        <v>#DIV/0!</v>
      </c>
      <c r="V163" s="1735" t="e">
        <f t="shared" si="905"/>
        <v>#DIV/0!</v>
      </c>
      <c r="W163" s="1821" t="e">
        <f t="shared" si="905"/>
        <v>#DIV/0!</v>
      </c>
      <c r="X163" s="1735" t="e">
        <f t="shared" si="905"/>
        <v>#DIV/0!</v>
      </c>
      <c r="Y163" s="1735" t="e">
        <f t="shared" si="905"/>
        <v>#DIV/0!</v>
      </c>
      <c r="Z163" s="1735" t="e">
        <f t="shared" si="905"/>
        <v>#DIV/0!</v>
      </c>
      <c r="AA163" s="1735">
        <f t="shared" si="905"/>
        <v>0.20021438225287747</v>
      </c>
      <c r="AB163" s="1735">
        <f t="shared" si="905"/>
        <v>0.59763530311934598</v>
      </c>
      <c r="AC163" s="1738">
        <f t="shared" si="905"/>
        <v>-0.11423534444406414</v>
      </c>
      <c r="AD163" s="1738">
        <f t="shared" si="905"/>
        <v>-0.12198768601061427</v>
      </c>
      <c r="AE163" s="1738">
        <f t="shared" si="905"/>
        <v>-0.1631976857065196</v>
      </c>
      <c r="AF163" s="1738">
        <f t="shared" si="905"/>
        <v>-0.12855446153846162</v>
      </c>
      <c r="AG163" s="1738">
        <f t="shared" si="905"/>
        <v>-4.3798001609477777E-2</v>
      </c>
      <c r="AH163" s="1738">
        <f t="shared" si="905"/>
        <v>-0.11403772948849167</v>
      </c>
      <c r="AI163" s="1738">
        <f t="shared" si="905"/>
        <v>-0.15212579297518303</v>
      </c>
      <c r="AJ163" s="1738">
        <f t="shared" si="905"/>
        <v>-0.21803475275922268</v>
      </c>
      <c r="AK163" s="1738">
        <f t="shared" si="905"/>
        <v>-0.30937305656990877</v>
      </c>
      <c r="AL163" s="1738">
        <f t="shared" si="905"/>
        <v>-0.4436419645042794</v>
      </c>
      <c r="AM163" s="2398">
        <f t="shared" si="905"/>
        <v>-0.47513150999660414</v>
      </c>
      <c r="AN163" s="1738">
        <f t="shared" si="905"/>
        <v>-0.35105858231104825</v>
      </c>
      <c r="AO163" s="1738">
        <f t="shared" si="905"/>
        <v>-0.27321161624450274</v>
      </c>
      <c r="AP163" s="1738">
        <f t="shared" si="905"/>
        <v>3.9591569769211077E-2</v>
      </c>
      <c r="AQ163" s="1738">
        <f t="shared" si="905"/>
        <v>1.8546018705740241E-2</v>
      </c>
      <c r="AR163" s="1738">
        <f t="shared" si="905"/>
        <v>-0.18935441165820888</v>
      </c>
      <c r="AS163" s="1735">
        <f t="shared" si="905"/>
        <v>-0.314070948356868</v>
      </c>
      <c r="AT163" s="1735">
        <f>+AT161/AP161-1</f>
        <v>-0.28916566918616338</v>
      </c>
      <c r="AU163" s="1735">
        <f t="shared" ref="AU163:AX163" si="906">+AU161/AQ161-1</f>
        <v>-0.23691091298686362</v>
      </c>
      <c r="AV163" s="1735">
        <f t="shared" si="906"/>
        <v>-9.6162048128266897E-2</v>
      </c>
      <c r="AW163" s="1735">
        <f t="shared" si="906"/>
        <v>-9.6006079231137575E-2</v>
      </c>
      <c r="AX163" s="1735">
        <f t="shared" si="906"/>
        <v>1.4811456812366286E-2</v>
      </c>
      <c r="AY163" s="1735"/>
      <c r="AZ163" s="1735"/>
      <c r="BA163" s="1736"/>
      <c r="BB163" s="1735">
        <v>-0.23471600781892943</v>
      </c>
      <c r="BC163" s="2196"/>
      <c r="BD163" s="2265"/>
      <c r="BJ163" s="2025"/>
      <c r="BK163" s="1735">
        <f t="shared" ref="BK163:BQ163" si="907">+BK161/BJ161-1</f>
        <v>-1.9289899145036205E-2</v>
      </c>
      <c r="BL163" s="1735">
        <f t="shared" si="907"/>
        <v>7.4827889758404265E-2</v>
      </c>
      <c r="BM163" s="1735">
        <f t="shared" si="907"/>
        <v>-0.11234213310650576</v>
      </c>
      <c r="BN163" s="1735">
        <f t="shared" si="907"/>
        <v>-0.28258007292998433</v>
      </c>
      <c r="BO163" s="1821">
        <f t="shared" si="907"/>
        <v>-0.29101019330660649</v>
      </c>
      <c r="BP163" s="1735">
        <f t="shared" si="907"/>
        <v>-0.20764353278866621</v>
      </c>
      <c r="BQ163" s="1735">
        <f t="shared" si="907"/>
        <v>-0.10567486901224488</v>
      </c>
      <c r="BR163" s="1735">
        <v>0.04</v>
      </c>
      <c r="BS163" s="1735">
        <v>0.04</v>
      </c>
      <c r="BT163" s="1735">
        <v>0.04</v>
      </c>
      <c r="BU163" s="1735">
        <v>0.04</v>
      </c>
    </row>
    <row r="164" spans="1:73" s="1734" customFormat="1">
      <c r="A164" s="1733"/>
      <c r="S164" s="1821"/>
      <c r="T164" s="1735"/>
      <c r="U164" s="1735"/>
      <c r="V164" s="1735"/>
      <c r="W164" s="1821"/>
      <c r="X164" s="1735"/>
      <c r="Y164" s="1735"/>
      <c r="Z164" s="1735"/>
      <c r="AA164" s="1735"/>
      <c r="AB164" s="1735"/>
      <c r="AC164" s="1735"/>
      <c r="AD164" s="1735"/>
      <c r="AE164" s="1735"/>
      <c r="AF164" s="1735"/>
      <c r="AG164" s="1735"/>
      <c r="AH164" s="1735"/>
      <c r="AI164" s="1735"/>
      <c r="AJ164" s="1735"/>
      <c r="AK164" s="1735"/>
      <c r="AL164" s="1735"/>
      <c r="AM164" s="1821"/>
      <c r="AN164" s="1735"/>
      <c r="AO164" s="1735"/>
      <c r="AP164" s="1735"/>
      <c r="AQ164" s="1735"/>
      <c r="AR164" s="1735"/>
      <c r="AS164" s="1735"/>
      <c r="AT164" s="1735"/>
      <c r="AU164" s="1735"/>
      <c r="AV164" s="1735"/>
      <c r="AW164" s="1735"/>
      <c r="AX164" s="1735"/>
      <c r="AY164" s="1735"/>
      <c r="AZ164" s="1735"/>
      <c r="BA164" s="1736"/>
      <c r="BB164" s="1735"/>
      <c r="BC164" s="2196"/>
      <c r="BD164" s="2265"/>
      <c r="BJ164" s="2025"/>
      <c r="BK164" s="1735"/>
      <c r="BL164" s="1735"/>
      <c r="BM164" s="1735"/>
      <c r="BN164" s="1735"/>
      <c r="BO164" s="1821"/>
      <c r="BP164" s="1735"/>
      <c r="BQ164" s="1735"/>
      <c r="BR164" s="1735"/>
      <c r="BS164" s="1735"/>
      <c r="BT164" s="1735"/>
      <c r="BU164" s="1735"/>
    </row>
    <row r="165" spans="1:73" s="1694" customFormat="1">
      <c r="A165" s="1693"/>
      <c r="B165" s="1687" t="s">
        <v>305</v>
      </c>
      <c r="O165" s="1695" t="e">
        <f>+'Avon IS'!#REF!</f>
        <v>#REF!</v>
      </c>
      <c r="P165" s="1695" t="e">
        <f>+'Avon IS'!#REF!</f>
        <v>#REF!</v>
      </c>
      <c r="Q165" s="1695" t="e">
        <f>+'Avon IS'!#REF!</f>
        <v>#REF!</v>
      </c>
      <c r="R165" s="1695" t="e">
        <f>+'Avon IS'!#REF!</f>
        <v>#REF!</v>
      </c>
      <c r="S165" s="1824">
        <v>884.5</v>
      </c>
      <c r="T165" s="1696">
        <v>975.9</v>
      </c>
      <c r="U165" s="1696">
        <v>960</v>
      </c>
      <c r="V165" s="1696">
        <v>993.6</v>
      </c>
      <c r="W165" s="1824">
        <v>846.8</v>
      </c>
      <c r="X165" s="1696">
        <v>672.5</v>
      </c>
      <c r="Y165" s="1696">
        <v>1199</v>
      </c>
      <c r="Z165" s="1696">
        <v>1042.5999999999999</v>
      </c>
      <c r="AA165" s="1696">
        <v>823.5</v>
      </c>
      <c r="AB165" s="1696">
        <v>848.7</v>
      </c>
      <c r="AC165" s="1695">
        <f>+(Y165-390)*(1+AC166)</f>
        <v>660.14400000000001</v>
      </c>
      <c r="AD165" s="1695">
        <f>+(Z165)*(1+AD166)</f>
        <v>759.01279999999997</v>
      </c>
      <c r="AE165" s="1695">
        <f>+(AA165)*(1+AE166)</f>
        <v>683.505</v>
      </c>
      <c r="AF165" s="1695">
        <f>+AB165*(1+AF166)</f>
        <v>757.8891000000001</v>
      </c>
      <c r="AG165" s="1695">
        <f>+AC165*(1+AG166)</f>
        <v>650.90198399999997</v>
      </c>
      <c r="AH165" s="1695">
        <f>+AD165*(1+AH166)</f>
        <v>815.93875999999989</v>
      </c>
      <c r="AI165" s="1695">
        <f t="shared" ref="AI165:AJ165" si="908">+AE165*(1+AI166)</f>
        <v>679.40396999999996</v>
      </c>
      <c r="AJ165" s="1695">
        <f t="shared" si="908"/>
        <v>746.52076350000004</v>
      </c>
      <c r="AK165" s="1695">
        <f t="shared" ref="AK165" si="909">+AG165*(1+AK166)</f>
        <v>463.44221260799998</v>
      </c>
      <c r="AL165" s="1695">
        <f t="shared" ref="AL165" si="910">+AH165*(1+AL166)</f>
        <v>669.88572195999984</v>
      </c>
      <c r="AM165" s="1822">
        <v>479.98812955159167</v>
      </c>
      <c r="AN165" s="1688">
        <v>554.02930332655592</v>
      </c>
      <c r="AO165" s="1688">
        <v>528.61732558933954</v>
      </c>
      <c r="AP165" s="1689">
        <f>+AL165*(1+AP166)-AP174</f>
        <v>528.94300916583563</v>
      </c>
      <c r="AQ165" s="1688">
        <v>422.55102637653033</v>
      </c>
      <c r="AR165" s="1688">
        <v>482.82432201494561</v>
      </c>
      <c r="AS165" s="1688">
        <v>437.18325162487804</v>
      </c>
      <c r="AT165" s="1688">
        <v>466</v>
      </c>
      <c r="AU165" s="1697">
        <f t="shared" ref="AU165" si="911">+AQ165*(1+AU166)</f>
        <v>380.29592373887732</v>
      </c>
      <c r="AV165" s="1697">
        <f t="shared" ref="AV165" si="912">+AR165*(1+AV166)</f>
        <v>458.68310591419828</v>
      </c>
      <c r="AW165" s="1697">
        <f t="shared" ref="AW165" si="913">+AS165*(1+AW166)</f>
        <v>437.18325162487804</v>
      </c>
      <c r="AX165" s="1697">
        <f t="shared" ref="AX165" si="914">+AT165*(1+AX166)</f>
        <v>479.98</v>
      </c>
      <c r="AY165" s="1697"/>
      <c r="AZ165" s="1697"/>
      <c r="BA165" s="1698"/>
      <c r="BB165" s="1697">
        <v>476.04870824925206</v>
      </c>
      <c r="BC165" s="2191">
        <f>+AT165/BB165-1</f>
        <v>-2.1108571612782789E-2</v>
      </c>
      <c r="BD165" s="1698"/>
      <c r="BJ165" s="2029"/>
      <c r="BK165" s="1694">
        <f>+SUM(W165:Z165)</f>
        <v>3760.9</v>
      </c>
      <c r="BL165" s="1694">
        <f>+SUM(AA165:AD165)</f>
        <v>3091.3568</v>
      </c>
      <c r="BM165" s="1694">
        <f>+SUM(AE165:AH165)</f>
        <v>2908.2348440000001</v>
      </c>
      <c r="BN165" s="1694">
        <f>+SUM(AI165:AL165)</f>
        <v>2559.2526680679998</v>
      </c>
      <c r="BO165" s="1693">
        <f>+SUM(AM165:AP165)</f>
        <v>2091.5777676333228</v>
      </c>
      <c r="BP165" s="1694">
        <f>+SUM(AQ165:AT165)</f>
        <v>1808.5586000163539</v>
      </c>
      <c r="BQ165" s="1694">
        <f>+SUM(AU165:AX165)</f>
        <v>1756.1422812779538</v>
      </c>
      <c r="BR165" s="1697">
        <f t="shared" ref="BR165" si="915">+BQ165*(1+BR166)</f>
        <v>1830.7783282322669</v>
      </c>
      <c r="BS165" s="1697">
        <f t="shared" ref="BS165" si="916">+BR165*(1+BS166)</f>
        <v>1904.0094613615577</v>
      </c>
      <c r="BT165" s="1697">
        <f t="shared" ref="BT165" si="917">+BS165*(1+BT166)</f>
        <v>1980.1698398160199</v>
      </c>
      <c r="BU165" s="1697">
        <f t="shared" ref="BU165" si="918">+BT165*(1+BU166)</f>
        <v>2059.3766334086608</v>
      </c>
    </row>
    <row r="166" spans="1:73" s="1671" customFormat="1">
      <c r="A166" s="1681"/>
      <c r="B166" s="1671" t="s">
        <v>108</v>
      </c>
      <c r="S166" s="1825" t="e">
        <f t="shared" ref="S166" si="919">+S165/O165-1</f>
        <v>#REF!</v>
      </c>
      <c r="T166" s="1672" t="e">
        <f t="shared" ref="T166" si="920">+T165/P165-1</f>
        <v>#REF!</v>
      </c>
      <c r="U166" s="1672" t="e">
        <f t="shared" ref="U166" si="921">+U165/Q165-1</f>
        <v>#REF!</v>
      </c>
      <c r="V166" s="1672" t="e">
        <f t="shared" ref="V166" si="922">+V165/R165-1</f>
        <v>#REF!</v>
      </c>
      <c r="W166" s="1825">
        <f t="shared" ref="W166" si="923">+W165/S165-1</f>
        <v>-4.2622950819672156E-2</v>
      </c>
      <c r="X166" s="1672">
        <f t="shared" ref="X166" si="924">+X165/T165-1</f>
        <v>-0.31089250947843017</v>
      </c>
      <c r="Y166" s="1672">
        <f t="shared" ref="Y166" si="925">+Y165/U165-1</f>
        <v>0.24895833333333339</v>
      </c>
      <c r="Z166" s="1672">
        <f t="shared" ref="Z166" si="926">+Z165/V165-1</f>
        <v>4.9315619967793767E-2</v>
      </c>
      <c r="AA166" s="1672">
        <f t="shared" ref="AA166" si="927">+AA165/W165-1</f>
        <v>-2.7515351913084518E-2</v>
      </c>
      <c r="AB166" s="1672">
        <f t="shared" ref="AB166" si="928">+AB165/X165-1</f>
        <v>0.26200743494423806</v>
      </c>
      <c r="AC166" s="1673">
        <v>-0.184</v>
      </c>
      <c r="AD166" s="1673">
        <v>-0.27200000000000002</v>
      </c>
      <c r="AE166" s="1673">
        <v>-0.17</v>
      </c>
      <c r="AF166" s="1673">
        <v>-0.107</v>
      </c>
      <c r="AG166" s="1673">
        <v>-1.4E-2</v>
      </c>
      <c r="AH166" s="1673">
        <v>7.4999999999999997E-2</v>
      </c>
      <c r="AI166" s="1673">
        <v>-6.0000000000000001E-3</v>
      </c>
      <c r="AJ166" s="1756">
        <v>-1.4999999999999999E-2</v>
      </c>
      <c r="AK166" s="1673">
        <v>-0.28799999999999998</v>
      </c>
      <c r="AL166" s="1673">
        <v>-0.17899999999999999</v>
      </c>
      <c r="AM166" s="1821">
        <f t="shared" ref="AM166" si="929">+AM165/AI165-1</f>
        <v>-0.29351585986229711</v>
      </c>
      <c r="AN166" s="1735">
        <f t="shared" ref="AN166" si="930">+AN165/AJ165-1</f>
        <v>-0.25785144845933561</v>
      </c>
      <c r="AO166" s="1735">
        <f>+AO165/AK165-1</f>
        <v>0.14063266402637242</v>
      </c>
      <c r="AP166" s="1673">
        <v>-8.3000000000000004E-2</v>
      </c>
      <c r="AQ166" s="1735">
        <f t="shared" ref="AQ166:AR166" si="931">+AQ165/AM165-1</f>
        <v>-0.11966359090738243</v>
      </c>
      <c r="AR166" s="1735">
        <f t="shared" si="931"/>
        <v>-0.12852204907587839</v>
      </c>
      <c r="AS166" s="1735">
        <f>+AS165/AO165-1</f>
        <v>-0.17296836395311943</v>
      </c>
      <c r="AT166" s="1735">
        <f>+AT165/AP165-1</f>
        <v>-0.11899771445150453</v>
      </c>
      <c r="AU166" s="944">
        <v>-0.1</v>
      </c>
      <c r="AV166" s="944">
        <v>-0.05</v>
      </c>
      <c r="AW166" s="944">
        <v>0</v>
      </c>
      <c r="AX166" s="944">
        <v>0.03</v>
      </c>
      <c r="AY166" s="944"/>
      <c r="AZ166" s="944"/>
      <c r="BA166" s="1676"/>
      <c r="BB166" s="944">
        <v>-0.1</v>
      </c>
      <c r="BC166" s="2189"/>
      <c r="BD166" s="2266"/>
      <c r="BJ166" s="2030"/>
      <c r="BK166" s="1672"/>
      <c r="BL166" s="1672">
        <f t="shared" ref="BL166:BQ166" si="932">+BL165/BK165-1</f>
        <v>-0.17802738706160759</v>
      </c>
      <c r="BM166" s="1672">
        <f t="shared" si="932"/>
        <v>-5.9236758435648684E-2</v>
      </c>
      <c r="BN166" s="1672">
        <f t="shared" si="932"/>
        <v>-0.1199979350539685</v>
      </c>
      <c r="BO166" s="1825">
        <f t="shared" si="932"/>
        <v>-0.18273885430301362</v>
      </c>
      <c r="BP166" s="1672">
        <f t="shared" si="932"/>
        <v>-0.13531371962191618</v>
      </c>
      <c r="BQ166" s="1672">
        <f t="shared" si="932"/>
        <v>-2.8982372336691875E-2</v>
      </c>
      <c r="BR166" s="1674">
        <f>+BR2</f>
        <v>4.2500000000000003E-2</v>
      </c>
      <c r="BS166" s="1674">
        <f>+BS2</f>
        <v>0.04</v>
      </c>
      <c r="BT166" s="1674">
        <f>+BT2</f>
        <v>0.04</v>
      </c>
      <c r="BU166" s="1674">
        <f>+BU2</f>
        <v>0.04</v>
      </c>
    </row>
    <row r="167" spans="1:73" s="1671" customFormat="1">
      <c r="A167" s="1681"/>
      <c r="B167" s="1687" t="s">
        <v>306</v>
      </c>
      <c r="S167" s="1825"/>
      <c r="T167" s="1672"/>
      <c r="U167" s="1672"/>
      <c r="V167" s="1672"/>
      <c r="W167" s="1694">
        <f t="shared" ref="W167:AA167" si="933">+W161-W165</f>
        <v>1298.9000000000003</v>
      </c>
      <c r="X167" s="1694">
        <f t="shared" si="933"/>
        <v>954.90520000000015</v>
      </c>
      <c r="Y167" s="1694">
        <f t="shared" si="933"/>
        <v>1723.1000000000004</v>
      </c>
      <c r="Z167" s="1694">
        <f t="shared" si="933"/>
        <v>1840.3000000000006</v>
      </c>
      <c r="AA167" s="1694">
        <f t="shared" si="933"/>
        <v>1751.7999999999993</v>
      </c>
      <c r="AB167" s="1694">
        <f>+AB161-AB165</f>
        <v>1751.3</v>
      </c>
      <c r="AC167" s="1692">
        <f t="shared" ref="AC167:AD167" si="934">+Y167*(1+AC168)</f>
        <v>1928.1489000000004</v>
      </c>
      <c r="AD167" s="1692">
        <f t="shared" si="934"/>
        <v>1772.2089000000005</v>
      </c>
      <c r="AE167" s="1692">
        <f t="shared" ref="AE167" si="935">+AA167*(1+AE168)</f>
        <v>1471.5119999999993</v>
      </c>
      <c r="AF167" s="1692">
        <f t="shared" ref="AF167" si="936">+AB167*(1+AF168)</f>
        <v>1507.8692999999998</v>
      </c>
      <c r="AG167" s="1692">
        <f t="shared" ref="AG167:AL167" si="937">+AC167*(1+AG168)</f>
        <v>1824.0288594000003</v>
      </c>
      <c r="AH167" s="1692">
        <f t="shared" si="937"/>
        <v>1426.6281645000004</v>
      </c>
      <c r="AI167" s="1692">
        <f t="shared" si="937"/>
        <v>1147.7793599999995</v>
      </c>
      <c r="AJ167" s="1754">
        <f t="shared" si="937"/>
        <v>1025.3511239999998</v>
      </c>
      <c r="AK167" s="1692">
        <f t="shared" si="937"/>
        <v>1245.8117109702002</v>
      </c>
      <c r="AL167" s="1692">
        <f t="shared" si="937"/>
        <v>577.78440662250023</v>
      </c>
      <c r="AM167" s="1822">
        <v>479.04282582488457</v>
      </c>
      <c r="AN167" s="1688">
        <v>595.72897230722594</v>
      </c>
      <c r="AO167" s="1688">
        <v>713.64857095580282</v>
      </c>
      <c r="AP167" s="1689">
        <f>+AL167*(1+AP168)-AP176</f>
        <v>768.12433836139894</v>
      </c>
      <c r="AQ167" s="1688">
        <v>554.26613503774183</v>
      </c>
      <c r="AR167" s="1688">
        <v>449.22215178704488</v>
      </c>
      <c r="AS167" s="1688">
        <v>414.92301668093654</v>
      </c>
      <c r="AT167" s="1688">
        <v>456</v>
      </c>
      <c r="AU167" s="1689">
        <f>+AT167/AT$186*AU$186</f>
        <v>365.10259214350305</v>
      </c>
      <c r="AV167" s="1689">
        <f t="shared" ref="AV167:AX167" si="938">+AU167/AU$186*AV$186</f>
        <v>383.73587001626379</v>
      </c>
      <c r="AW167" s="1689">
        <f t="shared" si="938"/>
        <v>333.11563477261961</v>
      </c>
      <c r="AX167" s="1689">
        <f t="shared" si="938"/>
        <v>455.6761631810017</v>
      </c>
      <c r="AY167" s="1689"/>
      <c r="AZ167" s="1689"/>
      <c r="BA167" s="1676"/>
      <c r="BB167" s="1689">
        <v>516.57616959410223</v>
      </c>
      <c r="BC167" s="2191">
        <f>+AT167/BB167-1</f>
        <v>-0.1172647387929252</v>
      </c>
      <c r="BD167" s="2266"/>
      <c r="BI167" s="1694"/>
      <c r="BJ167" s="2029"/>
      <c r="BK167" s="1694">
        <f>+SUM(W167:Z167)</f>
        <v>5817.2052000000022</v>
      </c>
      <c r="BL167" s="1694">
        <f>+SUM(AA167:AD167)</f>
        <v>7203.4578000000001</v>
      </c>
      <c r="BM167" s="1694">
        <f>+SUM(AE167:AH167)</f>
        <v>6230.0383239000003</v>
      </c>
      <c r="BN167" s="1694">
        <f>+SUM(AI167:AL167)</f>
        <v>3996.7266015926998</v>
      </c>
      <c r="BO167" s="1693">
        <f>+SUM(AM167:AP167)</f>
        <v>2556.5447074493122</v>
      </c>
      <c r="BP167" s="1694">
        <f>+SUM(AQ167:AT167)</f>
        <v>1874.4113035057233</v>
      </c>
      <c r="BQ167" s="1694">
        <f>+SUM(AU167:AX167)</f>
        <v>1537.630260113388</v>
      </c>
      <c r="BR167" s="1689">
        <f>+BQ167/BQ186*BR186</f>
        <v>1620.5395224988472</v>
      </c>
      <c r="BS167" s="1689">
        <f>+BR167/BR186*BS186</f>
        <v>1682.7841818814586</v>
      </c>
      <c r="BT167" s="1689">
        <f>+BS167/BS186*BT186</f>
        <v>1745.8589510356487</v>
      </c>
      <c r="BU167" s="1689">
        <f>+BT167/BT186*BU186</f>
        <v>1798.4979076650202</v>
      </c>
    </row>
    <row r="168" spans="1:73" s="1671" customFormat="1">
      <c r="A168" s="1681"/>
      <c r="B168" s="1671" t="s">
        <v>108</v>
      </c>
      <c r="S168" s="1825"/>
      <c r="T168" s="1672"/>
      <c r="U168" s="1672"/>
      <c r="V168" s="1672"/>
      <c r="W168" s="1825"/>
      <c r="X168" s="1672"/>
      <c r="Y168" s="1672"/>
      <c r="Z168" s="1672"/>
      <c r="AA168" s="1672"/>
      <c r="AB168" s="1672"/>
      <c r="AC168" s="1235">
        <v>0.11899999999999999</v>
      </c>
      <c r="AD168" s="1673">
        <v>-3.6999999999999998E-2</v>
      </c>
      <c r="AE168" s="1673">
        <v>-0.16</v>
      </c>
      <c r="AF168" s="1673">
        <v>-0.13900000000000001</v>
      </c>
      <c r="AG168" s="1673">
        <v>-5.3999999999999999E-2</v>
      </c>
      <c r="AH168" s="1673">
        <v>-0.19500000000000001</v>
      </c>
      <c r="AI168" s="1673">
        <v>-0.22</v>
      </c>
      <c r="AJ168" s="1756">
        <v>-0.32</v>
      </c>
      <c r="AK168" s="1673">
        <v>-0.317</v>
      </c>
      <c r="AL168" s="1673">
        <v>-0.59499999999999997</v>
      </c>
      <c r="AM168" s="1821">
        <f t="shared" ref="AM168" si="939">+AM167/AI167-1</f>
        <v>-0.5826350930157127</v>
      </c>
      <c r="AN168" s="1735">
        <f t="shared" ref="AN168" si="940">+AN167/AJ167-1</f>
        <v>-0.41900002997682761</v>
      </c>
      <c r="AO168" s="1735">
        <f>+AO167/AK167-1</f>
        <v>-0.42716177358773177</v>
      </c>
      <c r="AP168" s="1235">
        <v>0.90300000000000002</v>
      </c>
      <c r="AQ168" s="1735">
        <f t="shared" ref="AQ168" si="941">+AQ167/AM167-1</f>
        <v>0.15702835979920371</v>
      </c>
      <c r="AR168" s="1735">
        <f t="shared" ref="AR168" si="942">+AR167/AN167-1</f>
        <v>-0.24592864764117162</v>
      </c>
      <c r="AS168" s="1735">
        <f>+AS167/AO167-1</f>
        <v>-0.41858915779061612</v>
      </c>
      <c r="AT168" s="1735">
        <f t="shared" ref="AT168" si="943">+AT167/AP167-1</f>
        <v>-0.40634611191625314</v>
      </c>
      <c r="AU168" s="1735">
        <f t="shared" ref="AU168" si="944">+AU167/AQ167-1</f>
        <v>-0.34128648845081977</v>
      </c>
      <c r="AV168" s="1735">
        <f t="shared" ref="AV168" si="945">+AV167/AR167-1</f>
        <v>-0.14577705375897199</v>
      </c>
      <c r="AW168" s="1735">
        <f t="shared" ref="AW168" si="946">+AW167/AS167-1</f>
        <v>-0.19716279555352889</v>
      </c>
      <c r="AX168" s="1735">
        <f t="shared" ref="AX168" si="947">+AX167/AT167-1</f>
        <v>-7.1016846271554357E-4</v>
      </c>
      <c r="AY168" s="1735"/>
      <c r="AZ168" s="1735"/>
      <c r="BA168" s="1676"/>
      <c r="BB168" s="1735">
        <v>-0.32748365883564079</v>
      </c>
      <c r="BC168" s="2199"/>
      <c r="BD168" s="2266"/>
      <c r="BJ168" s="2030"/>
      <c r="BK168" s="1672"/>
      <c r="BL168" s="1672">
        <f t="shared" ref="BL168:BQ168" si="948">+BL167/BK167-1</f>
        <v>0.23830216613297361</v>
      </c>
      <c r="BM168" s="1672">
        <f t="shared" si="948"/>
        <v>-0.1351322521942171</v>
      </c>
      <c r="BN168" s="1672">
        <f t="shared" si="948"/>
        <v>-0.35847479681461236</v>
      </c>
      <c r="BO168" s="1825">
        <f t="shared" si="948"/>
        <v>-0.36034035792427577</v>
      </c>
      <c r="BP168" s="1672">
        <f t="shared" si="948"/>
        <v>-0.26681849214526732</v>
      </c>
      <c r="BQ168" s="1672">
        <f t="shared" si="948"/>
        <v>-0.17967296866085447</v>
      </c>
      <c r="BR168" s="1672">
        <f t="shared" ref="BR168:BU168" si="949">+BR167/BQ167-1</f>
        <v>5.3920155277995985E-2</v>
      </c>
      <c r="BS168" s="1672">
        <f t="shared" si="949"/>
        <v>3.8409837290874105E-2</v>
      </c>
      <c r="BT168" s="1672">
        <f t="shared" si="949"/>
        <v>3.748238771989687E-2</v>
      </c>
      <c r="BU168" s="1672">
        <f t="shared" si="949"/>
        <v>3.015074992063127E-2</v>
      </c>
    </row>
    <row r="169" spans="1:73" s="325" customFormat="1" ht="15" customHeight="1">
      <c r="A169" s="1030"/>
      <c r="B169" s="1671"/>
      <c r="C169" s="471"/>
      <c r="D169" s="471"/>
      <c r="E169" s="471"/>
      <c r="F169" s="471"/>
      <c r="G169" s="471"/>
      <c r="H169" s="471"/>
      <c r="I169" s="471"/>
      <c r="J169" s="471"/>
      <c r="K169" s="471"/>
      <c r="L169" s="471"/>
      <c r="M169" s="471"/>
      <c r="N169" s="471"/>
      <c r="O169" s="471"/>
      <c r="P169" s="471"/>
      <c r="Q169" s="471"/>
      <c r="R169" s="471"/>
      <c r="S169" s="1034"/>
      <c r="T169" s="471"/>
      <c r="U169" s="471"/>
      <c r="V169" s="471"/>
      <c r="W169" s="1826"/>
      <c r="X169" s="1670"/>
      <c r="Y169" s="1670"/>
      <c r="Z169" s="1670"/>
      <c r="AA169" s="1670"/>
      <c r="AB169" s="1670"/>
      <c r="AC169" s="1670"/>
      <c r="AD169" s="1670"/>
      <c r="AE169" s="1670"/>
      <c r="AF169" s="1670"/>
      <c r="AG169" s="1670"/>
      <c r="AH169" s="1670"/>
      <c r="AI169" s="1670"/>
      <c r="AJ169" s="1670"/>
      <c r="AK169" s="1670"/>
      <c r="AL169" s="1670"/>
      <c r="AM169" s="1826"/>
      <c r="AN169" s="1670"/>
      <c r="AO169" s="1670"/>
      <c r="AP169" s="1670"/>
      <c r="AQ169" s="1670"/>
      <c r="AR169" s="1670"/>
      <c r="AS169" s="1670"/>
      <c r="AT169" s="1670"/>
      <c r="AU169" s="1670"/>
      <c r="AV169" s="1670"/>
      <c r="AW169" s="1670"/>
      <c r="AX169" s="1670"/>
      <c r="AY169" s="1670"/>
      <c r="AZ169" s="1670"/>
      <c r="BA169" s="72"/>
      <c r="BB169" s="1670"/>
      <c r="BC169" s="2189"/>
      <c r="BD169" s="72"/>
      <c r="BE169" s="337"/>
      <c r="BF169" s="337"/>
      <c r="BG169" s="337"/>
      <c r="BH169" s="337"/>
      <c r="BI169" s="474"/>
      <c r="BJ169" s="2031"/>
      <c r="BK169" s="474"/>
      <c r="BL169" s="474"/>
      <c r="BM169" s="474"/>
      <c r="BN169" s="474"/>
      <c r="BO169" s="2459"/>
      <c r="BP169" s="474"/>
      <c r="BQ169" s="474"/>
      <c r="BR169" s="1508"/>
      <c r="BS169" s="1508"/>
      <c r="BT169" s="1508"/>
      <c r="BU169" s="1508"/>
    </row>
    <row r="170" spans="1:73" s="484" customFormat="1" ht="15" customHeight="1">
      <c r="A170" s="483"/>
      <c r="B170" s="1740" t="s">
        <v>952</v>
      </c>
      <c r="C170" s="1741"/>
      <c r="D170" s="1741"/>
      <c r="E170" s="1741"/>
      <c r="F170" s="1741"/>
      <c r="G170" s="1741"/>
      <c r="H170" s="1741"/>
      <c r="I170" s="1741"/>
      <c r="J170" s="1741"/>
      <c r="K170" s="1741"/>
      <c r="L170" s="1741"/>
      <c r="M170" s="1741"/>
      <c r="N170" s="1741"/>
      <c r="O170" s="1741"/>
      <c r="P170" s="1741"/>
      <c r="Q170" s="1741"/>
      <c r="R170" s="1741"/>
      <c r="S170" s="1962"/>
      <c r="T170" s="1741"/>
      <c r="U170" s="1741"/>
      <c r="V170" s="1741"/>
      <c r="W170" s="1819"/>
      <c r="X170" s="1742"/>
      <c r="Y170" s="1742"/>
      <c r="Z170" s="1742"/>
      <c r="AA170" s="1742"/>
      <c r="AB170" s="1742"/>
      <c r="AC170" s="1742"/>
      <c r="AD170" s="1742"/>
      <c r="AE170" s="1742"/>
      <c r="AF170" s="1742"/>
      <c r="AG170" s="1742"/>
      <c r="AH170" s="1742"/>
      <c r="AI170" s="1742"/>
      <c r="AJ170" s="1743"/>
      <c r="AK170" s="1742"/>
      <c r="AL170" s="1742"/>
      <c r="AM170" s="1819">
        <f t="shared" ref="AM170:AS170" si="950">+AM174+AM176</f>
        <v>331.93178075611723</v>
      </c>
      <c r="AN170" s="1742">
        <f t="shared" si="950"/>
        <v>347.62354020092471</v>
      </c>
      <c r="AO170" s="1742">
        <f t="shared" si="950"/>
        <v>416.74158531270325</v>
      </c>
      <c r="AP170" s="1742">
        <f t="shared" si="950"/>
        <v>416.74158531270325</v>
      </c>
      <c r="AQ170" s="1742">
        <f t="shared" si="950"/>
        <v>277.06170524176366</v>
      </c>
      <c r="AR170" s="1742">
        <f t="shared" si="950"/>
        <v>264.26399568530172</v>
      </c>
      <c r="AS170" s="1742">
        <f t="shared" si="950"/>
        <v>247.63498902563995</v>
      </c>
      <c r="AT170" s="1742">
        <f t="shared" ref="AT170:AX170" si="951">+AT174+AT176</f>
        <v>237</v>
      </c>
      <c r="AU170" s="1743">
        <f t="shared" si="951"/>
        <v>207.18592022490185</v>
      </c>
      <c r="AV170" s="1743">
        <f t="shared" si="951"/>
        <v>202.08567800320412</v>
      </c>
      <c r="AW170" s="1743">
        <f t="shared" si="951"/>
        <v>188.88433518333471</v>
      </c>
      <c r="AX170" s="1743">
        <f t="shared" si="951"/>
        <v>179.5</v>
      </c>
      <c r="AY170" s="2644"/>
      <c r="AZ170" s="2644"/>
      <c r="BA170" s="85"/>
      <c r="BB170" s="1743">
        <v>288.37679456763021</v>
      </c>
      <c r="BC170" s="2198"/>
      <c r="BD170" s="85"/>
      <c r="BE170" s="1742" t="e">
        <f>+BE174+#REF!</f>
        <v>#REF!</v>
      </c>
      <c r="BF170" s="1742" t="e">
        <f>+BF174+#REF!</f>
        <v>#REF!</v>
      </c>
      <c r="BG170" s="1742" t="e">
        <f>+BG174+#REF!</f>
        <v>#REF!</v>
      </c>
      <c r="BH170" s="1742" t="e">
        <f>+BH174+#REF!</f>
        <v>#REF!</v>
      </c>
      <c r="BI170" s="1742"/>
      <c r="BJ170" s="2023">
        <f>+BJ158-BJ161</f>
        <v>-7023.9999999999982</v>
      </c>
      <c r="BK170" s="1742"/>
      <c r="BL170" s="1742"/>
      <c r="BM170" s="1742"/>
      <c r="BN170" s="1742"/>
      <c r="BO170" s="1819">
        <f t="shared" ref="BO170:BU170" si="952">+BO174+BO176</f>
        <v>1513.0384915824484</v>
      </c>
      <c r="BP170" s="1742">
        <f t="shared" si="952"/>
        <v>1025.9606899527053</v>
      </c>
      <c r="BQ170" s="1742">
        <f t="shared" ref="BQ170" si="953">+BQ174+BQ176</f>
        <v>777.65593341144063</v>
      </c>
      <c r="BR170" s="1744">
        <f t="shared" si="952"/>
        <v>787.85554153966018</v>
      </c>
      <c r="BS170" s="1744">
        <f t="shared" si="952"/>
        <v>798.25914183044415</v>
      </c>
      <c r="BT170" s="1744">
        <f t="shared" si="952"/>
        <v>808.87081412704379</v>
      </c>
      <c r="BU170" s="1744">
        <f t="shared" si="952"/>
        <v>819.69471986957547</v>
      </c>
    </row>
    <row r="171" spans="1:73" s="1575" customFormat="1" ht="15" customHeight="1">
      <c r="A171" s="1683"/>
      <c r="B171" s="1286" t="s">
        <v>140</v>
      </c>
      <c r="C171" s="1684"/>
      <c r="D171" s="1684"/>
      <c r="E171" s="1684"/>
      <c r="F171" s="1684"/>
      <c r="G171" s="1684"/>
      <c r="H171" s="1684"/>
      <c r="I171" s="1684"/>
      <c r="J171" s="1684"/>
      <c r="K171" s="1684"/>
      <c r="L171" s="1684"/>
      <c r="M171" s="1684"/>
      <c r="N171" s="1684"/>
      <c r="O171" s="1684"/>
      <c r="P171" s="1684"/>
      <c r="Q171" s="1684"/>
      <c r="R171" s="1684"/>
      <c r="S171" s="1961"/>
      <c r="T171" s="1684"/>
      <c r="U171" s="1684"/>
      <c r="V171" s="1684"/>
      <c r="W171" s="1820"/>
      <c r="X171" s="1685"/>
      <c r="Y171" s="1685"/>
      <c r="Z171" s="1685"/>
      <c r="AA171" s="1685"/>
      <c r="AB171" s="1685"/>
      <c r="AC171" s="1685"/>
      <c r="AD171" s="1685"/>
      <c r="AE171" s="1685"/>
      <c r="AF171" s="1685"/>
      <c r="AG171" s="1685"/>
      <c r="AH171" s="1685"/>
      <c r="AI171" s="1685"/>
      <c r="AJ171" s="1685"/>
      <c r="AK171" s="1685"/>
      <c r="AL171" s="1685"/>
      <c r="AM171" s="1820">
        <f t="shared" ref="AM171:AX171" si="954">+AM170/AM$144</f>
        <v>7.0554729574483957E-2</v>
      </c>
      <c r="AN171" s="1685">
        <f t="shared" si="954"/>
        <v>5.8695976000229098E-2</v>
      </c>
      <c r="AO171" s="1685">
        <f t="shared" si="954"/>
        <v>6.9740202663161582E-2</v>
      </c>
      <c r="AP171" s="1685">
        <f t="shared" si="954"/>
        <v>5.8773811146123491E-2</v>
      </c>
      <c r="AQ171" s="1685">
        <f t="shared" si="954"/>
        <v>5.3871129553215068E-2</v>
      </c>
      <c r="AR171" s="1685">
        <f t="shared" si="954"/>
        <v>4.6464816205173141E-2</v>
      </c>
      <c r="AS171" s="1685">
        <f t="shared" si="954"/>
        <v>4.7677125341863677E-2</v>
      </c>
      <c r="AT171" s="1685">
        <f t="shared" si="954"/>
        <v>3.8269013402228325E-2</v>
      </c>
      <c r="AU171" s="1685">
        <f t="shared" si="954"/>
        <v>4.4354040522961845E-2</v>
      </c>
      <c r="AV171" s="1685">
        <f t="shared" si="954"/>
        <v>3.6156474003792544E-2</v>
      </c>
      <c r="AW171" s="1685">
        <f t="shared" si="954"/>
        <v>3.7244658661485179E-2</v>
      </c>
      <c r="AX171" s="1685">
        <f t="shared" si="954"/>
        <v>2.8245025361344402E-2</v>
      </c>
      <c r="AY171" s="1685"/>
      <c r="AZ171" s="1685"/>
      <c r="BA171" s="1677"/>
      <c r="BB171" s="1685">
        <v>4.5442718572639151E-2</v>
      </c>
      <c r="BC171" s="2195"/>
      <c r="BD171" s="1677"/>
      <c r="BE171" s="1578"/>
      <c r="BF171" s="1578"/>
      <c r="BG171" s="1578"/>
      <c r="BH171" s="1578"/>
      <c r="BI171" s="1685"/>
      <c r="BJ171" s="2024">
        <f t="shared" ref="BJ171:BP171" si="955">+BJ170/BJ$144</f>
        <v>-0.37421616524328838</v>
      </c>
      <c r="BK171" s="1685"/>
      <c r="BL171" s="1685"/>
      <c r="BM171" s="1685"/>
      <c r="BN171" s="1685"/>
      <c r="BO171" s="1820">
        <f t="shared" si="955"/>
        <v>6.385941626096811E-2</v>
      </c>
      <c r="BP171" s="1685">
        <f t="shared" si="955"/>
        <v>4.6178155815030944E-2</v>
      </c>
      <c r="BQ171" s="1685">
        <f t="shared" ref="BQ171" si="956">+BQ170/BQ$144</f>
        <v>3.5858274203355259E-2</v>
      </c>
      <c r="BR171" s="1685">
        <f>+BR170/BR$144</f>
        <v>3.4772235950823231E-2</v>
      </c>
      <c r="BS171" s="1685">
        <f>+BS170/BS$144</f>
        <v>3.3917434231103764E-2</v>
      </c>
      <c r="BT171" s="1685">
        <f>+BT170/BT$144</f>
        <v>3.3097077648089564E-2</v>
      </c>
      <c r="BU171" s="1685">
        <f>+BU170/BU$144</f>
        <v>3.238540265121588E-2</v>
      </c>
    </row>
    <row r="172" spans="1:73" s="1734" customFormat="1">
      <c r="A172" s="1733"/>
      <c r="B172" s="1734" t="s">
        <v>108</v>
      </c>
      <c r="S172" s="1821"/>
      <c r="T172" s="1735"/>
      <c r="U172" s="1735"/>
      <c r="V172" s="1735"/>
      <c r="W172" s="1821"/>
      <c r="X172" s="1735"/>
      <c r="Y172" s="1685"/>
      <c r="Z172" s="1685"/>
      <c r="AA172" s="1685"/>
      <c r="AB172" s="1685"/>
      <c r="AC172" s="1685"/>
      <c r="AD172" s="1685"/>
      <c r="AE172" s="1685"/>
      <c r="AF172" s="1685"/>
      <c r="AG172" s="1685"/>
      <c r="AH172" s="1685"/>
      <c r="AI172" s="1685"/>
      <c r="AJ172" s="1685"/>
      <c r="AK172" s="1685"/>
      <c r="AL172" s="1685"/>
      <c r="AM172" s="1821"/>
      <c r="AN172" s="1735"/>
      <c r="AO172" s="1735"/>
      <c r="AP172" s="1735"/>
      <c r="AQ172" s="2640">
        <f t="shared" ref="AQ172" si="957">+AQ170/AM170-1</f>
        <v>-0.16530527866106526</v>
      </c>
      <c r="AR172" s="2640">
        <f t="shared" ref="AR172" si="958">+AR170/AN170-1</f>
        <v>-0.23979833030709474</v>
      </c>
      <c r="AS172" s="2640">
        <f t="shared" ref="AS172" si="959">+AS170/AO170-1</f>
        <v>-0.40578286940136699</v>
      </c>
      <c r="AT172" s="2640">
        <f>+AT170/AP170-1</f>
        <v>-0.43130225455622251</v>
      </c>
      <c r="AU172" s="2640">
        <f t="shared" ref="AU172" si="960">+AU170/AQ170-1</f>
        <v>-0.25220297029460748</v>
      </c>
      <c r="AV172" s="2640">
        <f t="shared" ref="AV172" si="961">+AV170/AR170-1</f>
        <v>-0.23528864581364517</v>
      </c>
      <c r="AW172" s="2640">
        <f t="shared" ref="AW172" si="962">+AW170/AS170-1</f>
        <v>-0.23724698223570595</v>
      </c>
      <c r="AX172" s="2640">
        <f t="shared" ref="AX172" si="963">+AX170/AT170-1</f>
        <v>-0.2426160337552743</v>
      </c>
      <c r="AY172" s="2640"/>
      <c r="AZ172" s="2640"/>
      <c r="BA172" s="1736"/>
      <c r="BB172" s="2640">
        <v>-0.30802011430837684</v>
      </c>
      <c r="BC172" s="2196"/>
      <c r="BD172" s="2265"/>
      <c r="BJ172" s="2025"/>
      <c r="BK172" s="1735"/>
      <c r="BL172" s="1735"/>
      <c r="BM172" s="1735"/>
      <c r="BN172" s="1735"/>
      <c r="BO172" s="1821"/>
      <c r="BP172" s="1735">
        <f t="shared" ref="BP172:BQ172" si="964">+BP170/BO170-1</f>
        <v>-0.32192029769204411</v>
      </c>
      <c r="BQ172" s="1735">
        <f t="shared" si="964"/>
        <v>-0.24202170606820328</v>
      </c>
      <c r="BR172" s="1735">
        <v>0.04</v>
      </c>
      <c r="BS172" s="1735">
        <v>0.04</v>
      </c>
      <c r="BT172" s="1735">
        <v>0.04</v>
      </c>
      <c r="BU172" s="1735">
        <v>0.04</v>
      </c>
    </row>
    <row r="173" spans="1:73" s="1734" customFormat="1">
      <c r="A173" s="1733"/>
      <c r="S173" s="1821"/>
      <c r="T173" s="1735"/>
      <c r="U173" s="1735"/>
      <c r="V173" s="1735"/>
      <c r="W173" s="1821"/>
      <c r="X173" s="1735"/>
      <c r="Y173" s="1685"/>
      <c r="Z173" s="1685"/>
      <c r="AA173" s="1685"/>
      <c r="AB173" s="1685"/>
      <c r="AC173" s="1685"/>
      <c r="AD173" s="1685"/>
      <c r="AE173" s="1685"/>
      <c r="AF173" s="1685"/>
      <c r="AG173" s="1685"/>
      <c r="AH173" s="1685"/>
      <c r="AI173" s="1685"/>
      <c r="AJ173" s="1685"/>
      <c r="AK173" s="1685"/>
      <c r="AL173" s="1685"/>
      <c r="AM173" s="1821"/>
      <c r="AN173" s="1735"/>
      <c r="AO173" s="1735"/>
      <c r="AP173" s="1735"/>
      <c r="AQ173" s="1735"/>
      <c r="AR173" s="1735"/>
      <c r="AS173" s="1735"/>
      <c r="AT173" s="1735"/>
      <c r="AU173" s="1735"/>
      <c r="AV173" s="1735"/>
      <c r="AW173" s="1735"/>
      <c r="AX173" s="1735"/>
      <c r="AY173" s="1735"/>
      <c r="AZ173" s="1735"/>
      <c r="BA173" s="1736"/>
      <c r="BB173" s="1735"/>
      <c r="BC173" s="2196"/>
      <c r="BD173" s="2265"/>
      <c r="BJ173" s="2025"/>
      <c r="BK173" s="1735"/>
      <c r="BL173" s="1735"/>
      <c r="BM173" s="1735"/>
      <c r="BN173" s="1735"/>
      <c r="BO173" s="1821"/>
      <c r="BP173" s="1735"/>
      <c r="BQ173" s="1735"/>
      <c r="BR173" s="1735"/>
      <c r="BS173" s="1735"/>
      <c r="BT173" s="1735"/>
      <c r="BU173" s="1735"/>
    </row>
    <row r="174" spans="1:73" s="1694" customFormat="1">
      <c r="A174" s="1693"/>
      <c r="B174" s="1687" t="s">
        <v>305</v>
      </c>
      <c r="O174" s="1695"/>
      <c r="P174" s="1695"/>
      <c r="Q174" s="1695"/>
      <c r="R174" s="1695"/>
      <c r="S174" s="1824"/>
      <c r="T174" s="1696"/>
      <c r="U174" s="1696"/>
      <c r="V174" s="1696"/>
      <c r="W174" s="1824"/>
      <c r="X174" s="1696"/>
      <c r="Y174" s="1685"/>
      <c r="Z174" s="1685"/>
      <c r="AA174" s="1685"/>
      <c r="AB174" s="1685"/>
      <c r="AC174" s="1685"/>
      <c r="AD174" s="1685"/>
      <c r="AE174" s="1685"/>
      <c r="AF174" s="1685"/>
      <c r="AG174" s="1685"/>
      <c r="AH174" s="1685"/>
      <c r="AI174" s="1685"/>
      <c r="AJ174" s="1685"/>
      <c r="AK174" s="1685"/>
      <c r="AL174" s="1685"/>
      <c r="AM174" s="1822">
        <v>78.745026397415572</v>
      </c>
      <c r="AN174" s="1688">
        <v>83.163960396461064</v>
      </c>
      <c r="AO174" s="1688">
        <v>85.342197871484217</v>
      </c>
      <c r="AP174" s="2389">
        <f>+AO174</f>
        <v>85.342197871484217</v>
      </c>
      <c r="AQ174" s="1688">
        <v>66.213632778336518</v>
      </c>
      <c r="AR174" s="1688">
        <v>85.504405117464586</v>
      </c>
      <c r="AS174" s="1688">
        <v>77.699214326933799</v>
      </c>
      <c r="AT174" s="1688">
        <v>68</v>
      </c>
      <c r="AU174" s="1697">
        <f t="shared" ref="AU174" si="965">+AQ174*(1+AU175)</f>
        <v>59.592269500502866</v>
      </c>
      <c r="AV174" s="1697">
        <f t="shared" ref="AV174" si="966">+AR174*(1+AV175)</f>
        <v>76.953964605718127</v>
      </c>
      <c r="AW174" s="1697">
        <f t="shared" ref="AW174" si="967">+AS174*(1+AW175)</f>
        <v>69.929292894240419</v>
      </c>
      <c r="AX174" s="1697">
        <f t="shared" ref="AX174" si="968">+AT174*(1+AX175)</f>
        <v>61.2</v>
      </c>
      <c r="AY174" s="1697"/>
      <c r="AZ174" s="1697"/>
      <c r="BA174" s="1698"/>
      <c r="BB174" s="1697">
        <v>76.807978084335801</v>
      </c>
      <c r="BC174" s="2191">
        <f>+AT174/BB174-1</f>
        <v>-0.11467530201959708</v>
      </c>
      <c r="BD174" s="1698"/>
      <c r="BJ174" s="2029"/>
      <c r="BO174" s="1693">
        <f>+SUM(AM174:AP174)</f>
        <v>332.59338253684507</v>
      </c>
      <c r="BP174" s="1694">
        <f>+SUM(AQ174:AT174)</f>
        <v>297.41725222273487</v>
      </c>
      <c r="BQ174" s="1694">
        <f>+SUM(AU174:AX174)</f>
        <v>267.67552700046139</v>
      </c>
      <c r="BR174" s="1697">
        <f t="shared" ref="BR174" si="969">+BQ174*(1+BR175)</f>
        <v>267.67552700046139</v>
      </c>
      <c r="BS174" s="1697">
        <f t="shared" ref="BS174" si="970">+BR174*(1+BS175)</f>
        <v>267.67552700046139</v>
      </c>
      <c r="BT174" s="1697">
        <f t="shared" ref="BT174" si="971">+BS174*(1+BT175)</f>
        <v>267.67552700046139</v>
      </c>
      <c r="BU174" s="1697">
        <f t="shared" ref="BU174" si="972">+BT174*(1+BU175)</f>
        <v>267.67552700046139</v>
      </c>
    </row>
    <row r="175" spans="1:73" s="1671" customFormat="1">
      <c r="A175" s="1681"/>
      <c r="B175" s="1671" t="s">
        <v>108</v>
      </c>
      <c r="S175" s="1825"/>
      <c r="T175" s="1672"/>
      <c r="U175" s="1672"/>
      <c r="V175" s="1672"/>
      <c r="W175" s="1825"/>
      <c r="X175" s="1672"/>
      <c r="Y175" s="1685"/>
      <c r="Z175" s="1685"/>
      <c r="AA175" s="1685"/>
      <c r="AB175" s="1685"/>
      <c r="AC175" s="1685"/>
      <c r="AD175" s="1685"/>
      <c r="AE175" s="1685"/>
      <c r="AF175" s="1685"/>
      <c r="AG175" s="1685"/>
      <c r="AH175" s="1685"/>
      <c r="AI175" s="1685"/>
      <c r="AJ175" s="1685"/>
      <c r="AK175" s="1685"/>
      <c r="AL175" s="1685"/>
      <c r="AM175" s="1821"/>
      <c r="AN175" s="1735"/>
      <c r="AO175" s="1735"/>
      <c r="AP175" s="1735"/>
      <c r="AQ175" s="1735">
        <f t="shared" ref="AQ175:AT175" si="973">+AQ174/AM174-1</f>
        <v>-0.15913885857164867</v>
      </c>
      <c r="AR175" s="1735">
        <f t="shared" si="973"/>
        <v>2.8142535659029466E-2</v>
      </c>
      <c r="AS175" s="1735">
        <f t="shared" si="973"/>
        <v>-8.9556910123874456E-2</v>
      </c>
      <c r="AT175" s="1735">
        <f t="shared" si="973"/>
        <v>-0.20320777181763727</v>
      </c>
      <c r="AU175" s="1674">
        <v>-0.1</v>
      </c>
      <c r="AV175" s="1674">
        <v>-0.1</v>
      </c>
      <c r="AW175" s="1674">
        <v>-0.1</v>
      </c>
      <c r="AX175" s="1674">
        <v>-0.1</v>
      </c>
      <c r="AY175" s="1674"/>
      <c r="AZ175" s="1674"/>
      <c r="BA175" s="1676"/>
      <c r="BB175" s="1674">
        <v>-0.1</v>
      </c>
      <c r="BC175" s="2189"/>
      <c r="BD175" s="2266"/>
      <c r="BJ175" s="2030"/>
      <c r="BK175" s="1672"/>
      <c r="BL175" s="1672"/>
      <c r="BM175" s="1672"/>
      <c r="BN175" s="1672"/>
      <c r="BO175" s="1825"/>
      <c r="BP175" s="1672">
        <f>+BP174/BO174-1</f>
        <v>-0.10576316956701126</v>
      </c>
      <c r="BQ175" s="1672">
        <f>+BQ174/BP174-1</f>
        <v>-9.9999999999999978E-2</v>
      </c>
      <c r="BR175" s="1674">
        <f>+BR11</f>
        <v>0</v>
      </c>
      <c r="BS175" s="1674">
        <f>+BS11</f>
        <v>0</v>
      </c>
      <c r="BT175" s="1674">
        <f>+BT11</f>
        <v>0</v>
      </c>
      <c r="BU175" s="1674">
        <f>+BU11</f>
        <v>0</v>
      </c>
    </row>
    <row r="176" spans="1:73" s="1671" customFormat="1">
      <c r="A176" s="1681"/>
      <c r="B176" s="1687" t="s">
        <v>306</v>
      </c>
      <c r="S176" s="1825"/>
      <c r="T176" s="1672"/>
      <c r="U176" s="1672"/>
      <c r="V176" s="1672"/>
      <c r="W176" s="1694"/>
      <c r="X176" s="1694"/>
      <c r="Y176" s="1685"/>
      <c r="Z176" s="1685"/>
      <c r="AA176" s="1685"/>
      <c r="AB176" s="1685"/>
      <c r="AC176" s="1685"/>
      <c r="AD176" s="1685"/>
      <c r="AE176" s="1685"/>
      <c r="AF176" s="1685"/>
      <c r="AG176" s="1685"/>
      <c r="AH176" s="1685"/>
      <c r="AI176" s="1685"/>
      <c r="AJ176" s="1685"/>
      <c r="AK176" s="1685"/>
      <c r="AL176" s="1685"/>
      <c r="AM176" s="1822">
        <v>253.18675435870168</v>
      </c>
      <c r="AN176" s="1688">
        <v>264.45957980446366</v>
      </c>
      <c r="AO176" s="1688">
        <v>331.39938744121901</v>
      </c>
      <c r="AP176" s="2389">
        <f>+AO176</f>
        <v>331.39938744121901</v>
      </c>
      <c r="AQ176" s="1688">
        <v>210.84807246342712</v>
      </c>
      <c r="AR176" s="1688">
        <v>178.75959056783714</v>
      </c>
      <c r="AS176" s="1688">
        <v>169.93577469870615</v>
      </c>
      <c r="AT176" s="1688">
        <v>169</v>
      </c>
      <c r="AU176" s="1697">
        <f t="shared" ref="AU176" si="974">+AQ176*(1+AU177)</f>
        <v>147.59365072439897</v>
      </c>
      <c r="AV176" s="1697">
        <f t="shared" ref="AV176" si="975">+AR176*(1+AV177)</f>
        <v>125.13171339748598</v>
      </c>
      <c r="AW176" s="1697">
        <f t="shared" ref="AW176" si="976">+AS176*(1+AW177)</f>
        <v>118.95504228909429</v>
      </c>
      <c r="AX176" s="1697">
        <f t="shared" ref="AX176" si="977">+AT176*(1+AX177)</f>
        <v>118.3</v>
      </c>
      <c r="AY176" s="1697"/>
      <c r="AZ176" s="1697"/>
      <c r="BA176" s="1676"/>
      <c r="BB176" s="1697">
        <v>211.56881648329443</v>
      </c>
      <c r="BC176" s="2191">
        <f>+AT176/BB176-1</f>
        <v>-0.2012055329839012</v>
      </c>
      <c r="BD176" s="2266"/>
      <c r="BI176" s="1694"/>
      <c r="BJ176" s="2029"/>
      <c r="BK176" s="1694"/>
      <c r="BL176" s="1694"/>
      <c r="BM176" s="1694"/>
      <c r="BN176" s="1694"/>
      <c r="BO176" s="1693">
        <f>+SUM(AM176:AP176)</f>
        <v>1180.4451090456032</v>
      </c>
      <c r="BP176" s="1694">
        <f>+SUM(AQ176:AT176)</f>
        <v>728.54343772997038</v>
      </c>
      <c r="BQ176" s="1694">
        <f>+SUM(AU176:AX176)</f>
        <v>509.98040641097924</v>
      </c>
      <c r="BR176" s="1697">
        <f t="shared" ref="BR176" si="978">+BQ176*(1+BR177)</f>
        <v>520.18001453919885</v>
      </c>
      <c r="BS176" s="1697">
        <f t="shared" ref="BS176" si="979">+BR176*(1+BS177)</f>
        <v>530.58361482998282</v>
      </c>
      <c r="BT176" s="1697">
        <f t="shared" ref="BT176" si="980">+BS176*(1+BT177)</f>
        <v>541.19528712658246</v>
      </c>
      <c r="BU176" s="1697">
        <f t="shared" ref="BU176" si="981">+BT176*(1+BU177)</f>
        <v>552.01919286911414</v>
      </c>
    </row>
    <row r="177" spans="1:73" s="1671" customFormat="1">
      <c r="A177" s="1681"/>
      <c r="B177" s="1671" t="s">
        <v>108</v>
      </c>
      <c r="S177" s="1825"/>
      <c r="T177" s="1672"/>
      <c r="U177" s="1672"/>
      <c r="V177" s="1672"/>
      <c r="W177" s="1825"/>
      <c r="X177" s="1672"/>
      <c r="Y177" s="1685"/>
      <c r="Z177" s="1685"/>
      <c r="AA177" s="1685"/>
      <c r="AB177" s="1685"/>
      <c r="AC177" s="1685"/>
      <c r="AD177" s="1685"/>
      <c r="AE177" s="1685"/>
      <c r="AF177" s="1685"/>
      <c r="AG177" s="1685"/>
      <c r="AH177" s="1685"/>
      <c r="AI177" s="1685"/>
      <c r="AJ177" s="1685"/>
      <c r="AK177" s="1685"/>
      <c r="AL177" s="1685"/>
      <c r="AM177" s="2400"/>
      <c r="AN177" s="1235"/>
      <c r="AO177" s="1235"/>
      <c r="AP177" s="1235"/>
      <c r="AQ177" s="1735">
        <f t="shared" ref="AQ177" si="982">+AQ176/AM176-1</f>
        <v>-0.16722313140951817</v>
      </c>
      <c r="AR177" s="1735">
        <f t="shared" ref="AR177" si="983">+AR176/AN176-1</f>
        <v>-0.32405704228975729</v>
      </c>
      <c r="AS177" s="1735">
        <f t="shared" ref="AS177" si="984">+AS176/AO176-1</f>
        <v>-0.48721759563044453</v>
      </c>
      <c r="AT177" s="1735">
        <f t="shared" ref="AT177" si="985">+AT176/AP176-1</f>
        <v>-0.49004130241497235</v>
      </c>
      <c r="AU177" s="1674">
        <v>-0.3</v>
      </c>
      <c r="AV177" s="1674">
        <v>-0.3</v>
      </c>
      <c r="AW177" s="1674">
        <v>-0.3</v>
      </c>
      <c r="AX177" s="1674">
        <v>-0.3</v>
      </c>
      <c r="AY177" s="1674"/>
      <c r="AZ177" s="1674"/>
      <c r="BA177" s="1676"/>
      <c r="BB177" s="1674">
        <v>-0.36158959702114468</v>
      </c>
      <c r="BC177" s="2199"/>
      <c r="BD177" s="2266"/>
      <c r="BJ177" s="2030"/>
      <c r="BK177" s="1672"/>
      <c r="BL177" s="1672"/>
      <c r="BM177" s="1672"/>
      <c r="BN177" s="1672"/>
      <c r="BO177" s="1825"/>
      <c r="BP177" s="1672">
        <f>+BP176/BO176-1</f>
        <v>-0.38282311295355187</v>
      </c>
      <c r="BQ177" s="1672">
        <f>+BQ176/BP176-1</f>
        <v>-0.30000000000000004</v>
      </c>
      <c r="BR177" s="1674">
        <v>0.02</v>
      </c>
      <c r="BS177" s="1674">
        <v>0.02</v>
      </c>
      <c r="BT177" s="1674">
        <v>0.02</v>
      </c>
      <c r="BU177" s="1674">
        <v>0.02</v>
      </c>
    </row>
    <row r="178" spans="1:73" s="1671" customFormat="1">
      <c r="A178" s="1681"/>
      <c r="S178" s="1825"/>
      <c r="T178" s="1672"/>
      <c r="U178" s="1672"/>
      <c r="V178" s="1672"/>
      <c r="W178" s="1825"/>
      <c r="X178" s="1672"/>
      <c r="Y178" s="1685"/>
      <c r="Z178" s="1685"/>
      <c r="AA178" s="1685"/>
      <c r="AB178" s="1685"/>
      <c r="AC178" s="1685"/>
      <c r="AD178" s="1685"/>
      <c r="AE178" s="1685"/>
      <c r="AF178" s="1685"/>
      <c r="AG178" s="1685"/>
      <c r="AH178" s="1685"/>
      <c r="AI178" s="1685"/>
      <c r="AJ178" s="1685"/>
      <c r="AK178" s="1685"/>
      <c r="AL178" s="1685"/>
      <c r="AM178" s="2400"/>
      <c r="AN178" s="1235"/>
      <c r="AO178" s="1235"/>
      <c r="AP178" s="1235"/>
      <c r="AQ178" s="1235"/>
      <c r="AR178" s="1235"/>
      <c r="AS178" s="1735"/>
      <c r="AT178" s="1735"/>
      <c r="AU178" s="1735"/>
      <c r="AV178" s="1735"/>
      <c r="AW178" s="1735"/>
      <c r="AX178" s="1735"/>
      <c r="AY178" s="1735"/>
      <c r="AZ178" s="1735"/>
      <c r="BA178" s="1676"/>
      <c r="BB178" s="1735"/>
      <c r="BC178" s="2199"/>
      <c r="BD178" s="2266"/>
      <c r="BJ178" s="2030"/>
      <c r="BK178" s="1672"/>
      <c r="BL178" s="1672"/>
      <c r="BM178" s="1672"/>
      <c r="BN178" s="1672"/>
      <c r="BO178" s="1825"/>
      <c r="BP178" s="1672"/>
      <c r="BQ178" s="1672"/>
      <c r="BR178" s="1672"/>
      <c r="BS178" s="1672"/>
      <c r="BT178" s="1672"/>
      <c r="BU178" s="1672"/>
    </row>
    <row r="179" spans="1:73" s="2239" customFormat="1" ht="15" customHeight="1">
      <c r="A179" s="2231"/>
      <c r="B179" s="2232" t="s">
        <v>309</v>
      </c>
      <c r="C179" s="2233"/>
      <c r="D179" s="2233"/>
      <c r="E179" s="2233"/>
      <c r="F179" s="2233"/>
      <c r="G179" s="2233"/>
      <c r="H179" s="2233"/>
      <c r="I179" s="2233"/>
      <c r="J179" s="2233"/>
      <c r="K179" s="2233"/>
      <c r="L179" s="2233"/>
      <c r="M179" s="2233"/>
      <c r="N179" s="2233"/>
      <c r="O179" s="2233"/>
      <c r="P179" s="2233"/>
      <c r="Q179" s="2233"/>
      <c r="R179" s="2233"/>
      <c r="S179" s="2234"/>
      <c r="T179" s="2233"/>
      <c r="U179" s="2233"/>
      <c r="V179" s="2233"/>
      <c r="W179" s="1742">
        <f t="shared" ref="W179:AQ179" si="986">+W144-W161-W152-W170</f>
        <v>0</v>
      </c>
      <c r="X179" s="1742">
        <f t="shared" si="986"/>
        <v>0</v>
      </c>
      <c r="Y179" s="1742">
        <f t="shared" si="986"/>
        <v>0</v>
      </c>
      <c r="Z179" s="1742">
        <f t="shared" si="986"/>
        <v>0</v>
      </c>
      <c r="AA179" s="1742">
        <f t="shared" si="986"/>
        <v>0</v>
      </c>
      <c r="AB179" s="1742">
        <f t="shared" si="986"/>
        <v>0</v>
      </c>
      <c r="AC179" s="1742">
        <f t="shared" si="986"/>
        <v>-47.001300000000356</v>
      </c>
      <c r="AD179" s="1742">
        <f t="shared" si="986"/>
        <v>54.789499999999407</v>
      </c>
      <c r="AE179" s="1742">
        <f t="shared" si="986"/>
        <v>39.580600000000686</v>
      </c>
      <c r="AF179" s="1742">
        <f t="shared" si="986"/>
        <v>-2.7734999999997854</v>
      </c>
      <c r="AG179" s="1742">
        <f t="shared" si="986"/>
        <v>-40.72835860000032</v>
      </c>
      <c r="AH179" s="1742">
        <f t="shared" si="986"/>
        <v>33.024312299999565</v>
      </c>
      <c r="AI179" s="1742">
        <f t="shared" si="986"/>
        <v>32.524361800000406</v>
      </c>
      <c r="AJ179" s="1742">
        <f t="shared" si="986"/>
        <v>0</v>
      </c>
      <c r="AK179" s="1742">
        <f t="shared" si="986"/>
        <v>-0.14345597600049587</v>
      </c>
      <c r="AL179" s="1742">
        <f t="shared" si="986"/>
        <v>1076.7221359598993</v>
      </c>
      <c r="AM179" s="1819">
        <f t="shared" si="986"/>
        <v>184.4975146866247</v>
      </c>
      <c r="AN179" s="1742">
        <f t="shared" si="986"/>
        <v>212.3120940073909</v>
      </c>
      <c r="AO179" s="1742">
        <f t="shared" si="986"/>
        <v>64.096811181422595</v>
      </c>
      <c r="AP179" s="1742">
        <f t="shared" si="986"/>
        <v>74.852744084727306</v>
      </c>
      <c r="AQ179" s="1742">
        <f t="shared" si="986"/>
        <v>73.860623297458119</v>
      </c>
      <c r="AR179" s="1742">
        <f>+AR144-AR161-AR152-AR170</f>
        <v>31.640279105618959</v>
      </c>
      <c r="AS179" s="1742">
        <f>+AS144-AS161-AS152-AS170</f>
        <v>40.108073270258245</v>
      </c>
      <c r="AT179" s="1742">
        <f>+AT144-AT161-AT152-AT170</f>
        <v>51</v>
      </c>
      <c r="AU179" s="2235">
        <f t="shared" ref="AU179:AX179" si="987">+AU181+AU183</f>
        <v>51</v>
      </c>
      <c r="AV179" s="2235">
        <f t="shared" si="987"/>
        <v>51</v>
      </c>
      <c r="AW179" s="2235">
        <f t="shared" si="987"/>
        <v>51</v>
      </c>
      <c r="AX179" s="2235">
        <f t="shared" si="987"/>
        <v>51</v>
      </c>
      <c r="AY179" s="1682"/>
      <c r="AZ179" s="1682"/>
      <c r="BA179" s="72"/>
      <c r="BB179" s="2235">
        <v>40.062787626128085</v>
      </c>
      <c r="BC179" s="2191">
        <f>+AT179/BB179-1</f>
        <v>0.27300178100285022</v>
      </c>
      <c r="BD179" s="72"/>
      <c r="BE179" s="2237"/>
      <c r="BF179" s="2237"/>
      <c r="BG179" s="2237"/>
      <c r="BH179" s="2237"/>
      <c r="BI179" s="949"/>
      <c r="BJ179" s="2238">
        <f>+SUM(S179:V179)</f>
        <v>0</v>
      </c>
      <c r="BK179" s="949">
        <f>+SUM(W179:Z179)</f>
        <v>0</v>
      </c>
      <c r="BL179" s="949">
        <f>+SUM(AA179:AD179)</f>
        <v>7.7881999999990512</v>
      </c>
      <c r="BM179" s="949">
        <f>+SUM(AE179:AH179)</f>
        <v>29.103053700000146</v>
      </c>
      <c r="BN179" s="949">
        <f>+SUM(AI179:AL179)</f>
        <v>1109.1030417838992</v>
      </c>
      <c r="BO179" s="2460">
        <f>+SUM(AM179:AP179)</f>
        <v>535.75916396016555</v>
      </c>
      <c r="BP179" s="949">
        <f>+SUM(AQ179:AT179)</f>
        <v>196.60897567333532</v>
      </c>
      <c r="BQ179" s="949">
        <f>+SUM(AU179:AX179)</f>
        <v>204</v>
      </c>
      <c r="BR179" s="2236">
        <f>+BQ179*1.02</f>
        <v>208.08</v>
      </c>
      <c r="BS179" s="2236">
        <f t="shared" ref="BS179:BU179" si="988">+BR179*1.02</f>
        <v>212.24160000000001</v>
      </c>
      <c r="BT179" s="2236">
        <f t="shared" si="988"/>
        <v>216.48643200000001</v>
      </c>
      <c r="BU179" s="2236">
        <f t="shared" si="988"/>
        <v>220.81616064000002</v>
      </c>
    </row>
    <row r="180" spans="1:73" s="325" customFormat="1" ht="15" customHeight="1">
      <c r="A180" s="1030"/>
      <c r="B180" s="1671"/>
      <c r="C180" s="471"/>
      <c r="D180" s="471"/>
      <c r="E180" s="471"/>
      <c r="F180" s="471"/>
      <c r="G180" s="471"/>
      <c r="H180" s="471"/>
      <c r="I180" s="471"/>
      <c r="J180" s="471"/>
      <c r="K180" s="471"/>
      <c r="L180" s="471"/>
      <c r="M180" s="471"/>
      <c r="N180" s="471"/>
      <c r="O180" s="471"/>
      <c r="P180" s="471"/>
      <c r="Q180" s="471"/>
      <c r="R180" s="471"/>
      <c r="S180" s="1034"/>
      <c r="T180" s="471"/>
      <c r="U180" s="471"/>
      <c r="V180" s="471"/>
      <c r="W180" s="1675"/>
      <c r="X180" s="1675"/>
      <c r="Y180" s="1675"/>
      <c r="Z180" s="1675"/>
      <c r="AA180" s="1675"/>
      <c r="AB180" s="1675"/>
      <c r="AC180" s="1675"/>
      <c r="AD180" s="1675"/>
      <c r="AE180" s="1675"/>
      <c r="AF180" s="1675"/>
      <c r="AG180" s="1675"/>
      <c r="AH180" s="1675"/>
      <c r="AI180" s="1675"/>
      <c r="AJ180" s="1675"/>
      <c r="AK180" s="1675"/>
      <c r="AL180" s="1675"/>
      <c r="AM180" s="1827"/>
      <c r="AN180" s="1675"/>
      <c r="AO180" s="1675"/>
      <c r="AP180" s="1675"/>
      <c r="AQ180" s="1675"/>
      <c r="AR180" s="1675"/>
      <c r="AS180" s="2390"/>
      <c r="AT180" s="2390"/>
      <c r="AU180" s="1682"/>
      <c r="AV180" s="1682"/>
      <c r="AW180" s="1682"/>
      <c r="AX180" s="1682"/>
      <c r="AY180" s="1682"/>
      <c r="AZ180" s="1682"/>
      <c r="BA180" s="72"/>
      <c r="BB180" s="1682"/>
      <c r="BC180" s="2189"/>
      <c r="BD180" s="72"/>
      <c r="BE180" s="337"/>
      <c r="BF180" s="337"/>
      <c r="BG180" s="337"/>
      <c r="BH180" s="337"/>
      <c r="BI180" s="474"/>
      <c r="BJ180" s="2031"/>
      <c r="BK180" s="474"/>
      <c r="BL180" s="474"/>
      <c r="BM180" s="474"/>
      <c r="BN180" s="474"/>
      <c r="BO180" s="2459"/>
      <c r="BP180" s="474"/>
      <c r="BQ180" s="474"/>
      <c r="BR180" s="1508"/>
      <c r="BS180" s="1508"/>
      <c r="BT180" s="1508"/>
      <c r="BU180" s="1508"/>
    </row>
    <row r="181" spans="1:73" s="325" customFormat="1" ht="15" customHeight="1">
      <c r="A181" s="1030"/>
      <c r="B181" s="1687" t="s">
        <v>305</v>
      </c>
      <c r="C181" s="471"/>
      <c r="D181" s="471"/>
      <c r="E181" s="471"/>
      <c r="F181" s="471"/>
      <c r="G181" s="471"/>
      <c r="H181" s="471"/>
      <c r="I181" s="471"/>
      <c r="J181" s="471"/>
      <c r="K181" s="471"/>
      <c r="L181" s="471"/>
      <c r="M181" s="471"/>
      <c r="N181" s="471"/>
      <c r="O181" s="471"/>
      <c r="P181" s="471"/>
      <c r="Q181" s="471"/>
      <c r="R181" s="471"/>
      <c r="S181" s="1034"/>
      <c r="T181" s="471"/>
      <c r="U181" s="471"/>
      <c r="V181" s="471"/>
      <c r="W181" s="1675"/>
      <c r="X181" s="1675"/>
      <c r="Y181" s="1675"/>
      <c r="Z181" s="1675"/>
      <c r="AA181" s="1675"/>
      <c r="AB181" s="1675"/>
      <c r="AC181" s="1675"/>
      <c r="AD181" s="1675"/>
      <c r="AE181" s="1675"/>
      <c r="AF181" s="1675"/>
      <c r="AG181" s="1675"/>
      <c r="AH181" s="1675"/>
      <c r="AI181" s="1675"/>
      <c r="AJ181" s="1675"/>
      <c r="AK181" s="1675"/>
      <c r="AL181" s="1675"/>
      <c r="AM181" s="1670">
        <f t="shared" ref="AM181:AN181" si="989">+AM147-AM156-AM165-AM174</f>
        <v>40.902177088717409</v>
      </c>
      <c r="AN181" s="1670">
        <f t="shared" si="989"/>
        <v>46.565548592566799</v>
      </c>
      <c r="AO181" s="1670">
        <f>+AO147-AO156-AO165-AO174</f>
        <v>48.449034884908002</v>
      </c>
      <c r="AP181" s="2636">
        <f>+AP179-AP183</f>
        <v>59.209074510515507</v>
      </c>
      <c r="AQ181" s="1670">
        <f t="shared" ref="AQ181:AS181" si="990">+AQ147-AQ156-AQ165-AQ174</f>
        <v>58.012805595969922</v>
      </c>
      <c r="AR181" s="1670">
        <f t="shared" si="990"/>
        <v>9.4414340929602361</v>
      </c>
      <c r="AS181" s="1670">
        <f t="shared" si="990"/>
        <v>29.500046177345638</v>
      </c>
      <c r="AT181" s="1670">
        <v>22</v>
      </c>
      <c r="AU181" s="1682">
        <f t="shared" ref="AU181:AX181" si="991">+AT181</f>
        <v>22</v>
      </c>
      <c r="AV181" s="1682">
        <f t="shared" si="991"/>
        <v>22</v>
      </c>
      <c r="AW181" s="1682">
        <f t="shared" si="991"/>
        <v>22</v>
      </c>
      <c r="AX181" s="1682">
        <f t="shared" si="991"/>
        <v>22</v>
      </c>
      <c r="AY181" s="1682"/>
      <c r="AZ181" s="1682"/>
      <c r="BA181" s="72"/>
      <c r="BB181" s="1682">
        <v>29.500046177345638</v>
      </c>
      <c r="BC181" s="2189"/>
      <c r="BD181" s="72"/>
      <c r="BE181" s="337"/>
      <c r="BF181" s="337"/>
      <c r="BG181" s="337"/>
      <c r="BH181" s="337"/>
      <c r="BI181" s="474"/>
      <c r="BJ181" s="2031"/>
      <c r="BK181" s="474"/>
      <c r="BL181" s="474"/>
      <c r="BM181" s="474"/>
      <c r="BN181" s="474"/>
      <c r="BO181" s="2459"/>
      <c r="BP181" s="474"/>
      <c r="BQ181" s="474"/>
      <c r="BR181" s="1508"/>
      <c r="BS181" s="1508"/>
      <c r="BT181" s="1508"/>
      <c r="BU181" s="1508"/>
    </row>
    <row r="182" spans="1:73" s="325" customFormat="1" ht="15" customHeight="1">
      <c r="A182" s="1030"/>
      <c r="B182" s="1671" t="s">
        <v>108</v>
      </c>
      <c r="C182" s="471"/>
      <c r="D182" s="471"/>
      <c r="E182" s="471"/>
      <c r="F182" s="471"/>
      <c r="G182" s="471"/>
      <c r="H182" s="471"/>
      <c r="I182" s="471"/>
      <c r="J182" s="471"/>
      <c r="K182" s="471"/>
      <c r="L182" s="471"/>
      <c r="M182" s="471"/>
      <c r="N182" s="471"/>
      <c r="O182" s="471"/>
      <c r="P182" s="471"/>
      <c r="Q182" s="471"/>
      <c r="R182" s="471"/>
      <c r="S182" s="1034"/>
      <c r="T182" s="471"/>
      <c r="U182" s="471"/>
      <c r="V182" s="471"/>
      <c r="W182" s="1675"/>
      <c r="X182" s="1675"/>
      <c r="Y182" s="1675"/>
      <c r="Z182" s="1675"/>
      <c r="AA182" s="1675"/>
      <c r="AB182" s="1675"/>
      <c r="AC182" s="1675"/>
      <c r="AD182" s="1675"/>
      <c r="AE182" s="1675"/>
      <c r="AF182" s="1675"/>
      <c r="AG182" s="1675"/>
      <c r="AH182" s="1675"/>
      <c r="AI182" s="1675"/>
      <c r="AJ182" s="1675"/>
      <c r="AK182" s="1675"/>
      <c r="AL182" s="1675"/>
      <c r="AM182" s="1675"/>
      <c r="AN182" s="1675"/>
      <c r="AO182" s="1675"/>
      <c r="AP182" s="2637"/>
      <c r="AQ182" s="1675"/>
      <c r="AR182" s="1675"/>
      <c r="AS182" s="1675"/>
      <c r="AT182" s="1675"/>
      <c r="AU182" s="1682"/>
      <c r="AV182" s="1682"/>
      <c r="AW182" s="1682"/>
      <c r="AX182" s="1682"/>
      <c r="AY182" s="1682"/>
      <c r="AZ182" s="1682"/>
      <c r="BA182" s="72"/>
      <c r="BB182" s="1682"/>
      <c r="BC182" s="2189"/>
      <c r="BD182" s="72"/>
      <c r="BE182" s="337"/>
      <c r="BF182" s="337"/>
      <c r="BG182" s="337"/>
      <c r="BH182" s="337"/>
      <c r="BI182" s="474"/>
      <c r="BJ182" s="2031"/>
      <c r="BK182" s="474"/>
      <c r="BL182" s="474"/>
      <c r="BM182" s="474"/>
      <c r="BN182" s="474"/>
      <c r="BO182" s="2459"/>
      <c r="BP182" s="474"/>
      <c r="BQ182" s="474"/>
      <c r="BR182" s="1508"/>
      <c r="BS182" s="1508"/>
      <c r="BT182" s="1508"/>
      <c r="BU182" s="1508"/>
    </row>
    <row r="183" spans="1:73" s="325" customFormat="1" ht="15" customHeight="1">
      <c r="A183" s="1030"/>
      <c r="B183" s="1687" t="s">
        <v>306</v>
      </c>
      <c r="C183" s="471"/>
      <c r="D183" s="471"/>
      <c r="E183" s="471"/>
      <c r="F183" s="471"/>
      <c r="G183" s="471"/>
      <c r="H183" s="471"/>
      <c r="I183" s="471"/>
      <c r="J183" s="471"/>
      <c r="K183" s="471"/>
      <c r="L183" s="471"/>
      <c r="M183" s="471"/>
      <c r="N183" s="471"/>
      <c r="O183" s="471"/>
      <c r="P183" s="471"/>
      <c r="Q183" s="471"/>
      <c r="R183" s="471"/>
      <c r="S183" s="1034"/>
      <c r="T183" s="471"/>
      <c r="U183" s="471"/>
      <c r="V183" s="471"/>
      <c r="W183" s="1675"/>
      <c r="X183" s="1675"/>
      <c r="Y183" s="1675"/>
      <c r="Z183" s="1675"/>
      <c r="AA183" s="1675"/>
      <c r="AB183" s="1675"/>
      <c r="AC183" s="1675"/>
      <c r="AD183" s="1675"/>
      <c r="AE183" s="1675"/>
      <c r="AF183" s="1675"/>
      <c r="AG183" s="1675"/>
      <c r="AH183" s="1675"/>
      <c r="AI183" s="1675"/>
      <c r="AJ183" s="1675"/>
      <c r="AK183" s="1675"/>
      <c r="AL183" s="1675"/>
      <c r="AM183" s="1670">
        <f t="shared" ref="AM183:AN183" si="992">+AM149-AM158-AM167-AM176</f>
        <v>17.762324101211988</v>
      </c>
      <c r="AN183" s="1670">
        <f t="shared" si="992"/>
        <v>23.976636832192582</v>
      </c>
      <c r="AO183" s="1670">
        <f>+AO149-AO158-AO167-AO176</f>
        <v>15.643669574211799</v>
      </c>
      <c r="AP183" s="2636">
        <f>+AO183</f>
        <v>15.643669574211799</v>
      </c>
      <c r="AQ183" s="1670">
        <f t="shared" ref="AQ183:AS183" si="993">+AQ149-AQ158-AQ167-AQ176</f>
        <v>15.847817701488339</v>
      </c>
      <c r="AR183" s="1670">
        <f t="shared" si="993"/>
        <v>22.016229480638714</v>
      </c>
      <c r="AS183" s="1670">
        <f t="shared" si="993"/>
        <v>10.562741448782447</v>
      </c>
      <c r="AT183" s="1670">
        <v>29</v>
      </c>
      <c r="AU183" s="1682">
        <f t="shared" ref="AU183:AX183" si="994">+AT183</f>
        <v>29</v>
      </c>
      <c r="AV183" s="1682">
        <f t="shared" si="994"/>
        <v>29</v>
      </c>
      <c r="AW183" s="1682">
        <f t="shared" si="994"/>
        <v>29</v>
      </c>
      <c r="AX183" s="1682">
        <f t="shared" si="994"/>
        <v>29</v>
      </c>
      <c r="AY183" s="1682"/>
      <c r="AZ183" s="1682"/>
      <c r="BA183" s="72"/>
      <c r="BB183" s="1682">
        <v>10.562741448782447</v>
      </c>
      <c r="BC183" s="2189"/>
      <c r="BD183" s="72"/>
      <c r="BE183" s="337"/>
      <c r="BF183" s="337"/>
      <c r="BG183" s="337"/>
      <c r="BH183" s="337"/>
      <c r="BI183" s="474"/>
      <c r="BJ183" s="2031"/>
      <c r="BK183" s="474"/>
      <c r="BL183" s="474"/>
      <c r="BM183" s="474"/>
      <c r="BN183" s="474"/>
      <c r="BO183" s="2459"/>
      <c r="BP183" s="474"/>
      <c r="BQ183" s="474"/>
      <c r="BR183" s="1508"/>
      <c r="BS183" s="1508"/>
      <c r="BT183" s="1508"/>
      <c r="BU183" s="1508"/>
    </row>
    <row r="184" spans="1:73" s="325" customFormat="1" ht="15" customHeight="1">
      <c r="A184" s="1030"/>
      <c r="B184" s="1671" t="s">
        <v>108</v>
      </c>
      <c r="C184" s="471"/>
      <c r="D184" s="471"/>
      <c r="E184" s="471"/>
      <c r="F184" s="471"/>
      <c r="G184" s="471"/>
      <c r="H184" s="471"/>
      <c r="I184" s="471"/>
      <c r="J184" s="471"/>
      <c r="K184" s="471"/>
      <c r="L184" s="471"/>
      <c r="M184" s="471"/>
      <c r="N184" s="471"/>
      <c r="O184" s="471"/>
      <c r="P184" s="471"/>
      <c r="Q184" s="471"/>
      <c r="R184" s="471"/>
      <c r="S184" s="1034"/>
      <c r="T184" s="471"/>
      <c r="U184" s="471"/>
      <c r="V184" s="471"/>
      <c r="W184" s="1827"/>
      <c r="X184" s="1675"/>
      <c r="Y184" s="1675"/>
      <c r="Z184" s="1675"/>
      <c r="AA184" s="1675"/>
      <c r="AB184" s="1675"/>
      <c r="AC184" s="1739"/>
      <c r="AD184" s="1739"/>
      <c r="AE184" s="1739"/>
      <c r="AF184" s="1739"/>
      <c r="AG184" s="1739"/>
      <c r="AH184" s="1675"/>
      <c r="AI184" s="1675"/>
      <c r="AJ184" s="1675"/>
      <c r="AK184" s="2336" t="s">
        <v>310</v>
      </c>
      <c r="AL184" s="1675">
        <f>+AM167/AM186*AL185</f>
        <v>880.23134923408986</v>
      </c>
      <c r="AM184" s="1030"/>
      <c r="AN184" s="1675"/>
      <c r="AO184" s="1675"/>
      <c r="AP184" s="1675"/>
      <c r="AQ184" s="1675"/>
      <c r="AR184" s="1675"/>
      <c r="AS184" s="1675"/>
      <c r="AT184" s="1675"/>
      <c r="AU184" s="1682"/>
      <c r="AV184" s="1682"/>
      <c r="AW184" s="1682"/>
      <c r="AX184" s="1682"/>
      <c r="AY184" s="1682"/>
      <c r="AZ184" s="1682"/>
      <c r="BA184" s="72"/>
      <c r="BB184" s="1682"/>
      <c r="BC184" s="2189"/>
      <c r="BD184" s="72"/>
      <c r="BE184" s="337"/>
      <c r="BF184" s="337"/>
      <c r="BG184" s="337"/>
      <c r="BH184" s="337"/>
      <c r="BI184" s="474"/>
      <c r="BJ184" s="2031"/>
      <c r="BK184" s="474"/>
      <c r="BL184" s="474"/>
      <c r="BM184" s="474"/>
      <c r="BN184" s="474"/>
      <c r="BO184" s="2459"/>
      <c r="BP184" s="474"/>
      <c r="BQ184" s="474"/>
      <c r="BR184" s="1508"/>
      <c r="BS184" s="1508"/>
      <c r="BT184" s="1508"/>
      <c r="BU184" s="1508"/>
    </row>
    <row r="185" spans="1:73" s="325" customFormat="1" ht="15" customHeight="1">
      <c r="A185" s="1030"/>
      <c r="B185" s="1671"/>
      <c r="C185" s="471"/>
      <c r="D185" s="471"/>
      <c r="E185" s="471"/>
      <c r="F185" s="471"/>
      <c r="G185" s="471"/>
      <c r="H185" s="471"/>
      <c r="I185" s="471"/>
      <c r="J185" s="471"/>
      <c r="K185" s="471"/>
      <c r="L185" s="471"/>
      <c r="M185" s="471"/>
      <c r="N185" s="471"/>
      <c r="O185" s="471"/>
      <c r="P185" s="471"/>
      <c r="Q185" s="471"/>
      <c r="R185" s="471"/>
      <c r="S185" s="1034"/>
      <c r="T185" s="471"/>
      <c r="U185" s="471"/>
      <c r="V185" s="471"/>
      <c r="W185" s="1827"/>
      <c r="X185" s="1675"/>
      <c r="Y185" s="1675"/>
      <c r="Z185" s="1675"/>
      <c r="AA185" s="1675"/>
      <c r="AB185" s="1675"/>
      <c r="AC185" s="1739"/>
      <c r="AD185" s="1739"/>
      <c r="AE185" s="1739"/>
      <c r="AF185" s="1739"/>
      <c r="AG185" s="1739"/>
      <c r="AH185" s="1675"/>
      <c r="AI185" s="1675"/>
      <c r="AJ185" s="1675"/>
      <c r="AK185" s="2336" t="s">
        <v>311</v>
      </c>
      <c r="AL185" s="1675">
        <f>+AL186+1000</f>
        <v>3424.7009926721003</v>
      </c>
      <c r="AM185" s="1827"/>
      <c r="AN185" s="1675"/>
      <c r="AO185" s="1675"/>
      <c r="AP185" s="1675">
        <f>+AP186/AL185-1</f>
        <v>-8.938827838759178E-2</v>
      </c>
      <c r="AQ185" s="1675"/>
      <c r="AR185" s="1675"/>
      <c r="AS185" s="1675"/>
      <c r="AT185" s="1675"/>
      <c r="AU185" s="1682"/>
      <c r="AV185" s="1682"/>
      <c r="AW185" s="1682"/>
      <c r="AX185" s="1682"/>
      <c r="AY185" s="1682"/>
      <c r="AZ185" s="1682"/>
      <c r="BA185" s="72"/>
      <c r="BB185" s="1682"/>
      <c r="BC185" s="2189"/>
      <c r="BD185" s="72"/>
      <c r="BE185" s="337"/>
      <c r="BF185" s="337"/>
      <c r="BG185" s="337"/>
      <c r="BH185" s="337"/>
      <c r="BI185" s="474"/>
      <c r="BJ185" s="2031"/>
      <c r="BK185" s="474"/>
      <c r="BL185" s="474"/>
      <c r="BM185" s="474"/>
      <c r="BN185" s="474"/>
      <c r="BO185" s="2459"/>
      <c r="BP185" s="474"/>
      <c r="BQ185" s="474"/>
      <c r="BR185" s="1508"/>
      <c r="BS185" s="1508"/>
      <c r="BT185" s="1508"/>
      <c r="BU185" s="1508"/>
    </row>
    <row r="186" spans="1:73" s="872" customFormat="1" ht="15" customHeight="1">
      <c r="B186" s="2247" t="s">
        <v>312</v>
      </c>
      <c r="C186" s="2248"/>
      <c r="D186" s="2248"/>
      <c r="E186" s="2248"/>
      <c r="F186" s="2248"/>
      <c r="G186" s="2248"/>
      <c r="H186" s="2248"/>
      <c r="I186" s="2248"/>
      <c r="J186" s="2248"/>
      <c r="K186" s="2248"/>
      <c r="L186" s="2248"/>
      <c r="M186" s="2248"/>
      <c r="N186" s="2248"/>
      <c r="O186" s="2248"/>
      <c r="P186" s="2248"/>
      <c r="Q186" s="2248"/>
      <c r="R186" s="2248"/>
      <c r="S186" s="2242">
        <f t="shared" ref="S186:AR186" si="995">+S149</f>
        <v>565.4</v>
      </c>
      <c r="T186" s="2242">
        <f t="shared" si="995"/>
        <v>688.1</v>
      </c>
      <c r="U186" s="2242">
        <f t="shared" si="995"/>
        <v>675.4</v>
      </c>
      <c r="V186" s="2242">
        <f t="shared" si="995"/>
        <v>813.6</v>
      </c>
      <c r="W186" s="2242">
        <f t="shared" si="995"/>
        <v>2010.2000000000003</v>
      </c>
      <c r="X186" s="2242">
        <f t="shared" si="995"/>
        <v>1618.2336</v>
      </c>
      <c r="Y186" s="2242">
        <f t="shared" si="995"/>
        <v>2842.0000000000005</v>
      </c>
      <c r="Z186" s="2242">
        <f t="shared" si="995"/>
        <v>3016.0000000000009</v>
      </c>
      <c r="AA186" s="2242">
        <f t="shared" si="995"/>
        <v>2892.6999999999994</v>
      </c>
      <c r="AB186" s="2242">
        <f t="shared" si="995"/>
        <v>2864.1</v>
      </c>
      <c r="AC186" s="2242">
        <f t="shared" si="995"/>
        <v>3232.7863000000007</v>
      </c>
      <c r="AD186" s="2242">
        <f t="shared" si="995"/>
        <v>3211.2657000000008</v>
      </c>
      <c r="AE186" s="2242">
        <f t="shared" si="995"/>
        <v>2513.1536999999994</v>
      </c>
      <c r="AF186" s="2242">
        <f t="shared" si="995"/>
        <v>2718.5956999999999</v>
      </c>
      <c r="AG186" s="2242">
        <f t="shared" si="995"/>
        <v>3132.5801716000005</v>
      </c>
      <c r="AH186" s="2242">
        <f t="shared" si="995"/>
        <v>2598.0203997000008</v>
      </c>
      <c r="AI186" s="2242">
        <f t="shared" si="995"/>
        <v>2259.2110538999996</v>
      </c>
      <c r="AJ186" s="2242">
        <f t="shared" si="995"/>
        <v>2329.3034567999998</v>
      </c>
      <c r="AK186" s="2242">
        <f t="shared" si="995"/>
        <v>2520.3406890530005</v>
      </c>
      <c r="AL186" s="2242">
        <f>+AL149</f>
        <v>2424.7009926721003</v>
      </c>
      <c r="AM186" s="2242">
        <f t="shared" si="995"/>
        <v>1863.8036949745501</v>
      </c>
      <c r="AN186" s="2242">
        <f t="shared" si="995"/>
        <v>2351.8964855992995</v>
      </c>
      <c r="AO186" s="2242">
        <f t="shared" si="995"/>
        <v>2642.7561054136258</v>
      </c>
      <c r="AP186" s="2242">
        <f t="shared" si="995"/>
        <v>3118.5728669448645</v>
      </c>
      <c r="AQ186" s="2242">
        <f t="shared" si="995"/>
        <v>2307.8087303996749</v>
      </c>
      <c r="AR186" s="2242">
        <f t="shared" si="995"/>
        <v>2082.8476898246463</v>
      </c>
      <c r="AS186" s="2242">
        <f>+AS149</f>
        <v>1984.0532232026389</v>
      </c>
      <c r="AT186" s="2242">
        <f>+AT149</f>
        <v>2420</v>
      </c>
      <c r="AU186" s="2243">
        <f>+AU188+AU190+AU192</f>
        <v>1937.6058618142047</v>
      </c>
      <c r="AV186" s="2243">
        <f t="shared" ref="AV186:AX186" si="996">+AV188+AV190+AV192</f>
        <v>2036.4929943845577</v>
      </c>
      <c r="AW186" s="2243">
        <f t="shared" si="996"/>
        <v>1767.8505178722357</v>
      </c>
      <c r="AX186" s="2243">
        <f t="shared" si="996"/>
        <v>2418.2813923202284</v>
      </c>
      <c r="AY186" s="2243"/>
      <c r="AZ186" s="2243"/>
      <c r="BA186" s="85"/>
      <c r="BB186" s="2243">
        <v>2470.1319837867186</v>
      </c>
      <c r="BC186" s="2249"/>
      <c r="BD186" s="85"/>
      <c r="BE186" s="2244"/>
      <c r="BF186" s="2244"/>
      <c r="BG186" s="2244"/>
      <c r="BH186" s="2244"/>
      <c r="BI186" s="2245"/>
      <c r="BJ186" s="2245"/>
      <c r="BK186" s="2250">
        <f t="shared" ref="BK186:BK192" si="997">+SUM(W186:Z186)</f>
        <v>9486.4336000000003</v>
      </c>
      <c r="BL186" s="2250">
        <f t="shared" ref="BL186:BL192" si="998">+SUM(AA186:AD186)</f>
        <v>12200.851999999999</v>
      </c>
      <c r="BM186" s="2250">
        <f t="shared" ref="BM186:BM192" si="999">+SUM(AE186:AH186)</f>
        <v>10962.3499713</v>
      </c>
      <c r="BN186" s="2250">
        <f t="shared" ref="BN186:BN192" si="1000">+SUM(AI186:AL186)</f>
        <v>9533.5561924250997</v>
      </c>
      <c r="BO186" s="2461">
        <f t="shared" ref="BO186:BO192" si="1001">+SUM(AM186:AP186)</f>
        <v>9977.0291529323404</v>
      </c>
      <c r="BP186" s="2250">
        <f t="shared" ref="BP186:BP192" si="1002">+SUM(AQ186:AT186)</f>
        <v>8794.7096434269588</v>
      </c>
      <c r="BQ186" s="2250">
        <f>+SUM(AU186:AX186)</f>
        <v>8160.230766391227</v>
      </c>
      <c r="BR186" s="2243">
        <f t="shared" ref="BR186" si="1003">+BR188+BR190+BR192</f>
        <v>8600.231676419322</v>
      </c>
      <c r="BS186" s="2243">
        <f t="shared" ref="BS186" si="1004">+BS188+BS190+BS192</f>
        <v>8930.565175774409</v>
      </c>
      <c r="BT186" s="2243">
        <f t="shared" ref="BT186" si="1005">+BT188+BT190+BT192</f>
        <v>9265.3040822505936</v>
      </c>
      <c r="BU186" s="2243">
        <f t="shared" ref="BU186" si="1006">+BU188+BU190+BU192</f>
        <v>9544.6599485731349</v>
      </c>
    </row>
    <row r="187" spans="1:73" s="2269" customFormat="1" ht="15" customHeight="1">
      <c r="B187" s="2270"/>
      <c r="C187" s="2270" t="e">
        <f>+C186/#REF!-1</f>
        <v>#REF!</v>
      </c>
      <c r="D187" s="2270" t="e">
        <f>+D186/#REF!-1</f>
        <v>#REF!</v>
      </c>
      <c r="E187" s="2270" t="e">
        <f t="shared" ref="E187:AO187" si="1007">+E186/A186-1</f>
        <v>#DIV/0!</v>
      </c>
      <c r="F187" s="2270" t="e">
        <f t="shared" si="1007"/>
        <v>#VALUE!</v>
      </c>
      <c r="G187" s="2270" t="e">
        <f t="shared" si="1007"/>
        <v>#DIV/0!</v>
      </c>
      <c r="H187" s="2270" t="e">
        <f t="shared" si="1007"/>
        <v>#DIV/0!</v>
      </c>
      <c r="I187" s="2270" t="e">
        <f t="shared" si="1007"/>
        <v>#DIV/0!</v>
      </c>
      <c r="J187" s="2270" t="e">
        <f t="shared" si="1007"/>
        <v>#DIV/0!</v>
      </c>
      <c r="K187" s="2270" t="e">
        <f t="shared" si="1007"/>
        <v>#DIV/0!</v>
      </c>
      <c r="L187" s="2270" t="e">
        <f t="shared" si="1007"/>
        <v>#DIV/0!</v>
      </c>
      <c r="M187" s="2270" t="e">
        <f t="shared" si="1007"/>
        <v>#DIV/0!</v>
      </c>
      <c r="N187" s="2270" t="e">
        <f t="shared" si="1007"/>
        <v>#DIV/0!</v>
      </c>
      <c r="O187" s="2270" t="e">
        <f t="shared" si="1007"/>
        <v>#DIV/0!</v>
      </c>
      <c r="P187" s="2270" t="e">
        <f t="shared" si="1007"/>
        <v>#DIV/0!</v>
      </c>
      <c r="Q187" s="2270" t="e">
        <f t="shared" si="1007"/>
        <v>#DIV/0!</v>
      </c>
      <c r="R187" s="2270" t="e">
        <f t="shared" si="1007"/>
        <v>#DIV/0!</v>
      </c>
      <c r="S187" s="2270" t="e">
        <f t="shared" si="1007"/>
        <v>#DIV/0!</v>
      </c>
      <c r="T187" s="2270" t="e">
        <f t="shared" si="1007"/>
        <v>#DIV/0!</v>
      </c>
      <c r="U187" s="2270" t="e">
        <f t="shared" si="1007"/>
        <v>#DIV/0!</v>
      </c>
      <c r="V187" s="2270" t="e">
        <f t="shared" si="1007"/>
        <v>#DIV/0!</v>
      </c>
      <c r="W187" s="2270">
        <f t="shared" si="1007"/>
        <v>2.555359037849311</v>
      </c>
      <c r="X187" s="2270">
        <f t="shared" si="1007"/>
        <v>1.3517418979799447</v>
      </c>
      <c r="Y187" s="2270">
        <f t="shared" si="1007"/>
        <v>3.2078768137400067</v>
      </c>
      <c r="Z187" s="2270">
        <f t="shared" si="1007"/>
        <v>2.7069813176007878</v>
      </c>
      <c r="AA187" s="2270">
        <f t="shared" si="1007"/>
        <v>0.43901104367724564</v>
      </c>
      <c r="AB187" s="2270">
        <f t="shared" si="1007"/>
        <v>0.76989280163259477</v>
      </c>
      <c r="AC187" s="2270">
        <f t="shared" si="1007"/>
        <v>0.13750397607318798</v>
      </c>
      <c r="AD187" s="2270">
        <f t="shared" si="1007"/>
        <v>6.4743269230769229E-2</v>
      </c>
      <c r="AE187" s="2270">
        <f t="shared" si="1007"/>
        <v>-0.13120831748885131</v>
      </c>
      <c r="AF187" s="2270">
        <f t="shared" si="1007"/>
        <v>-5.0802800181557917E-2</v>
      </c>
      <c r="AG187" s="2270">
        <f t="shared" si="1007"/>
        <v>-3.0996830319405921E-2</v>
      </c>
      <c r="AH187" s="2270">
        <f t="shared" si="1007"/>
        <v>-0.19096685157506588</v>
      </c>
      <c r="AI187" s="2270">
        <f t="shared" si="1007"/>
        <v>-0.10104541003600376</v>
      </c>
      <c r="AJ187" s="2270">
        <f t="shared" si="1007"/>
        <v>-0.14319607847536875</v>
      </c>
      <c r="AK187" s="2270">
        <f t="shared" si="1007"/>
        <v>-0.19544255821369505</v>
      </c>
      <c r="AL187" s="2270">
        <f t="shared" si="1007"/>
        <v>-6.6712103972668579E-2</v>
      </c>
      <c r="AM187" s="2402">
        <f t="shared" si="1007"/>
        <v>-0.17502010635211396</v>
      </c>
      <c r="AN187" s="2270">
        <f t="shared" si="1007"/>
        <v>9.6994785000397155E-3</v>
      </c>
      <c r="AO187" s="2270">
        <f t="shared" si="1007"/>
        <v>4.8570979666491931E-2</v>
      </c>
      <c r="AP187" s="2270">
        <f t="shared" ref="AP187" si="1008">+AP186/AL186-1</f>
        <v>0.28616801674506465</v>
      </c>
      <c r="AQ187" s="2270">
        <f t="shared" ref="AQ187" si="1009">+AQ186/AM186-1</f>
        <v>0.23822521471671809</v>
      </c>
      <c r="AR187" s="2270">
        <f t="shared" ref="AR187" si="1010">+AR186/AN186-1</f>
        <v>-0.11439652953352464</v>
      </c>
      <c r="AS187" s="2270">
        <f t="shared" ref="AS187:AT187" si="1011">+AS186/AO186-1</f>
        <v>-0.24924845726839828</v>
      </c>
      <c r="AT187" s="2270">
        <f t="shared" si="1011"/>
        <v>-0.22400402259294561</v>
      </c>
      <c r="AU187" s="2270">
        <f t="shared" ref="AU187:AX187" si="1012">+AU186/AQ186-1</f>
        <v>-0.16041315023596303</v>
      </c>
      <c r="AV187" s="2270">
        <f t="shared" si="1012"/>
        <v>-2.22554417524361E-2</v>
      </c>
      <c r="AW187" s="2270">
        <f t="shared" si="1012"/>
        <v>-0.10897021450937239</v>
      </c>
      <c r="AX187" s="2270">
        <f t="shared" si="1012"/>
        <v>-7.1016846271554357E-4</v>
      </c>
      <c r="AY187" s="2270"/>
      <c r="AZ187" s="2270"/>
      <c r="BA187" s="2261"/>
      <c r="BB187" s="2270">
        <v>-0.20792872599875989</v>
      </c>
      <c r="BC187" s="2271"/>
      <c r="BD187" s="2261"/>
      <c r="BE187" s="2268"/>
      <c r="BF187" s="2268"/>
      <c r="BG187" s="2268"/>
      <c r="BH187" s="2268"/>
      <c r="BK187" s="2270"/>
      <c r="BL187" s="2270">
        <f t="shared" ref="BL187:BO187" si="1013">+BL186/BK186-1</f>
        <v>0.28613686812713257</v>
      </c>
      <c r="BM187" s="2270">
        <f t="shared" si="1013"/>
        <v>-0.10150947070745542</v>
      </c>
      <c r="BN187" s="2270">
        <f t="shared" si="1013"/>
        <v>-0.13033644999617389</v>
      </c>
      <c r="BO187" s="2402">
        <f t="shared" si="1013"/>
        <v>4.6517055289358122E-2</v>
      </c>
      <c r="BP187" s="2270">
        <f>+BP186/BO186-1</f>
        <v>-0.11850416505577588</v>
      </c>
      <c r="BQ187" s="2270">
        <f>+BQ186/BP186-1</f>
        <v>-7.2143243240546551E-2</v>
      </c>
      <c r="BR187" s="2270">
        <f t="shared" ref="BR187:BU187" si="1014">+BR186/BQ186-1</f>
        <v>5.3920155277995985E-2</v>
      </c>
      <c r="BS187" s="2270">
        <f t="shared" si="1014"/>
        <v>3.8409837290874105E-2</v>
      </c>
      <c r="BT187" s="2270">
        <f t="shared" si="1014"/>
        <v>3.748238771989687E-2</v>
      </c>
      <c r="BU187" s="2270">
        <f t="shared" si="1014"/>
        <v>3.015074992063127E-2</v>
      </c>
    </row>
    <row r="188" spans="1:73" s="325" customFormat="1" ht="15" customHeight="1">
      <c r="A188" s="1030"/>
      <c r="B188" s="1671" t="s">
        <v>313</v>
      </c>
      <c r="C188" s="471"/>
      <c r="D188" s="471"/>
      <c r="E188" s="471"/>
      <c r="F188" s="471"/>
      <c r="G188" s="471"/>
      <c r="H188" s="471"/>
      <c r="I188" s="471"/>
      <c r="J188" s="471"/>
      <c r="K188" s="471"/>
      <c r="L188" s="471"/>
      <c r="M188" s="471"/>
      <c r="N188" s="471"/>
      <c r="O188" s="471"/>
      <c r="P188" s="471"/>
      <c r="Q188" s="471"/>
      <c r="R188" s="471"/>
      <c r="S188" s="1034"/>
      <c r="T188" s="471"/>
      <c r="U188" s="471"/>
      <c r="V188" s="471"/>
      <c r="W188" s="1827"/>
      <c r="X188" s="1675"/>
      <c r="Y188" s="1675"/>
      <c r="Z188" s="1675"/>
      <c r="AA188" s="2221">
        <v>975.92100000000005</v>
      </c>
      <c r="AB188" s="2221">
        <v>1005.095</v>
      </c>
      <c r="AC188" s="2221">
        <v>933.64899999999989</v>
      </c>
      <c r="AD188" s="2221">
        <v>964.36799999999994</v>
      </c>
      <c r="AE188" s="2221">
        <v>852.51400000000001</v>
      </c>
      <c r="AF188" s="2221">
        <v>890.19099999999992</v>
      </c>
      <c r="AG188" s="2221">
        <v>891.09700000000021</v>
      </c>
      <c r="AH188" s="2221">
        <v>937.18799999999965</v>
      </c>
      <c r="AI188" s="2221">
        <v>814.04899999999998</v>
      </c>
      <c r="AJ188" s="2221">
        <v>822.77800000000002</v>
      </c>
      <c r="AK188" s="2221">
        <v>996.97500000000014</v>
      </c>
      <c r="AL188" s="2221">
        <v>650.80600000000004</v>
      </c>
      <c r="AM188" s="2403">
        <v>757.89599999999996</v>
      </c>
      <c r="AN188" s="2221">
        <v>880.28200000000015</v>
      </c>
      <c r="AO188" s="2221">
        <v>857.35200000000009</v>
      </c>
      <c r="AP188" s="2221">
        <f>3356.893-AO188-AN188-AM188</f>
        <v>861.36300000000006</v>
      </c>
      <c r="AQ188" s="2221">
        <v>788.15</v>
      </c>
      <c r="AR188" s="2221">
        <f>1423.75-AQ188</f>
        <v>635.6</v>
      </c>
      <c r="AS188" s="2221">
        <f>1721.716-AR188-AQ188</f>
        <v>297.96600000000001</v>
      </c>
      <c r="AT188" s="2221">
        <f>2551.121-AS188-AR188-AQ188</f>
        <v>829.40500000000031</v>
      </c>
      <c r="AU188" s="2230">
        <f>+AU195/MACRO!AU43*MACRO!AU3</f>
        <v>811.57258109578925</v>
      </c>
      <c r="AV188" s="2230">
        <f>+AV195/MACRO!AV43*MACRO!AV3</f>
        <v>811.03097918412914</v>
      </c>
      <c r="AW188" s="2230">
        <f>+AW195/MACRO!AW43*MACRO!AW3</f>
        <v>603.82310560688848</v>
      </c>
      <c r="AX188" s="2230">
        <f>+AX195/MACRO!AX43*MACRO!AX3</f>
        <v>882.24391050399299</v>
      </c>
      <c r="AY188" s="2230"/>
      <c r="AZ188" s="2230"/>
      <c r="BA188" s="72"/>
      <c r="BB188" s="2230">
        <v>437.17675472221259</v>
      </c>
      <c r="BC188" s="2189"/>
      <c r="BD188" s="72"/>
      <c r="BE188" s="337"/>
      <c r="BF188" s="337"/>
      <c r="BG188" s="337"/>
      <c r="BH188" s="337"/>
      <c r="BI188" s="474"/>
      <c r="BJ188" s="2031"/>
      <c r="BK188" s="1694">
        <f t="shared" si="997"/>
        <v>0</v>
      </c>
      <c r="BL188" s="1694">
        <f t="shared" si="998"/>
        <v>3879.0329999999999</v>
      </c>
      <c r="BM188" s="1694">
        <f t="shared" si="999"/>
        <v>3570.99</v>
      </c>
      <c r="BN188" s="1694">
        <f t="shared" si="1000"/>
        <v>3284.6080000000002</v>
      </c>
      <c r="BO188" s="1693">
        <f t="shared" si="1001"/>
        <v>3356.893</v>
      </c>
      <c r="BP188" s="1694">
        <f t="shared" si="1002"/>
        <v>2551.1210000000001</v>
      </c>
      <c r="BQ188" s="1694">
        <f>+SUM(AU188:AX188)</f>
        <v>3108.6705763907999</v>
      </c>
      <c r="BR188" s="2230">
        <f>+BR195/MACRO!BP43*MACRO!BP3</f>
        <v>3368.0591892136026</v>
      </c>
      <c r="BS188" s="2230">
        <f>+BS195/MACRO!BQ43*MACRO!BQ3</f>
        <v>3520.5465933553119</v>
      </c>
      <c r="BT188" s="2230">
        <f>+BT195/MACRO!BR43*MACRO!BR3</f>
        <v>3675.4506434629461</v>
      </c>
      <c r="BU188" s="2230">
        <f>+BU195/MACRO!BS43*MACRO!BS3</f>
        <v>3766.1117593350323</v>
      </c>
    </row>
    <row r="189" spans="1:73" s="325" customFormat="1" ht="15" customHeight="1">
      <c r="A189" s="1030"/>
      <c r="B189" s="1671"/>
      <c r="C189" s="471"/>
      <c r="D189" s="471"/>
      <c r="E189" s="471"/>
      <c r="F189" s="471"/>
      <c r="G189" s="471"/>
      <c r="H189" s="471"/>
      <c r="I189" s="471"/>
      <c r="J189" s="471"/>
      <c r="K189" s="471"/>
      <c r="L189" s="471"/>
      <c r="M189" s="471"/>
      <c r="N189" s="471"/>
      <c r="O189" s="471"/>
      <c r="P189" s="471"/>
      <c r="Q189" s="471"/>
      <c r="R189" s="471"/>
      <c r="S189" s="1034"/>
      <c r="T189" s="471"/>
      <c r="U189" s="471"/>
      <c r="V189" s="471"/>
      <c r="W189" s="1827"/>
      <c r="X189" s="1675"/>
      <c r="Y189" s="1675"/>
      <c r="Z189" s="1675"/>
      <c r="AA189" s="2221"/>
      <c r="AB189" s="2221"/>
      <c r="AC189" s="2221"/>
      <c r="AD189" s="2221"/>
      <c r="AE189" s="2221"/>
      <c r="AF189" s="2221"/>
      <c r="AG189" s="2221"/>
      <c r="AH189" s="2221"/>
      <c r="AI189" s="2221"/>
      <c r="AJ189" s="2221"/>
      <c r="AK189" s="2221"/>
      <c r="AL189" s="2221"/>
      <c r="AM189" s="2403"/>
      <c r="AN189" s="2221"/>
      <c r="AO189" s="2221"/>
      <c r="AP189" s="2221"/>
      <c r="AQ189" s="2159">
        <f t="shared" ref="AQ189" si="1015">+AQ188/AM188-1</f>
        <v>3.9918405691546033E-2</v>
      </c>
      <c r="AR189" s="2159">
        <f t="shared" ref="AR189" si="1016">+AR188/AN188-1</f>
        <v>-0.27795865415855381</v>
      </c>
      <c r="AS189" s="2159">
        <f t="shared" ref="AS189:AT189" si="1017">+AS188/AO188-1</f>
        <v>-0.65245780029672762</v>
      </c>
      <c r="AT189" s="2159">
        <f t="shared" si="1017"/>
        <v>-3.710166329410447E-2</v>
      </c>
      <c r="AU189" s="2230"/>
      <c r="AV189" s="2230"/>
      <c r="AW189" s="2230"/>
      <c r="AX189" s="2230"/>
      <c r="AY189" s="2230"/>
      <c r="AZ189" s="2230"/>
      <c r="BA189" s="72"/>
      <c r="BB189" s="2230"/>
      <c r="BC189" s="2189"/>
      <c r="BD189" s="72"/>
      <c r="BE189" s="337"/>
      <c r="BF189" s="337"/>
      <c r="BG189" s="337"/>
      <c r="BH189" s="337"/>
      <c r="BI189" s="474"/>
      <c r="BJ189" s="2031"/>
      <c r="BK189" s="1694"/>
      <c r="BL189" s="1694"/>
      <c r="BM189" s="1694"/>
      <c r="BN189" s="1694"/>
      <c r="BO189" s="2222">
        <f t="shared" ref="BO189" si="1018">+BO188/BN188-1</f>
        <v>2.2007192334671188E-2</v>
      </c>
      <c r="BP189" s="533">
        <f t="shared" ref="BP189" si="1019">+BP188/BO188-1</f>
        <v>-0.24003505622609955</v>
      </c>
      <c r="BQ189" s="533">
        <f t="shared" ref="BQ189" si="1020">+BQ188/BP188-1</f>
        <v>0.21855081604941495</v>
      </c>
      <c r="BR189" s="533">
        <f t="shared" ref="BR189" si="1021">+BR188/BQ188-1</f>
        <v>8.3440366693326329E-2</v>
      </c>
      <c r="BS189" s="533">
        <f t="shared" ref="BS189" si="1022">+BS188/BR188-1</f>
        <v>4.5274561869357521E-2</v>
      </c>
      <c r="BT189" s="533">
        <f t="shared" ref="BT189" si="1023">+BT188/BS188-1</f>
        <v>4.4000000000000039E-2</v>
      </c>
      <c r="BU189" s="533">
        <f t="shared" ref="BU189" si="1024">+BU188/BT188-1</f>
        <v>2.4666666666666615E-2</v>
      </c>
    </row>
    <row r="190" spans="1:73" s="325" customFormat="1" ht="15" customHeight="1">
      <c r="A190" s="1030"/>
      <c r="B190" s="1671" t="s">
        <v>314</v>
      </c>
      <c r="C190" s="471"/>
      <c r="D190" s="471"/>
      <c r="E190" s="471"/>
      <c r="F190" s="471"/>
      <c r="G190" s="471"/>
      <c r="H190" s="471"/>
      <c r="I190" s="471"/>
      <c r="J190" s="471"/>
      <c r="K190" s="471"/>
      <c r="L190" s="471"/>
      <c r="M190" s="471"/>
      <c r="N190" s="471"/>
      <c r="O190" s="471"/>
      <c r="P190" s="471"/>
      <c r="Q190" s="471"/>
      <c r="R190" s="471"/>
      <c r="S190" s="1034"/>
      <c r="T190" s="471"/>
      <c r="U190" s="471"/>
      <c r="V190" s="471"/>
      <c r="W190" s="1827"/>
      <c r="X190" s="1675"/>
      <c r="Y190" s="1675"/>
      <c r="Z190" s="1675"/>
      <c r="AA190" s="2221">
        <v>621.25199999999995</v>
      </c>
      <c r="AB190" s="2221">
        <v>575.19800000000009</v>
      </c>
      <c r="AC190" s="2221">
        <v>853.02600000000007</v>
      </c>
      <c r="AD190" s="2221">
        <v>924.16199999999981</v>
      </c>
      <c r="AE190" s="2221">
        <v>634.50900000000001</v>
      </c>
      <c r="AF190" s="2221">
        <v>778.73800000000006</v>
      </c>
      <c r="AG190" s="2221">
        <v>970.048</v>
      </c>
      <c r="AH190" s="2221">
        <v>619.91899999999987</v>
      </c>
      <c r="AI190" s="2221">
        <v>566.072</v>
      </c>
      <c r="AJ190" s="2221">
        <v>629.08299999999997</v>
      </c>
      <c r="AK190" s="2221">
        <v>753.76</v>
      </c>
      <c r="AL190" s="2221">
        <f>-237.132+1000</f>
        <v>762.86799999999994</v>
      </c>
      <c r="AM190" s="2403">
        <v>526.89200000000005</v>
      </c>
      <c r="AN190" s="2221">
        <v>801.71799999999985</v>
      </c>
      <c r="AO190" s="2221">
        <v>1075.7010000000002</v>
      </c>
      <c r="AP190" s="2221">
        <f>3790.847-AO190-AN190-AM190</f>
        <v>1386.5359999999998</v>
      </c>
      <c r="AQ190" s="2221">
        <v>838.64800000000002</v>
      </c>
      <c r="AR190" s="2221">
        <f>1481.955-AQ190</f>
        <v>643.3069999999999</v>
      </c>
      <c r="AS190" s="2221">
        <f>1947.596-AR190-AQ190</f>
        <v>465.64100000000019</v>
      </c>
      <c r="AT190" s="2221">
        <f>2644.935-AS190-AR190-AQ190</f>
        <v>697.33900000000006</v>
      </c>
      <c r="AU190" s="2230">
        <f>+AU197/MACRO!AU42*MACRO!AU3</f>
        <v>439.56372465076481</v>
      </c>
      <c r="AV190" s="2230">
        <f>+AV197/MACRO!AV42*MACRO!AV3</f>
        <v>377.88330009911579</v>
      </c>
      <c r="AW190" s="2230">
        <f>+AW197/MACRO!AW42*MACRO!AW3</f>
        <v>394.426650413961</v>
      </c>
      <c r="AX190" s="2230">
        <f>+AX197/MACRO!AX42*MACRO!AX3</f>
        <v>627.4388515672041</v>
      </c>
      <c r="AY190" s="2230"/>
      <c r="AZ190" s="2230"/>
      <c r="BA190" s="72"/>
      <c r="BB190" s="2230">
        <v>579.70505048711289</v>
      </c>
      <c r="BC190" s="2189"/>
      <c r="BD190" s="72"/>
      <c r="BE190" s="337"/>
      <c r="BF190" s="337"/>
      <c r="BG190" s="337"/>
      <c r="BH190" s="337"/>
      <c r="BI190" s="474"/>
      <c r="BJ190" s="2031"/>
      <c r="BK190" s="1694">
        <f t="shared" si="997"/>
        <v>0</v>
      </c>
      <c r="BL190" s="1694">
        <f t="shared" si="998"/>
        <v>2973.6379999999999</v>
      </c>
      <c r="BM190" s="1694">
        <f t="shared" si="999"/>
        <v>3003.2139999999999</v>
      </c>
      <c r="BN190" s="1694">
        <f t="shared" si="1000"/>
        <v>2711.7829999999999</v>
      </c>
      <c r="BO190" s="1693">
        <f t="shared" si="1001"/>
        <v>3790.8469999999998</v>
      </c>
      <c r="BP190" s="1694">
        <f t="shared" si="1002"/>
        <v>2644.9349999999999</v>
      </c>
      <c r="BQ190" s="1694">
        <f>+SUM(AU190:AX190)</f>
        <v>1839.3125267310456</v>
      </c>
      <c r="BR190" s="2230">
        <f>+BR197/MACRO!BP42*MACRO!BP3</f>
        <v>2081.9533972510158</v>
      </c>
      <c r="BS190" s="2230">
        <f>+BS197/MACRO!BQ42*MACRO!BQ3</f>
        <v>2211.9335918445713</v>
      </c>
      <c r="BT190" s="2230">
        <f>+BT197/MACRO!BR42*MACRO!BR3</f>
        <v>2347.1631682550687</v>
      </c>
      <c r="BU190" s="2230">
        <f>+BU197/MACRO!BS42*MACRO!BS3</f>
        <v>2490.6601892233894</v>
      </c>
    </row>
    <row r="191" spans="1:73" s="325" customFormat="1" ht="15" customHeight="1">
      <c r="A191" s="1030"/>
      <c r="B191" s="1671"/>
      <c r="C191" s="471"/>
      <c r="D191" s="471"/>
      <c r="E191" s="471"/>
      <c r="F191" s="471"/>
      <c r="G191" s="471"/>
      <c r="H191" s="471"/>
      <c r="I191" s="471"/>
      <c r="J191" s="471"/>
      <c r="K191" s="471"/>
      <c r="L191" s="471"/>
      <c r="M191" s="471"/>
      <c r="N191" s="471"/>
      <c r="O191" s="471"/>
      <c r="P191" s="471"/>
      <c r="Q191" s="471"/>
      <c r="R191" s="471"/>
      <c r="S191" s="1034"/>
      <c r="T191" s="471"/>
      <c r="U191" s="471"/>
      <c r="V191" s="471"/>
      <c r="W191" s="1827"/>
      <c r="X191" s="1675"/>
      <c r="Y191" s="1675"/>
      <c r="Z191" s="1675"/>
      <c r="AA191" s="2221"/>
      <c r="AB191" s="2221"/>
      <c r="AC191" s="2221"/>
      <c r="AD191" s="2221"/>
      <c r="AE191" s="2221"/>
      <c r="AF191" s="2221"/>
      <c r="AG191" s="2221"/>
      <c r="AH191" s="2221"/>
      <c r="AI191" s="2221"/>
      <c r="AJ191" s="2221"/>
      <c r="AK191" s="2221"/>
      <c r="AL191" s="2221"/>
      <c r="AM191" s="2403"/>
      <c r="AN191" s="2221"/>
      <c r="AO191" s="2221"/>
      <c r="AP191" s="2221"/>
      <c r="AQ191" s="2159">
        <f t="shared" ref="AQ191" si="1025">+AQ190/AM190-1</f>
        <v>0.59168861929959071</v>
      </c>
      <c r="AR191" s="2159">
        <f t="shared" ref="AR191" si="1026">+AR190/AN190-1</f>
        <v>-0.19758942670614854</v>
      </c>
      <c r="AS191" s="2159">
        <f t="shared" ref="AS191:AT191" si="1027">+AS190/AO190-1</f>
        <v>-0.56712785430152057</v>
      </c>
      <c r="AT191" s="2159">
        <f t="shared" si="1027"/>
        <v>-0.49706390602191353</v>
      </c>
      <c r="AU191" s="2230"/>
      <c r="AV191" s="2230"/>
      <c r="AW191" s="2230"/>
      <c r="AX191" s="2230"/>
      <c r="AY191" s="2230"/>
      <c r="AZ191" s="2230"/>
      <c r="BA191" s="72"/>
      <c r="BB191" s="2230"/>
      <c r="BC191" s="2189"/>
      <c r="BD191" s="72"/>
      <c r="BE191" s="337"/>
      <c r="BF191" s="337"/>
      <c r="BG191" s="337"/>
      <c r="BH191" s="337"/>
      <c r="BI191" s="474"/>
      <c r="BJ191" s="2031"/>
      <c r="BK191" s="1694"/>
      <c r="BL191" s="1694"/>
      <c r="BM191" s="1694"/>
      <c r="BN191" s="1694"/>
      <c r="BO191" s="2222">
        <f t="shared" ref="BO191" si="1028">+BO190/BN190-1</f>
        <v>0.39791679496478882</v>
      </c>
      <c r="BP191" s="533">
        <f t="shared" ref="BP191" si="1029">+BP190/BO190-1</f>
        <v>-0.30228389592088523</v>
      </c>
      <c r="BQ191" s="533">
        <f t="shared" ref="BQ191" si="1030">+BQ190/BP190-1</f>
        <v>-0.30459065091163084</v>
      </c>
      <c r="BR191" s="533">
        <f t="shared" ref="BR191" si="1031">+BR190/BQ190-1</f>
        <v>0.13191932691895936</v>
      </c>
      <c r="BS191" s="533">
        <f t="shared" ref="BS191" si="1032">+BS190/BR190-1</f>
        <v>6.2431846344485731E-2</v>
      </c>
      <c r="BT191" s="533">
        <f t="shared" ref="BT191" si="1033">+BT190/BS190-1</f>
        <v>6.1136363636363544E-2</v>
      </c>
      <c r="BU191" s="533">
        <f t="shared" ref="BU191" si="1034">+BU190/BT190-1</f>
        <v>6.1136363636363322E-2</v>
      </c>
    </row>
    <row r="192" spans="1:73" s="325" customFormat="1" ht="15" customHeight="1">
      <c r="A192" s="1030"/>
      <c r="B192" s="1671" t="s">
        <v>269</v>
      </c>
      <c r="C192" s="471"/>
      <c r="D192" s="471"/>
      <c r="E192" s="471"/>
      <c r="F192" s="471"/>
      <c r="G192" s="471"/>
      <c r="H192" s="471"/>
      <c r="I192" s="471"/>
      <c r="J192" s="471"/>
      <c r="K192" s="471"/>
      <c r="L192" s="471"/>
      <c r="M192" s="471"/>
      <c r="N192" s="471"/>
      <c r="O192" s="471"/>
      <c r="P192" s="471"/>
      <c r="Q192" s="471"/>
      <c r="R192" s="471"/>
      <c r="S192" s="1034"/>
      <c r="T192" s="471"/>
      <c r="U192" s="471"/>
      <c r="V192" s="471"/>
      <c r="W192" s="1827"/>
      <c r="X192" s="1675"/>
      <c r="Y192" s="1675"/>
      <c r="Z192" s="1675"/>
      <c r="AA192" s="1670">
        <f>+AA186-AA188-AA190</f>
        <v>1295.5269999999994</v>
      </c>
      <c r="AB192" s="1670">
        <f t="shared" ref="AB192:AS192" si="1035">+AB186-AB188-AB190</f>
        <v>1283.8069999999998</v>
      </c>
      <c r="AC192" s="1670">
        <f t="shared" si="1035"/>
        <v>1446.1113000000007</v>
      </c>
      <c r="AD192" s="1670">
        <f t="shared" si="1035"/>
        <v>1322.7357000000011</v>
      </c>
      <c r="AE192" s="1670">
        <f t="shared" si="1035"/>
        <v>1026.1306999999993</v>
      </c>
      <c r="AF192" s="1670">
        <f t="shared" si="1035"/>
        <v>1049.6667</v>
      </c>
      <c r="AG192" s="1670">
        <f t="shared" si="1035"/>
        <v>1271.4351716000003</v>
      </c>
      <c r="AH192" s="1670">
        <f t="shared" si="1035"/>
        <v>1040.9133997000013</v>
      </c>
      <c r="AI192" s="1670">
        <f t="shared" si="1035"/>
        <v>879.09005389999959</v>
      </c>
      <c r="AJ192" s="1670">
        <f t="shared" si="1035"/>
        <v>877.44245679999983</v>
      </c>
      <c r="AK192" s="1670">
        <f t="shared" si="1035"/>
        <v>769.60568905300033</v>
      </c>
      <c r="AL192" s="1670">
        <f t="shared" si="1035"/>
        <v>1011.0269926721003</v>
      </c>
      <c r="AM192" s="1826">
        <f t="shared" si="1035"/>
        <v>579.01569497455012</v>
      </c>
      <c r="AN192" s="1670">
        <f t="shared" si="1035"/>
        <v>669.89648559929947</v>
      </c>
      <c r="AO192" s="1670">
        <f t="shared" si="1035"/>
        <v>709.70310541362551</v>
      </c>
      <c r="AP192" s="1670">
        <f t="shared" si="1035"/>
        <v>870.67386694486436</v>
      </c>
      <c r="AQ192" s="1670">
        <f t="shared" si="1035"/>
        <v>681.0107303996748</v>
      </c>
      <c r="AR192" s="1670">
        <f t="shared" si="1035"/>
        <v>803.94068982464648</v>
      </c>
      <c r="AS192" s="2635">
        <f t="shared" si="1035"/>
        <v>1220.446223202639</v>
      </c>
      <c r="AT192" s="2635">
        <f t="shared" ref="AT192" si="1036">+AT186-AT188-AT190</f>
        <v>893.25599999999974</v>
      </c>
      <c r="AU192" s="2230">
        <f>+AU199/(0.4*MACRO!AU40+0.4*MACRO!AU41+0.2*MACRO!AU39)*MACRO!AU3</f>
        <v>686.46955606765061</v>
      </c>
      <c r="AV192" s="2230">
        <f>+AV199/(0.4*MACRO!AV40+0.4*MACRO!AV41+0.2*MACRO!AV39)*MACRO!AV3</f>
        <v>847.57871510131281</v>
      </c>
      <c r="AW192" s="2230">
        <f>+AW199/(0.4*MACRO!AW40+0.4*MACRO!AW41+0.2*MACRO!AW39)*MACRO!AW3</f>
        <v>769.60076185138621</v>
      </c>
      <c r="AX192" s="2230">
        <f>+AX199/(0.4*MACRO!AX40+0.4*MACRO!AX41+0.2*MACRO!AX39)*MACRO!AX3</f>
        <v>908.59863024903143</v>
      </c>
      <c r="AY192" s="2230"/>
      <c r="AZ192" s="2230"/>
      <c r="BA192" s="72"/>
      <c r="BB192" s="2230">
        <v>1453.2501785773934</v>
      </c>
      <c r="BC192" s="2189"/>
      <c r="BD192" s="72"/>
      <c r="BE192" s="337"/>
      <c r="BF192" s="337"/>
      <c r="BG192" s="337"/>
      <c r="BH192" s="337"/>
      <c r="BI192" s="474"/>
      <c r="BJ192" s="2031"/>
      <c r="BK192" s="1694">
        <f t="shared" si="997"/>
        <v>0</v>
      </c>
      <c r="BL192" s="1694">
        <f t="shared" si="998"/>
        <v>5348.1810000000005</v>
      </c>
      <c r="BM192" s="1694">
        <f t="shared" si="999"/>
        <v>4388.1459713000004</v>
      </c>
      <c r="BN192" s="1694">
        <f t="shared" si="1000"/>
        <v>3537.1651924251</v>
      </c>
      <c r="BO192" s="1693">
        <f t="shared" si="1001"/>
        <v>2829.2891529323397</v>
      </c>
      <c r="BP192" s="1694">
        <f t="shared" si="1002"/>
        <v>3598.6536434269601</v>
      </c>
      <c r="BQ192" s="1694">
        <f>+SUM(AU192:AX192)</f>
        <v>3212.2476632693811</v>
      </c>
      <c r="BR192" s="2230">
        <f>+BR199/(0.4*MACRO!BP40+0.4*MACRO!BP41+0.2*MACRO!BP39)*MACRO!BP3</f>
        <v>3150.2190899547045</v>
      </c>
      <c r="BS192" s="2230">
        <f>+BS199/(0.4*MACRO!BQ40+0.4*MACRO!BQ41+0.2*MACRO!BQ39)*MACRO!BQ3</f>
        <v>3198.0849905745245</v>
      </c>
      <c r="BT192" s="2230">
        <f>+BT199/(0.4*MACRO!BR40+0.4*MACRO!BR41+0.2*MACRO!BR39)*MACRO!BR3</f>
        <v>3242.6902705325788</v>
      </c>
      <c r="BU192" s="2230">
        <f>+BU199/(0.4*MACRO!BS40+0.4*MACRO!BS41+0.2*MACRO!BS39)*MACRO!BS3</f>
        <v>3287.8880000147128</v>
      </c>
    </row>
    <row r="193" spans="1:73" s="325" customFormat="1" ht="15" customHeight="1">
      <c r="A193" s="1030"/>
      <c r="B193" s="1671"/>
      <c r="C193" s="471"/>
      <c r="D193" s="471"/>
      <c r="E193" s="471"/>
      <c r="F193" s="471"/>
      <c r="G193" s="471"/>
      <c r="H193" s="471"/>
      <c r="I193" s="471"/>
      <c r="J193" s="471"/>
      <c r="K193" s="471"/>
      <c r="L193" s="471"/>
      <c r="M193" s="471"/>
      <c r="N193" s="471"/>
      <c r="O193" s="471"/>
      <c r="P193" s="471"/>
      <c r="Q193" s="471"/>
      <c r="R193" s="471"/>
      <c r="S193" s="1034"/>
      <c r="T193" s="471"/>
      <c r="U193" s="471"/>
      <c r="V193" s="471"/>
      <c r="W193" s="1827"/>
      <c r="X193" s="1675"/>
      <c r="Y193" s="1675"/>
      <c r="Z193" s="1675"/>
      <c r="AA193" s="1675"/>
      <c r="AB193" s="1675"/>
      <c r="AC193" s="1739"/>
      <c r="AD193" s="1739"/>
      <c r="AE193" s="1739"/>
      <c r="AF193" s="1739"/>
      <c r="AG193" s="1739"/>
      <c r="AH193" s="1675"/>
      <c r="AI193" s="1675"/>
      <c r="AJ193" s="1675"/>
      <c r="AK193" s="1675"/>
      <c r="AL193" s="1675"/>
      <c r="AM193" s="1041"/>
      <c r="AN193" s="643"/>
      <c r="AO193" s="643"/>
      <c r="AP193" s="643"/>
      <c r="AQ193" s="2159">
        <f t="shared" ref="AQ193" si="1037">+AQ192/AM192-1</f>
        <v>0.17615245374239419</v>
      </c>
      <c r="AR193" s="2159">
        <f t="shared" ref="AR193" si="1038">+AR192/AN192-1</f>
        <v>0.20009689124645735</v>
      </c>
      <c r="AS193" s="2159">
        <f t="shared" ref="AS193:AT193" si="1039">+AS192/AO192-1</f>
        <v>0.71965743688178563</v>
      </c>
      <c r="AT193" s="2159">
        <f t="shared" si="1039"/>
        <v>2.5936385496873271E-2</v>
      </c>
      <c r="AU193" s="1682"/>
      <c r="AV193" s="1682"/>
      <c r="AW193" s="1682"/>
      <c r="AX193" s="1682"/>
      <c r="AY193" s="1682"/>
      <c r="AZ193" s="1682"/>
      <c r="BA193" s="72"/>
      <c r="BB193" s="1682"/>
      <c r="BC193" s="2189"/>
      <c r="BD193" s="72"/>
      <c r="BE193" s="337"/>
      <c r="BF193" s="337"/>
      <c r="BG193" s="337"/>
      <c r="BH193" s="337"/>
      <c r="BI193" s="474"/>
      <c r="BJ193" s="2031"/>
      <c r="BK193" s="474"/>
      <c r="BL193" s="474"/>
      <c r="BM193" s="474"/>
      <c r="BN193" s="474"/>
      <c r="BO193" s="2222">
        <f t="shared" ref="BO193" si="1040">+BO192/BN192-1</f>
        <v>-0.20012524182039593</v>
      </c>
      <c r="BP193" s="533">
        <f t="shared" ref="BP193" si="1041">+BP192/BO192-1</f>
        <v>0.2719285477404223</v>
      </c>
      <c r="BQ193" s="533">
        <f t="shared" ref="BQ193" si="1042">+BQ192/BP192-1</f>
        <v>-0.10737515149960608</v>
      </c>
      <c r="BR193" s="533">
        <f t="shared" ref="BR193" si="1043">+BR192/BQ192-1</f>
        <v>-1.9310022083273815E-2</v>
      </c>
      <c r="BS193" s="533">
        <f t="shared" ref="BS193" si="1044">+BS192/BR192-1</f>
        <v>1.5194467195139838E-2</v>
      </c>
      <c r="BT193" s="533">
        <f t="shared" ref="BT193" si="1045">+BT192/BS192-1</f>
        <v>1.3947496733049958E-2</v>
      </c>
      <c r="BU193" s="533">
        <f t="shared" ref="BU193" si="1046">+BU192/BT192-1</f>
        <v>1.393834307669195E-2</v>
      </c>
    </row>
    <row r="194" spans="1:73" s="870" customFormat="1" ht="15" customHeight="1">
      <c r="B194" s="2247" t="s">
        <v>315</v>
      </c>
      <c r="C194" s="2240"/>
      <c r="D194" s="2240"/>
      <c r="E194" s="2240"/>
      <c r="F194" s="2240"/>
      <c r="G194" s="2240"/>
      <c r="H194" s="2240"/>
      <c r="I194" s="2240"/>
      <c r="J194" s="2240"/>
      <c r="K194" s="2240"/>
      <c r="L194" s="2240"/>
      <c r="M194" s="2240"/>
      <c r="N194" s="2240"/>
      <c r="O194" s="2240"/>
      <c r="P194" s="2240"/>
      <c r="Q194" s="2240"/>
      <c r="R194" s="2240"/>
      <c r="S194" s="2240"/>
      <c r="T194" s="2240"/>
      <c r="U194" s="2240"/>
      <c r="V194" s="2240"/>
      <c r="W194" s="2241"/>
      <c r="X194" s="2241"/>
      <c r="Y194" s="2241"/>
      <c r="Z194" s="2241"/>
      <c r="AA194" s="2241"/>
      <c r="AB194" s="2241"/>
      <c r="AC194" s="2242"/>
      <c r="AD194" s="2242"/>
      <c r="AE194" s="2242"/>
      <c r="AF194" s="2242"/>
      <c r="AG194" s="2242"/>
      <c r="AH194" s="2241"/>
      <c r="AI194" s="2241"/>
      <c r="AJ194" s="2241"/>
      <c r="AK194" s="2241"/>
      <c r="AL194" s="2241"/>
      <c r="AM194" s="2404"/>
      <c r="AN194" s="2241"/>
      <c r="AO194" s="2241"/>
      <c r="AP194" s="2243"/>
      <c r="AQ194" s="2241"/>
      <c r="AR194" s="2243"/>
      <c r="AS194" s="2243"/>
      <c r="AT194" s="2243"/>
      <c r="AU194" s="2243"/>
      <c r="AV194" s="2243"/>
      <c r="AW194" s="2243"/>
      <c r="AX194" s="2243"/>
      <c r="AY194" s="2243"/>
      <c r="AZ194" s="2243"/>
      <c r="BA194" s="72"/>
      <c r="BB194" s="2243"/>
      <c r="BC194" s="2251"/>
      <c r="BD194" s="72"/>
      <c r="BE194" s="2244"/>
      <c r="BF194" s="2244"/>
      <c r="BG194" s="2244"/>
      <c r="BH194" s="2244"/>
      <c r="BI194" s="2245"/>
      <c r="BJ194" s="2245"/>
      <c r="BK194" s="2245"/>
      <c r="BL194" s="2245"/>
      <c r="BM194" s="2245"/>
      <c r="BN194" s="2245"/>
      <c r="BO194" s="2462"/>
      <c r="BP194" s="2245"/>
      <c r="BQ194" s="2245"/>
      <c r="BR194" s="2243"/>
      <c r="BS194" s="2243"/>
      <c r="BT194" s="2243"/>
      <c r="BU194" s="2243"/>
    </row>
    <row r="195" spans="1:73" s="325" customFormat="1" ht="15" customHeight="1">
      <c r="A195" s="1030"/>
      <c r="B195" s="1671" t="s">
        <v>313</v>
      </c>
      <c r="C195" s="1670">
        <f>+C188/MACRO!C3*MACRO!C43</f>
        <v>0</v>
      </c>
      <c r="D195" s="1670">
        <f>+D188/MACRO!D3*MACRO!D43</f>
        <v>0</v>
      </c>
      <c r="E195" s="1670">
        <f>+E188/MACRO!E3*MACRO!E43</f>
        <v>0</v>
      </c>
      <c r="F195" s="1670">
        <f>+F188/MACRO!F3*MACRO!F43</f>
        <v>0</v>
      </c>
      <c r="G195" s="1670">
        <f>+G188/MACRO!G3*MACRO!G43</f>
        <v>0</v>
      </c>
      <c r="H195" s="1670">
        <f>+H188/MACRO!H3*MACRO!H43</f>
        <v>0</v>
      </c>
      <c r="I195" s="1670">
        <f>+I188/MACRO!I3*MACRO!I43</f>
        <v>0</v>
      </c>
      <c r="J195" s="1670">
        <f>+J188/MACRO!J3*MACRO!J43</f>
        <v>0</v>
      </c>
      <c r="K195" s="1670">
        <f>+K188/MACRO!K3*MACRO!K43</f>
        <v>0</v>
      </c>
      <c r="L195" s="1670">
        <f>+L188/MACRO!L3*MACRO!L43</f>
        <v>0</v>
      </c>
      <c r="M195" s="1670">
        <f>+M188/MACRO!M3*MACRO!M43</f>
        <v>0</v>
      </c>
      <c r="N195" s="1670">
        <f>+N188/MACRO!N3*MACRO!N43</f>
        <v>0</v>
      </c>
      <c r="O195" s="1670">
        <f>+O188/MACRO!O3*MACRO!O43</f>
        <v>0</v>
      </c>
      <c r="P195" s="1670">
        <f>+P188/MACRO!P3*MACRO!P43</f>
        <v>0</v>
      </c>
      <c r="Q195" s="1670">
        <f>+Q188/MACRO!Q3*MACRO!Q43</f>
        <v>0</v>
      </c>
      <c r="R195" s="1670">
        <f>+R188/MACRO!R3*MACRO!R43</f>
        <v>0</v>
      </c>
      <c r="S195" s="1670">
        <f>+S188/MACRO!S3*MACRO!S43</f>
        <v>0</v>
      </c>
      <c r="T195" s="1670">
        <f>+T188/MACRO!T3*MACRO!T43</f>
        <v>0</v>
      </c>
      <c r="U195" s="1670">
        <f>+U188/MACRO!U3*MACRO!U43</f>
        <v>0</v>
      </c>
      <c r="V195" s="1670">
        <f>+V188/MACRO!V3*MACRO!V43</f>
        <v>0</v>
      </c>
      <c r="W195" s="1670">
        <f>+W188/MACRO!W3*MACRO!W43</f>
        <v>0</v>
      </c>
      <c r="X195" s="1670">
        <f>+X188/MACRO!X3*MACRO!X43</f>
        <v>0</v>
      </c>
      <c r="Y195" s="1670">
        <f>+Y188/MACRO!Y3*MACRO!Y43</f>
        <v>0</v>
      </c>
      <c r="Z195" s="1670">
        <f>+Z188/MACRO!Z3*MACRO!Z43</f>
        <v>0</v>
      </c>
      <c r="AA195" s="1670">
        <f>+AA188/MACRO!AA3*MACRO!AA43</f>
        <v>3619.1221109859584</v>
      </c>
      <c r="AB195" s="1670">
        <f>+AB188/MACRO!AB3*MACRO!AB43</f>
        <v>3801.2836383179701</v>
      </c>
      <c r="AC195" s="1670">
        <f>+AC188/MACRO!AC3*MACRO!AC43</f>
        <v>3574.7217774499777</v>
      </c>
      <c r="AD195" s="1670">
        <f>+AD188/MACRO!AD3*MACRO!AD43</f>
        <v>3582.4000252480932</v>
      </c>
      <c r="AE195" s="1670">
        <f>+AE188/MACRO!AE3*MACRO!AE43</f>
        <v>3345.08443961483</v>
      </c>
      <c r="AF195" s="1670">
        <f>+AF188/MACRO!AF3*MACRO!AF43</f>
        <v>3618.6584754506198</v>
      </c>
      <c r="AG195" s="1670">
        <f>+AG188/MACRO!AG3*MACRO!AG43</f>
        <v>3434.3294996779241</v>
      </c>
      <c r="AH195" s="1670">
        <f>+AH188/MACRO!AH3*MACRO!AH43</f>
        <v>3502.5309929390701</v>
      </c>
      <c r="AI195" s="1670">
        <f>+AI188/MACRO!AI3*MACRO!AI43</f>
        <v>2925.7224714089007</v>
      </c>
      <c r="AJ195" s="1670">
        <f>+AJ188/MACRO!AJ3*MACRO!AJ43</f>
        <v>2941.9510890301976</v>
      </c>
      <c r="AK195" s="1670">
        <f>+AK188/MACRO!AK3*MACRO!AK43</f>
        <v>3483.8747791669953</v>
      </c>
      <c r="AL195" s="1670">
        <f>+AL188/MACRO!AL3*MACRO!AL43</f>
        <v>2305.1244782113895</v>
      </c>
      <c r="AM195" s="1826">
        <f>+AM188/MACRO!AM3*MACRO!AM43</f>
        <v>2598.5872165404426</v>
      </c>
      <c r="AN195" s="1670">
        <f>+AN188/MACRO!AN3*MACRO!AN43</f>
        <v>2945.663316872332</v>
      </c>
      <c r="AO195" s="1670">
        <f>+AO188/MACRO!AO3*MACRO!AO43</f>
        <v>2928.881396226478</v>
      </c>
      <c r="AP195" s="1670">
        <f>+AP188/MACRO!AP3*MACRO!AP43</f>
        <v>2964.9127625089773</v>
      </c>
      <c r="AQ195" s="1670">
        <f>+AQ188/MACRO!AQ3*MACRO!AQ43</f>
        <v>2750.9401088007476</v>
      </c>
      <c r="AR195" s="1670">
        <f>+AR188/MACRO!AR3*MACRO!AR43</f>
        <v>2192.8575562151113</v>
      </c>
      <c r="AS195" s="1670">
        <f>+AS188/MACRO!AS3*MACRO!AS43</f>
        <v>1018.5904618758374</v>
      </c>
      <c r="AT195" s="1670">
        <f>+AT188/MACRO!AT3*MACRO!AT43</f>
        <v>2812.4933945210664</v>
      </c>
      <c r="AU195" s="2229">
        <f t="shared" ref="AU195" si="1047">+AQ195*(1+AU196)</f>
        <v>2750.9401088007476</v>
      </c>
      <c r="AV195" s="2229">
        <f t="shared" ref="AV195" si="1048">+AR195*(1+AV196)</f>
        <v>2741.0719452688891</v>
      </c>
      <c r="AW195" s="2229">
        <f t="shared" ref="AW195" si="1049">+AS195*(1+AW196)</f>
        <v>2037.1809237516748</v>
      </c>
      <c r="AX195" s="2229">
        <f t="shared" ref="AX195" si="1050">+AT195*(1+AX196)</f>
        <v>2981.2429981923306</v>
      </c>
      <c r="AY195" s="2229"/>
      <c r="AZ195" s="2229"/>
      <c r="BA195" s="72"/>
      <c r="BB195" s="2229">
        <v>1482.4563812544886</v>
      </c>
      <c r="BC195" s="2189"/>
      <c r="BD195" s="72"/>
      <c r="BE195" s="337"/>
      <c r="BF195" s="337"/>
      <c r="BG195" s="337"/>
      <c r="BH195" s="337"/>
      <c r="BI195" s="474"/>
      <c r="BJ195" s="2031"/>
      <c r="BK195" s="1694">
        <f>+SUM(W195:Z195)</f>
        <v>0</v>
      </c>
      <c r="BL195" s="1694">
        <f>+SUM(AA195:AD195)</f>
        <v>14577.527552001999</v>
      </c>
      <c r="BM195" s="1694">
        <f>+SUM(AE195:AH195)</f>
        <v>13900.603407682444</v>
      </c>
      <c r="BN195" s="1694">
        <f>+SUM(AI195:AL195)</f>
        <v>11656.672817817484</v>
      </c>
      <c r="BO195" s="1693">
        <f>+SUM(AM195:AP195)</f>
        <v>11438.044692148229</v>
      </c>
      <c r="BP195" s="1694">
        <f>+SUM(AQ195:AT195)</f>
        <v>8774.8815214127626</v>
      </c>
      <c r="BQ195" s="1694">
        <f>+SUM(AU195:AX195)</f>
        <v>10510.435976013643</v>
      </c>
      <c r="BR195" s="2229">
        <f t="shared" ref="BR195" si="1051">+BQ195*(1+BR196)</f>
        <v>12087.001372415689</v>
      </c>
      <c r="BS195" s="2229">
        <f t="shared" ref="BS195" si="1052">+BR195*(1+BS196)</f>
        <v>13053.961482208944</v>
      </c>
      <c r="BT195" s="2229">
        <f t="shared" ref="BT195" si="1053">+BS195*(1+BT196)</f>
        <v>14098.278400785661</v>
      </c>
      <c r="BU195" s="2229">
        <f t="shared" ref="BU195" si="1054">+BT195*(1+BU196)</f>
        <v>14944.175104832801</v>
      </c>
    </row>
    <row r="196" spans="1:73" s="2226" customFormat="1" ht="15" customHeight="1">
      <c r="A196" s="2222"/>
      <c r="B196" s="2223" t="s">
        <v>108</v>
      </c>
      <c r="C196" s="2159"/>
      <c r="D196" s="2159"/>
      <c r="E196" s="2159"/>
      <c r="F196" s="2159"/>
      <c r="G196" s="2159"/>
      <c r="H196" s="2159"/>
      <c r="I196" s="2159"/>
      <c r="J196" s="2159"/>
      <c r="K196" s="2159"/>
      <c r="L196" s="2159"/>
      <c r="M196" s="2159"/>
      <c r="N196" s="2159"/>
      <c r="O196" s="2159"/>
      <c r="P196" s="2159"/>
      <c r="Q196" s="2159"/>
      <c r="R196" s="2159"/>
      <c r="S196" s="2224"/>
      <c r="T196" s="2159"/>
      <c r="U196" s="2159"/>
      <c r="V196" s="2159"/>
      <c r="W196" s="2224"/>
      <c r="X196" s="2159"/>
      <c r="Y196" s="2159"/>
      <c r="Z196" s="2159"/>
      <c r="AA196" s="2159"/>
      <c r="AB196" s="2159"/>
      <c r="AC196" s="2159"/>
      <c r="AD196" s="2159"/>
      <c r="AE196" s="2159">
        <f t="shared" ref="AE196" si="1055">+AE195/AA195-1</f>
        <v>-7.5719376955886264E-2</v>
      </c>
      <c r="AF196" s="2159">
        <f t="shared" ref="AF196" si="1056">+AF195/AB195-1</f>
        <v>-4.8043024473743312E-2</v>
      </c>
      <c r="AG196" s="2159">
        <f t="shared" ref="AG196" si="1057">+AG195/AC195-1</f>
        <v>-3.9273623658678702E-2</v>
      </c>
      <c r="AH196" s="2159">
        <f t="shared" ref="AH196" si="1058">+AH195/AD195-1</f>
        <v>-2.2294839143066403E-2</v>
      </c>
      <c r="AI196" s="2159">
        <f t="shared" ref="AI196" si="1059">+AI195/AE195-1</f>
        <v>-0.1253666314785814</v>
      </c>
      <c r="AJ196" s="2159">
        <f t="shared" ref="AJ196" si="1060">+AJ195/AF195-1</f>
        <v>-0.18700504372304827</v>
      </c>
      <c r="AK196" s="2159">
        <f t="shared" ref="AK196" si="1061">+AK195/AG195-1</f>
        <v>1.4426478150601829E-2</v>
      </c>
      <c r="AL196" s="2159">
        <f t="shared" ref="AL196" si="1062">+AL195/AH195-1</f>
        <v>-0.34186892768160881</v>
      </c>
      <c r="AM196" s="2224">
        <f t="shared" ref="AM196" si="1063">+AM195/AI195-1</f>
        <v>-0.11181349497955761</v>
      </c>
      <c r="AN196" s="2159">
        <f t="shared" ref="AN196" si="1064">+AN195/AJ195-1</f>
        <v>1.261825139097672E-3</v>
      </c>
      <c r="AO196" s="2159">
        <f>+AO195/AK195-1</f>
        <v>-0.15930348193318755</v>
      </c>
      <c r="AP196" s="2159">
        <f t="shared" ref="AP196:AQ196" si="1065">+AP195/AL195-1</f>
        <v>0.2862267485049379</v>
      </c>
      <c r="AQ196" s="2159">
        <f t="shared" si="1065"/>
        <v>5.8629124045001646E-2</v>
      </c>
      <c r="AR196" s="2159">
        <f t="shared" ref="AR196" si="1066">+AR195/AN195-1</f>
        <v>-0.25556408851794377</v>
      </c>
      <c r="AS196" s="2159">
        <f t="shared" ref="AS196:AT196" si="1067">+AS195/AO195-1</f>
        <v>-0.65222543214342088</v>
      </c>
      <c r="AT196" s="2159">
        <f t="shared" si="1067"/>
        <v>-5.1407707476334052E-2</v>
      </c>
      <c r="AU196" s="2227">
        <v>0</v>
      </c>
      <c r="AV196" s="2227">
        <v>0.25</v>
      </c>
      <c r="AW196" s="2227">
        <v>1</v>
      </c>
      <c r="AX196" s="2227">
        <v>0.06</v>
      </c>
      <c r="AY196" s="2227"/>
      <c r="AZ196" s="2227"/>
      <c r="BA196" s="2255"/>
      <c r="BB196" s="2227">
        <v>-0.5</v>
      </c>
      <c r="BC196" s="2225"/>
      <c r="BD196" s="2255"/>
      <c r="BE196" s="2228"/>
      <c r="BF196" s="2228"/>
      <c r="BG196" s="2228"/>
      <c r="BH196" s="2228"/>
      <c r="BI196" s="533"/>
      <c r="BJ196" s="2052"/>
      <c r="BK196" s="533"/>
      <c r="BL196" s="533"/>
      <c r="BM196" s="533">
        <f>+BM195/BL195-1</f>
        <v>-4.6436142336537034E-2</v>
      </c>
      <c r="BN196" s="533">
        <f t="shared" ref="BN196:BQ196" si="1068">+BN195/BM195-1</f>
        <v>-0.16142684774567462</v>
      </c>
      <c r="BO196" s="2222">
        <f t="shared" si="1068"/>
        <v>-1.8755619985754146E-2</v>
      </c>
      <c r="BP196" s="533">
        <f t="shared" si="1068"/>
        <v>-0.23283377906047387</v>
      </c>
      <c r="BQ196" s="533">
        <f t="shared" si="1068"/>
        <v>0.19778665391273065</v>
      </c>
      <c r="BR196" s="2227">
        <v>0.15</v>
      </c>
      <c r="BS196" s="2227">
        <v>0.08</v>
      </c>
      <c r="BT196" s="2227">
        <v>0.08</v>
      </c>
      <c r="BU196" s="2227">
        <v>0.06</v>
      </c>
    </row>
    <row r="197" spans="1:73" s="325" customFormat="1" ht="15" customHeight="1">
      <c r="A197" s="1030"/>
      <c r="B197" s="1671" t="s">
        <v>314</v>
      </c>
      <c r="C197" s="1692">
        <f>+C190/MACRO!C3*MACRO!C42</f>
        <v>0</v>
      </c>
      <c r="D197" s="1692">
        <f>+D190/MACRO!D3*MACRO!D42</f>
        <v>0</v>
      </c>
      <c r="E197" s="1692">
        <f>+E190/MACRO!E3*MACRO!E42</f>
        <v>0</v>
      </c>
      <c r="F197" s="1692">
        <f>+F190/MACRO!F3*MACRO!F42</f>
        <v>0</v>
      </c>
      <c r="G197" s="1692">
        <f>+G190/MACRO!G3*MACRO!G42</f>
        <v>0</v>
      </c>
      <c r="H197" s="1692">
        <f>+H190/MACRO!H3*MACRO!H42</f>
        <v>0</v>
      </c>
      <c r="I197" s="1692">
        <f>+I190/MACRO!I3*MACRO!I42</f>
        <v>0</v>
      </c>
      <c r="J197" s="1692">
        <f>+J190/MACRO!J3*MACRO!J42</f>
        <v>0</v>
      </c>
      <c r="K197" s="1692">
        <f>+K190/MACRO!K3*MACRO!K42</f>
        <v>0</v>
      </c>
      <c r="L197" s="1692">
        <f>+L190/MACRO!L3*MACRO!L42</f>
        <v>0</v>
      </c>
      <c r="M197" s="1692">
        <f>+M190/MACRO!M3*MACRO!M42</f>
        <v>0</v>
      </c>
      <c r="N197" s="1692">
        <f>+N190/MACRO!N3*MACRO!N42</f>
        <v>0</v>
      </c>
      <c r="O197" s="1692">
        <f>+O190/MACRO!O3*MACRO!O42</f>
        <v>0</v>
      </c>
      <c r="P197" s="1692">
        <f>+P190/MACRO!P3*MACRO!P42</f>
        <v>0</v>
      </c>
      <c r="Q197" s="1692">
        <f>+Q190/MACRO!Q3*MACRO!Q42</f>
        <v>0</v>
      </c>
      <c r="R197" s="1692">
        <f>+R190/MACRO!R3*MACRO!R42</f>
        <v>0</v>
      </c>
      <c r="S197" s="1692">
        <f>+S190/MACRO!S3*MACRO!S42</f>
        <v>0</v>
      </c>
      <c r="T197" s="1692">
        <f>+T190/MACRO!T3*MACRO!T42</f>
        <v>0</v>
      </c>
      <c r="U197" s="1692">
        <f>+U190/MACRO!U3*MACRO!U42</f>
        <v>0</v>
      </c>
      <c r="V197" s="1692">
        <f>+V190/MACRO!V3*MACRO!V42</f>
        <v>0</v>
      </c>
      <c r="W197" s="1692">
        <f>+W190/MACRO!W3*MACRO!W42</f>
        <v>0</v>
      </c>
      <c r="X197" s="1692">
        <f>+X190/MACRO!X3*MACRO!X42</f>
        <v>0</v>
      </c>
      <c r="Y197" s="1692">
        <f>+Y190/MACRO!Y3*MACRO!Y42</f>
        <v>0</v>
      </c>
      <c r="Z197" s="1692">
        <f>+Z190/MACRO!Z3*MACRO!Z42</f>
        <v>0</v>
      </c>
      <c r="AA197" s="1692">
        <f>+AA190/MACRO!AA3*MACRO!AA42</f>
        <v>10041.282065011217</v>
      </c>
      <c r="AB197" s="1692">
        <f>+AB190/MACRO!AB3*MACRO!AB42</f>
        <v>10215.673804407761</v>
      </c>
      <c r="AC197" s="1692">
        <f>+AC190/MACRO!AC3*MACRO!AC42</f>
        <v>15856.229134580515</v>
      </c>
      <c r="AD197" s="1692">
        <f>+AD190/MACRO!AD3*MACRO!AD42</f>
        <v>16629.077352758126</v>
      </c>
      <c r="AE197" s="1692">
        <f>+AE190/MACRO!AE3*MACRO!AE42</f>
        <v>12944.160380607738</v>
      </c>
      <c r="AF197" s="1692">
        <f>+AF190/MACRO!AF3*MACRO!AF42</f>
        <v>18654.213003825716</v>
      </c>
      <c r="AG197" s="1692">
        <f>+AG190/MACRO!AG3*MACRO!AG42</f>
        <v>25098.710683850539</v>
      </c>
      <c r="AH197" s="1692">
        <f>+AH190/MACRO!AH3*MACRO!AH42</f>
        <v>19162.741777095987</v>
      </c>
      <c r="AI197" s="1692">
        <f>+AI190/MACRO!AI3*MACRO!AI42</f>
        <v>20990.459229620461</v>
      </c>
      <c r="AJ197" s="1692">
        <f>+AJ190/MACRO!AJ3*MACRO!AJ42</f>
        <v>29617.115745442341</v>
      </c>
      <c r="AK197" s="1692">
        <f>+AK190/MACRO!AK3*MACRO!AK42</f>
        <v>48295.401396929381</v>
      </c>
      <c r="AL197" s="1692">
        <f>+AL190/MACRO!AL3*MACRO!AL42</f>
        <v>68544.94379120371</v>
      </c>
      <c r="AM197" s="2399">
        <f>+AM190/MACRO!AM3*MACRO!AM42</f>
        <v>88714.191505786148</v>
      </c>
      <c r="AN197" s="1692">
        <f>+AN190/MACRO!AN3*MACRO!AN42</f>
        <v>137760.16710048669</v>
      </c>
      <c r="AO197" s="1692">
        <f>+AO190/MACRO!AO3*MACRO!AO42</f>
        <v>182558.09829908147</v>
      </c>
      <c r="AP197" s="1692">
        <f>+AP190/MACRO!AP3*MACRO!AP42</f>
        <v>237558.9618550099</v>
      </c>
      <c r="AQ197" s="1692">
        <f>+AQ190/MACRO!AQ3*MACRO!AQ42</f>
        <v>151249.05696525358</v>
      </c>
      <c r="AR197" s="1692">
        <f>+AR190/MACRO!AR3*MACRO!AR42</f>
        <v>131048.87462515042</v>
      </c>
      <c r="AS197" s="1692">
        <f>+AS190/MACRO!AS3*MACRO!AS42</f>
        <v>113936.35114096769</v>
      </c>
      <c r="AT197" s="1692">
        <f>+AT190/MACRO!AT3*MACRO!AT42</f>
        <v>185746.93060751719</v>
      </c>
      <c r="AU197" s="2229">
        <f t="shared" ref="AU197" si="1069">+AQ197*(1+AU198)</f>
        <v>120999.24557220287</v>
      </c>
      <c r="AV197" s="2229">
        <f t="shared" ref="AV197" si="1070">+AR197*(1+AV198)</f>
        <v>111391.54343137785</v>
      </c>
      <c r="AW197" s="2229">
        <f t="shared" ref="AW197" si="1071">+AS197*(1+AW198)</f>
        <v>125329.98625506446</v>
      </c>
      <c r="AX197" s="2229">
        <f t="shared" ref="AX197" si="1072">+AT197*(1+AX198)</f>
        <v>204321.62366826893</v>
      </c>
      <c r="AY197" s="2229"/>
      <c r="AZ197" s="2229"/>
      <c r="BA197" s="72"/>
      <c r="BB197" s="2229">
        <v>154413.32520575644</v>
      </c>
      <c r="BC197" s="2189"/>
      <c r="BD197" s="72"/>
      <c r="BE197" s="337"/>
      <c r="BF197" s="337"/>
      <c r="BG197" s="337"/>
      <c r="BH197" s="337"/>
      <c r="BI197" s="474"/>
      <c r="BJ197" s="2031"/>
      <c r="BK197" s="1694">
        <f>+SUM(W197:Z197)</f>
        <v>0</v>
      </c>
      <c r="BL197" s="1694">
        <f>+SUM(AA197:AD197)</f>
        <v>52742.262356757616</v>
      </c>
      <c r="BM197" s="1694">
        <f>+SUM(AE197:AH197)</f>
        <v>75859.825845379979</v>
      </c>
      <c r="BN197" s="1694">
        <f>+SUM(AI197:AL197)</f>
        <v>167447.92016319587</v>
      </c>
      <c r="BO197" s="1693">
        <f>+SUM(AM197:AP197)</f>
        <v>646591.41876036418</v>
      </c>
      <c r="BP197" s="1694">
        <f>+SUM(AQ197:AT197)</f>
        <v>581981.21333888895</v>
      </c>
      <c r="BQ197" s="1694">
        <f>+SUM(AU197:AX197)</f>
        <v>562042.39892691409</v>
      </c>
      <c r="BR197" s="2229">
        <f t="shared" ref="BR197:BU197" si="1073">+BQ197*(1+BR198)</f>
        <v>646348.75876595115</v>
      </c>
      <c r="BS197" s="2229">
        <f t="shared" si="1073"/>
        <v>743301.07258084381</v>
      </c>
      <c r="BT197" s="2229">
        <f t="shared" si="1073"/>
        <v>854796.23346797028</v>
      </c>
      <c r="BU197" s="2229">
        <f t="shared" si="1073"/>
        <v>983015.66848816571</v>
      </c>
    </row>
    <row r="198" spans="1:73" s="2226" customFormat="1" ht="15" customHeight="1">
      <c r="A198" s="2222"/>
      <c r="B198" s="2223" t="s">
        <v>108</v>
      </c>
      <c r="C198" s="2159"/>
      <c r="D198" s="2159"/>
      <c r="E198" s="2159"/>
      <c r="F198" s="2159"/>
      <c r="G198" s="2159"/>
      <c r="H198" s="2159"/>
      <c r="I198" s="2159"/>
      <c r="J198" s="2159"/>
      <c r="K198" s="2159"/>
      <c r="L198" s="2159"/>
      <c r="M198" s="2159"/>
      <c r="N198" s="2159"/>
      <c r="O198" s="2159"/>
      <c r="P198" s="2159"/>
      <c r="Q198" s="2159"/>
      <c r="R198" s="2159"/>
      <c r="S198" s="2224"/>
      <c r="T198" s="2159"/>
      <c r="U198" s="2159"/>
      <c r="V198" s="2159"/>
      <c r="W198" s="2224"/>
      <c r="X198" s="2159"/>
      <c r="Y198" s="2159"/>
      <c r="Z198" s="2159"/>
      <c r="AA198" s="2159"/>
      <c r="AB198" s="2159"/>
      <c r="AC198" s="2159"/>
      <c r="AD198" s="2159"/>
      <c r="AE198" s="2159">
        <f t="shared" ref="AE198" si="1074">+AE197/AA197-1</f>
        <v>0.28909439021851413</v>
      </c>
      <c r="AF198" s="2159">
        <f t="shared" ref="AF198" si="1075">+AF197/AB197-1</f>
        <v>0.82603843476061023</v>
      </c>
      <c r="AG198" s="2159">
        <f t="shared" ref="AG198" si="1076">+AG197/AC197-1</f>
        <v>0.58289278433251757</v>
      </c>
      <c r="AH198" s="2159">
        <f t="shared" ref="AH198" si="1077">+AH197/AD197-1</f>
        <v>0.15236349982566066</v>
      </c>
      <c r="AI198" s="2159">
        <f t="shared" ref="AI198" si="1078">+AI197/AE197-1</f>
        <v>0.6216161274598595</v>
      </c>
      <c r="AJ198" s="2159">
        <f t="shared" ref="AJ198" si="1079">+AJ197/AF197-1</f>
        <v>0.58769044501466161</v>
      </c>
      <c r="AK198" s="2159">
        <f t="shared" ref="AK198" si="1080">+AK197/AG197-1</f>
        <v>0.92421841923555337</v>
      </c>
      <c r="AL198" s="2159">
        <f t="shared" ref="AL198" si="1081">+AL197/AH197-1</f>
        <v>2.5769904217532766</v>
      </c>
      <c r="AM198" s="2224">
        <f t="shared" ref="AM198" si="1082">+AM197/AI197-1</f>
        <v>3.2264054604673955</v>
      </c>
      <c r="AN198" s="2159">
        <f t="shared" ref="AN198" si="1083">+AN197/AJ197-1</f>
        <v>3.6513701160007805</v>
      </c>
      <c r="AO198" s="2159">
        <f>+AO197/AK197-1</f>
        <v>2.7800306658324718</v>
      </c>
      <c r="AP198" s="2159">
        <f t="shared" ref="AP198:AQ198" si="1084">+AP197/AL197-1</f>
        <v>2.4657401219649926</v>
      </c>
      <c r="AQ198" s="2159">
        <f t="shared" si="1084"/>
        <v>0.70490261364089379</v>
      </c>
      <c r="AR198" s="2159">
        <f t="shared" ref="AR198" si="1085">+AR197/AN197-1</f>
        <v>-4.8717220780088333E-2</v>
      </c>
      <c r="AS198" s="2159">
        <f t="shared" ref="AS198:AT198" si="1086">+AS197/AO197-1</f>
        <v>-0.375889910102438</v>
      </c>
      <c r="AT198" s="2159">
        <f t="shared" si="1086"/>
        <v>-0.21810177499898031</v>
      </c>
      <c r="AU198" s="2227">
        <v>-0.2</v>
      </c>
      <c r="AV198" s="2227">
        <v>-0.15</v>
      </c>
      <c r="AW198" s="2227">
        <v>0.1</v>
      </c>
      <c r="AX198" s="2227">
        <v>0.1</v>
      </c>
      <c r="AY198" s="2227"/>
      <c r="AZ198" s="2227"/>
      <c r="BA198" s="2255"/>
      <c r="BB198" s="2227">
        <v>-0.35</v>
      </c>
      <c r="BC198" s="2225"/>
      <c r="BD198" s="2255"/>
      <c r="BE198" s="2228"/>
      <c r="BF198" s="2228"/>
      <c r="BG198" s="2228"/>
      <c r="BH198" s="2228"/>
      <c r="BI198" s="533"/>
      <c r="BJ198" s="2052"/>
      <c r="BK198" s="533"/>
      <c r="BL198" s="533"/>
      <c r="BM198" s="533">
        <f>+BM197/BL197-1</f>
        <v>0.43831194293963427</v>
      </c>
      <c r="BN198" s="533">
        <f t="shared" ref="BN198" si="1087">+BN197/BM197-1</f>
        <v>1.2073333058329689</v>
      </c>
      <c r="BO198" s="2222">
        <f t="shared" ref="BO198" si="1088">+BO197/BN197-1</f>
        <v>2.8614478945465063</v>
      </c>
      <c r="BP198" s="533">
        <f t="shared" ref="BP198:BQ198" si="1089">+BP197/BO197-1</f>
        <v>-9.9924316263499069E-2</v>
      </c>
      <c r="BQ198" s="533">
        <f t="shared" si="1089"/>
        <v>-3.4260237194915111E-2</v>
      </c>
      <c r="BR198" s="2227">
        <v>0.15</v>
      </c>
      <c r="BS198" s="2227">
        <v>0.15</v>
      </c>
      <c r="BT198" s="2227">
        <v>0.15</v>
      </c>
      <c r="BU198" s="2227">
        <v>0.15</v>
      </c>
    </row>
    <row r="199" spans="1:73" s="325" customFormat="1" ht="15" customHeight="1">
      <c r="A199" s="1030"/>
      <c r="B199" s="1671" t="s">
        <v>269</v>
      </c>
      <c r="C199" s="1692">
        <f>+C192/MACRO!C3*(0.4*MACRO!C40+0.4*MACRO!C41+0.2*MACRO!C39)</f>
        <v>0</v>
      </c>
      <c r="D199" s="1692">
        <f>+D192/MACRO!D3*(0.4*MACRO!D40+0.4*MACRO!D41+0.2*MACRO!D39)</f>
        <v>0</v>
      </c>
      <c r="E199" s="1692">
        <f>+E192/MACRO!E3*(0.4*MACRO!E40+0.4*MACRO!E41+0.2*MACRO!E39)</f>
        <v>0</v>
      </c>
      <c r="F199" s="1692">
        <f>+F192/MACRO!F3*(0.4*MACRO!F40+0.4*MACRO!F41+0.2*MACRO!F39)</f>
        <v>0</v>
      </c>
      <c r="G199" s="1692">
        <f>+G192/MACRO!G3*(0.4*MACRO!G40+0.4*MACRO!G41+0.2*MACRO!G39)</f>
        <v>0</v>
      </c>
      <c r="H199" s="1692">
        <f>+H192/MACRO!H3*(0.4*MACRO!H40+0.4*MACRO!H41+0.2*MACRO!H39)</f>
        <v>0</v>
      </c>
      <c r="I199" s="1692">
        <f>+I192/MACRO!I3*(0.4*MACRO!I40+0.4*MACRO!I41+0.2*MACRO!I39)</f>
        <v>0</v>
      </c>
      <c r="J199" s="1692">
        <f>+J192/MACRO!J3*(0.4*MACRO!J40+0.4*MACRO!J41+0.2*MACRO!J39)</f>
        <v>0</v>
      </c>
      <c r="K199" s="1692">
        <f>+K192/MACRO!K3*(0.4*MACRO!K40+0.4*MACRO!K41+0.2*MACRO!K39)</f>
        <v>0</v>
      </c>
      <c r="L199" s="1692">
        <f>+L192/MACRO!L3*(0.4*MACRO!L40+0.4*MACRO!L41+0.2*MACRO!L39)</f>
        <v>0</v>
      </c>
      <c r="M199" s="1692">
        <f>+M192/MACRO!M3*(0.4*MACRO!M40+0.4*MACRO!M41+0.2*MACRO!M39)</f>
        <v>0</v>
      </c>
      <c r="N199" s="1692">
        <f>+N192/MACRO!N3*(0.4*MACRO!N40+0.4*MACRO!N41+0.2*MACRO!N39)</f>
        <v>0</v>
      </c>
      <c r="O199" s="1692">
        <f>+O192/MACRO!O3*(0.4*MACRO!O40+0.4*MACRO!O41+0.2*MACRO!O39)</f>
        <v>0</v>
      </c>
      <c r="P199" s="1692">
        <f>+P192/MACRO!P3*(0.4*MACRO!P40+0.4*MACRO!P41+0.2*MACRO!P39)</f>
        <v>0</v>
      </c>
      <c r="Q199" s="1692">
        <f>+Q192/MACRO!Q3*(0.4*MACRO!Q40+0.4*MACRO!Q41+0.2*MACRO!Q39)</f>
        <v>0</v>
      </c>
      <c r="R199" s="1692">
        <f>+R192/MACRO!R3*(0.4*MACRO!R40+0.4*MACRO!R41+0.2*MACRO!R39)</f>
        <v>0</v>
      </c>
      <c r="S199" s="1692">
        <f>+S192/MACRO!S3*(0.4*MACRO!S40+0.4*MACRO!S41+0.2*MACRO!S39)</f>
        <v>0</v>
      </c>
      <c r="T199" s="1692">
        <f>+T192/MACRO!T3*(0.4*MACRO!T40+0.4*MACRO!T41+0.2*MACRO!T39)</f>
        <v>0</v>
      </c>
      <c r="U199" s="1692">
        <f>+U192/MACRO!U3*(0.4*MACRO!U40+0.4*MACRO!U41+0.2*MACRO!U39)</f>
        <v>0</v>
      </c>
      <c r="V199" s="1692">
        <f>+V192/MACRO!V3*(0.4*MACRO!V40+0.4*MACRO!V41+0.2*MACRO!V39)</f>
        <v>0</v>
      </c>
      <c r="W199" s="1692">
        <f>+W192/MACRO!W3*(0.4*MACRO!W40+0.4*MACRO!W41+0.2*MACRO!W39)</f>
        <v>0</v>
      </c>
      <c r="X199" s="1692">
        <f>+X192/MACRO!X3*(0.4*MACRO!X40+0.4*MACRO!X41+0.2*MACRO!X39)</f>
        <v>0</v>
      </c>
      <c r="Y199" s="1692">
        <f>+Y192/MACRO!Y3*(0.4*MACRO!Y40+0.4*MACRO!Y41+0.2*MACRO!Y39)</f>
        <v>0</v>
      </c>
      <c r="Z199" s="1692">
        <f>+Z192/MACRO!Z3*(0.4*MACRO!Z40+0.4*MACRO!Z41+0.2*MACRO!Z39)</f>
        <v>0</v>
      </c>
      <c r="AA199" s="1692">
        <f>+AA192/MACRO!AA3*(0.4*MACRO!AA40+0.4*MACRO!AA41+0.2*MACRO!AA39)</f>
        <v>371003.93293134554</v>
      </c>
      <c r="AB199" s="1692">
        <f>+AB192/MACRO!AB3*(0.4*MACRO!AB40+0.4*MACRO!AB41+0.2*MACRO!AB39)</f>
        <v>393541.98981400428</v>
      </c>
      <c r="AC199" s="1692">
        <f>+AC192/MACRO!AC3*(0.4*MACRO!AC40+0.4*MACRO!AC41+0.2*MACRO!AC39)</f>
        <v>468599.18059892714</v>
      </c>
      <c r="AD199" s="1692">
        <f>+AD192/MACRO!AD3*(0.4*MACRO!AD40+0.4*MACRO!AD41+0.2*MACRO!AD39)</f>
        <v>407753.03178430273</v>
      </c>
      <c r="AE199" s="1692">
        <f>+AE192/MACRO!AE3*(0.4*MACRO!AE40+0.4*MACRO!AE41+0.2*MACRO!AE39)</f>
        <v>339022.15149664145</v>
      </c>
      <c r="AF199" s="1692">
        <f>+AF192/MACRO!AF3*(0.4*MACRO!AF40+0.4*MACRO!AF41+0.2*MACRO!AF39)</f>
        <v>370668.53631066292</v>
      </c>
      <c r="AG199" s="1692">
        <f>+AG192/MACRO!AG3*(0.4*MACRO!AG40+0.4*MACRO!AG41+0.2*MACRO!AG39)</f>
        <v>470361.50785557507</v>
      </c>
      <c r="AH199" s="1692">
        <f>+AH192/MACRO!AH3*(0.4*MACRO!AH40+0.4*MACRO!AH41+0.2*MACRO!AH39)</f>
        <v>417817.10239978373</v>
      </c>
      <c r="AI199" s="1692">
        <f>+AI192/MACRO!AI3*(0.4*MACRO!AI40+0.4*MACRO!AI41+0.2*MACRO!AI39)</f>
        <v>350008.45521892799</v>
      </c>
      <c r="AJ199" s="1692">
        <f>+AJ192/MACRO!AJ3*(0.4*MACRO!AJ40+0.4*MACRO!AJ41+0.2*MACRO!AJ39)</f>
        <v>341572.43253408838</v>
      </c>
      <c r="AK199" s="1692">
        <f>+AK192/MACRO!AK3*(0.4*MACRO!AK40+0.4*MACRO!AK41+0.2*MACRO!AK39)</f>
        <v>281977.44905428559</v>
      </c>
      <c r="AL199" s="1692">
        <f>+AL192/MACRO!AL3*(0.4*MACRO!AL40+0.4*MACRO!AL41+0.2*MACRO!AL39)</f>
        <v>369189.60035717604</v>
      </c>
      <c r="AM199" s="2399">
        <f>+AM192/MACRO!AM3*(0.4*MACRO!AM40+0.4*MACRO!AM41+0.2*MACRO!AM39)</f>
        <v>205650.72880946149</v>
      </c>
      <c r="AN199" s="1692">
        <f>+AN192/MACRO!AN3*(0.4*MACRO!AN40+0.4*MACRO!AN41+0.2*MACRO!AN39)</f>
        <v>228736.96018354563</v>
      </c>
      <c r="AO199" s="1692">
        <f>+AO192/MACRO!AO3*(0.4*MACRO!AO40+0.4*MACRO!AO41+0.2*MACRO!AO39)</f>
        <v>233722.92071294074</v>
      </c>
      <c r="AP199" s="1692">
        <f>+AP192/MACRO!AP3*(0.4*MACRO!AP40+0.4*MACRO!AP41+0.2*MACRO!AP39)</f>
        <v>288742.686522656</v>
      </c>
      <c r="AQ199" s="1692">
        <f>+AQ192/MACRO!AQ3*(0.4*MACRO!AQ40+0.4*MACRO!AQ41+0.2*MACRO!AQ39)</f>
        <v>217408.59202816736</v>
      </c>
      <c r="AR199" s="1692">
        <f>+AR192/MACRO!AR3*(0.4*MACRO!AR40+0.4*MACRO!AR41+0.2*MACRO!AR39)</f>
        <v>265994.66296333564</v>
      </c>
      <c r="AS199" s="1692">
        <f>+AS192/MACRO!AS3*(0.4*MACRO!AS40+0.4*MACRO!AS41+0.2*MACRO!AS39)</f>
        <v>401976.67738699284</v>
      </c>
      <c r="AT199" s="1692">
        <f>+AT192/MACRO!AT3*(0.4*MACRO!AT40+0.4*MACRO!AT41+0.2*MACRO!AT39)</f>
        <v>283966.12337728561</v>
      </c>
      <c r="AU199" s="2229">
        <f t="shared" ref="AU199" si="1090">+AQ199*(1+AU200)</f>
        <v>217408.59202816736</v>
      </c>
      <c r="AV199" s="2229">
        <f t="shared" ref="AV199" si="1091">+AR199*(1+AV200)</f>
        <v>265994.66296333564</v>
      </c>
      <c r="AW199" s="2229">
        <f t="shared" ref="AW199" si="1092">+AS199*(1+AW200)</f>
        <v>241186.00643219569</v>
      </c>
      <c r="AX199" s="2229">
        <f t="shared" ref="AX199" si="1093">+AT199*(1+AX200)</f>
        <v>283966.12337728561</v>
      </c>
      <c r="AY199" s="2229"/>
      <c r="AZ199" s="2229"/>
      <c r="BA199" s="72"/>
      <c r="BB199" s="2229">
        <v>461988.29843624961</v>
      </c>
      <c r="BC199" s="2189"/>
      <c r="BD199" s="72"/>
      <c r="BE199" s="337"/>
      <c r="BF199" s="337"/>
      <c r="BG199" s="337"/>
      <c r="BH199" s="337"/>
      <c r="BI199" s="474"/>
      <c r="BJ199" s="2031"/>
      <c r="BK199" s="1694">
        <f>+SUM(W199:Z199)</f>
        <v>0</v>
      </c>
      <c r="BL199" s="1694">
        <f>+SUM(AA199:AD199)</f>
        <v>1640898.1351285798</v>
      </c>
      <c r="BM199" s="1694">
        <f>+SUM(AE199:AH199)</f>
        <v>1597869.2980626631</v>
      </c>
      <c r="BN199" s="1694">
        <f>+SUM(AI199:AL199)</f>
        <v>1342747.937164478</v>
      </c>
      <c r="BO199" s="1693">
        <f>+SUM(AM199:AP199)</f>
        <v>956853.29622860381</v>
      </c>
      <c r="BP199" s="1694">
        <f>+SUM(AQ199:AT199)</f>
        <v>1169346.0557557815</v>
      </c>
      <c r="BQ199" s="1694">
        <f>+SUM(AU199:AX199)</f>
        <v>1008555.3848009843</v>
      </c>
      <c r="BR199" s="2229">
        <f t="shared" ref="BR199" si="1094">+BQ199*(1+BR200)</f>
        <v>1048897.6001930237</v>
      </c>
      <c r="BS199" s="2229">
        <f t="shared" ref="BS199" si="1095">+BR199*(1+BS200)</f>
        <v>1090853.5042007447</v>
      </c>
      <c r="BT199" s="2229">
        <f t="shared" ref="BT199" si="1096">+BS199*(1+BT200)</f>
        <v>1134487.6443687745</v>
      </c>
      <c r="BU199" s="2229">
        <f t="shared" ref="BU199" si="1097">+BT199*(1+BU200)</f>
        <v>1179867.1501435256</v>
      </c>
    </row>
    <row r="200" spans="1:73" s="2226" customFormat="1" ht="15" customHeight="1">
      <c r="A200" s="2222"/>
      <c r="B200" s="2223" t="s">
        <v>108</v>
      </c>
      <c r="C200" s="2159"/>
      <c r="D200" s="2159"/>
      <c r="E200" s="2159"/>
      <c r="F200" s="2159"/>
      <c r="G200" s="2159"/>
      <c r="H200" s="2159"/>
      <c r="I200" s="2159"/>
      <c r="J200" s="2159"/>
      <c r="K200" s="2159"/>
      <c r="L200" s="2159"/>
      <c r="M200" s="2159"/>
      <c r="N200" s="2159"/>
      <c r="O200" s="2159"/>
      <c r="P200" s="2159"/>
      <c r="Q200" s="2159"/>
      <c r="R200" s="2159"/>
      <c r="S200" s="2224"/>
      <c r="T200" s="2159"/>
      <c r="U200" s="2159"/>
      <c r="V200" s="2159"/>
      <c r="W200" s="2224"/>
      <c r="X200" s="2159"/>
      <c r="Y200" s="2159"/>
      <c r="Z200" s="2159"/>
      <c r="AA200" s="2159"/>
      <c r="AB200" s="2159"/>
      <c r="AC200" s="2159"/>
      <c r="AD200" s="2159"/>
      <c r="AE200" s="2159">
        <f t="shared" ref="AE200:AN200" si="1098">+AE199/AA199-1</f>
        <v>-8.6203348794748003E-2</v>
      </c>
      <c r="AF200" s="2159">
        <f t="shared" si="1098"/>
        <v>-5.812201517340454E-2</v>
      </c>
      <c r="AG200" s="2159">
        <f t="shared" si="1098"/>
        <v>3.7608415242968984E-3</v>
      </c>
      <c r="AH200" s="2159">
        <f t="shared" si="1098"/>
        <v>2.4681779977064222E-2</v>
      </c>
      <c r="AI200" s="2159">
        <f t="shared" si="1098"/>
        <v>3.2405858064986637E-2</v>
      </c>
      <c r="AJ200" s="2159">
        <f t="shared" si="1098"/>
        <v>-7.8496286914918167E-2</v>
      </c>
      <c r="AK200" s="2159">
        <f t="shared" si="1098"/>
        <v>-0.40050908855223111</v>
      </c>
      <c r="AL200" s="2159">
        <f t="shared" si="1098"/>
        <v>-0.11638466152608329</v>
      </c>
      <c r="AM200" s="2224">
        <f t="shared" si="1098"/>
        <v>-0.41244068323769978</v>
      </c>
      <c r="AN200" s="2159">
        <f t="shared" si="1098"/>
        <v>-0.33034127348459819</v>
      </c>
      <c r="AO200" s="2159">
        <f>+AO199/AK199-1</f>
        <v>-0.17112903355635012</v>
      </c>
      <c r="AP200" s="2159">
        <f t="shared" ref="AP200:AQ200" si="1099">+AP199/AL199-1</f>
        <v>-0.21790135409201905</v>
      </c>
      <c r="AQ200" s="2159">
        <f t="shared" si="1099"/>
        <v>5.7173943835617136E-2</v>
      </c>
      <c r="AR200" s="2159">
        <f t="shared" ref="AR200" si="1100">+AR199/AN199-1</f>
        <v>0.1628844885841505</v>
      </c>
      <c r="AS200" s="2159">
        <f t="shared" ref="AS200:AT200" si="1101">+AS199/AO199-1</f>
        <v>0.71988556432897699</v>
      </c>
      <c r="AT200" s="2159">
        <f t="shared" si="1101"/>
        <v>-1.6542629019958288E-2</v>
      </c>
      <c r="AU200" s="2227">
        <v>0</v>
      </c>
      <c r="AV200" s="2227">
        <v>0</v>
      </c>
      <c r="AW200" s="2227">
        <v>-0.4</v>
      </c>
      <c r="AX200" s="2227">
        <v>0</v>
      </c>
      <c r="AY200" s="2227"/>
      <c r="AZ200" s="2227"/>
      <c r="BA200" s="2255"/>
      <c r="BB200" s="2227">
        <v>0.6</v>
      </c>
      <c r="BC200" s="2225"/>
      <c r="BD200" s="2255"/>
      <c r="BE200" s="2228"/>
      <c r="BF200" s="2228"/>
      <c r="BG200" s="2228"/>
      <c r="BH200" s="2228"/>
      <c r="BI200" s="533"/>
      <c r="BJ200" s="2052"/>
      <c r="BK200" s="533"/>
      <c r="BL200" s="533"/>
      <c r="BM200" s="533">
        <f>+BM199/BL199-1</f>
        <v>-2.6222735064870495E-2</v>
      </c>
      <c r="BN200" s="533">
        <f t="shared" ref="BN200" si="1102">+BN199/BM199-1</f>
        <v>-0.15966347260536706</v>
      </c>
      <c r="BO200" s="2222">
        <f t="shared" ref="BO200" si="1103">+BO199/BN199-1</f>
        <v>-0.28739172130160162</v>
      </c>
      <c r="BP200" s="533">
        <f t="shared" ref="BP200:BQ200" si="1104">+BP199/BO199-1</f>
        <v>0.2220745440964762</v>
      </c>
      <c r="BQ200" s="533">
        <f t="shared" si="1104"/>
        <v>-0.13750477898595526</v>
      </c>
      <c r="BR200" s="2227">
        <v>0.04</v>
      </c>
      <c r="BS200" s="2227">
        <v>0.04</v>
      </c>
      <c r="BT200" s="2227">
        <v>0.04</v>
      </c>
      <c r="BU200" s="2227">
        <v>0.04</v>
      </c>
    </row>
    <row r="201" spans="1:73" s="325" customFormat="1" ht="15" customHeight="1">
      <c r="A201" s="1030"/>
      <c r="B201" s="1671"/>
      <c r="C201" s="471"/>
      <c r="D201" s="471"/>
      <c r="E201" s="471"/>
      <c r="F201" s="471"/>
      <c r="G201" s="471"/>
      <c r="H201" s="471"/>
      <c r="I201" s="471"/>
      <c r="J201" s="471"/>
      <c r="K201" s="471"/>
      <c r="L201" s="471"/>
      <c r="M201" s="471"/>
      <c r="N201" s="471"/>
      <c r="O201" s="471"/>
      <c r="P201" s="471"/>
      <c r="Q201" s="471"/>
      <c r="R201" s="471"/>
      <c r="S201" s="1034"/>
      <c r="T201" s="471"/>
      <c r="U201" s="471"/>
      <c r="V201" s="471"/>
      <c r="W201" s="1827"/>
      <c r="X201" s="1675"/>
      <c r="Y201" s="1675"/>
      <c r="Z201" s="1675"/>
      <c r="AA201" s="1675"/>
      <c r="AB201" s="1675"/>
      <c r="AC201" s="1739"/>
      <c r="AD201" s="1739"/>
      <c r="AE201" s="1739"/>
      <c r="AF201" s="1739"/>
      <c r="AG201" s="1739"/>
      <c r="AH201" s="1675"/>
      <c r="AI201" s="1675"/>
      <c r="AJ201" s="1675"/>
      <c r="AK201" s="1675"/>
      <c r="AL201" s="1675"/>
      <c r="AM201" s="1827"/>
      <c r="AN201" s="1675"/>
      <c r="AO201" s="1675"/>
      <c r="AP201" s="1675"/>
      <c r="AQ201" s="1675"/>
      <c r="AR201" s="1675"/>
      <c r="AS201" s="1675"/>
      <c r="AT201" s="1675"/>
      <c r="AU201" s="1682"/>
      <c r="AV201" s="1682"/>
      <c r="AW201" s="1682"/>
      <c r="AX201" s="1682"/>
      <c r="AY201" s="1682"/>
      <c r="AZ201" s="1682"/>
      <c r="BA201" s="72"/>
      <c r="BB201" s="1682"/>
      <c r="BC201" s="2189"/>
      <c r="BD201" s="72"/>
      <c r="BE201" s="337"/>
      <c r="BF201" s="337"/>
      <c r="BG201" s="337"/>
      <c r="BH201" s="337"/>
      <c r="BI201" s="474"/>
      <c r="BJ201" s="2031"/>
      <c r="BK201" s="474"/>
      <c r="BL201" s="474"/>
      <c r="BM201" s="474"/>
      <c r="BN201" s="474"/>
      <c r="BO201" s="2459"/>
      <c r="BP201" s="474"/>
      <c r="BQ201" s="474"/>
      <c r="BR201" s="1508"/>
      <c r="BS201" s="1508"/>
      <c r="BT201" s="1508"/>
      <c r="BU201" s="1508"/>
    </row>
    <row r="202" spans="1:73" s="1745" customFormat="1" ht="15" customHeight="1" thickBot="1">
      <c r="A202" s="1749"/>
      <c r="B202" s="1750"/>
      <c r="C202" s="1746"/>
      <c r="D202" s="1746"/>
      <c r="E202" s="1746"/>
      <c r="F202" s="1746"/>
      <c r="G202" s="1746"/>
      <c r="H202" s="1746"/>
      <c r="I202" s="1746"/>
      <c r="J202" s="1746"/>
      <c r="K202" s="1746"/>
      <c r="L202" s="1746"/>
      <c r="M202" s="1746"/>
      <c r="N202" s="1746"/>
      <c r="O202" s="1746"/>
      <c r="P202" s="1746"/>
      <c r="Q202" s="1746"/>
      <c r="R202" s="1746"/>
      <c r="S202" s="1747"/>
      <c r="T202" s="1746"/>
      <c r="U202" s="1746"/>
      <c r="V202" s="1746"/>
      <c r="W202" s="1828"/>
      <c r="X202" s="1751"/>
      <c r="Y202" s="1751"/>
      <c r="Z202" s="1751"/>
      <c r="AA202" s="1751"/>
      <c r="AB202" s="1751"/>
      <c r="AC202" s="1751"/>
      <c r="AD202" s="1751"/>
      <c r="AE202" s="1751"/>
      <c r="AF202" s="1751"/>
      <c r="AG202" s="1751"/>
      <c r="AH202" s="1751"/>
      <c r="AI202" s="1751"/>
      <c r="AJ202" s="1751"/>
      <c r="AK202" s="1751"/>
      <c r="AL202" s="1751"/>
      <c r="AM202" s="1828"/>
      <c r="AN202" s="1751"/>
      <c r="AO202" s="1751"/>
      <c r="AP202" s="1751"/>
      <c r="AQ202" s="1751"/>
      <c r="AR202" s="1751"/>
      <c r="AS202" s="1751"/>
      <c r="AT202" s="1751"/>
      <c r="AU202" s="1751"/>
      <c r="AV202" s="1751"/>
      <c r="AW202" s="1751"/>
      <c r="AX202" s="1751"/>
      <c r="AY202" s="1670"/>
      <c r="AZ202" s="1670"/>
      <c r="BA202" s="72"/>
      <c r="BB202" s="1751"/>
      <c r="BC202" s="2193"/>
      <c r="BD202" s="72"/>
      <c r="BE202" s="1748"/>
      <c r="BF202" s="1748"/>
      <c r="BG202" s="1748"/>
      <c r="BH202" s="337"/>
      <c r="BI202" s="474"/>
      <c r="BJ202" s="2031"/>
      <c r="BK202" s="1752"/>
      <c r="BL202" s="1752"/>
      <c r="BM202" s="1752"/>
      <c r="BN202" s="1752"/>
      <c r="BO202" s="2463"/>
      <c r="BP202" s="1752"/>
      <c r="BQ202" s="1752"/>
      <c r="BR202" s="1753"/>
      <c r="BS202" s="1753"/>
      <c r="BT202" s="1753"/>
      <c r="BU202" s="1753"/>
    </row>
    <row r="203" spans="1:73" s="325" customFormat="1" ht="15" customHeight="1">
      <c r="C203" s="471"/>
      <c r="D203" s="471"/>
      <c r="E203" s="471"/>
      <c r="F203" s="471"/>
      <c r="G203" s="471"/>
      <c r="H203" s="471"/>
      <c r="I203" s="471"/>
      <c r="J203" s="471"/>
      <c r="K203" s="471"/>
      <c r="L203" s="471"/>
      <c r="M203" s="471"/>
      <c r="N203" s="471"/>
      <c r="O203" s="471"/>
      <c r="P203" s="471"/>
      <c r="Q203" s="471"/>
      <c r="R203" s="471"/>
      <c r="S203" s="1034"/>
      <c r="T203" s="471"/>
      <c r="U203" s="471"/>
      <c r="V203" s="471"/>
      <c r="W203" s="1818"/>
      <c r="X203" s="338"/>
      <c r="Y203" s="338"/>
      <c r="Z203" s="471"/>
      <c r="AA203" s="471"/>
      <c r="AB203" s="471"/>
      <c r="AC203" s="471"/>
      <c r="AD203" s="471"/>
      <c r="AE203" s="471"/>
      <c r="AF203" s="471"/>
      <c r="AG203" s="471"/>
      <c r="AH203" s="471"/>
      <c r="AI203" s="471"/>
      <c r="AJ203" s="471"/>
      <c r="AK203" s="471"/>
      <c r="AL203" s="471"/>
      <c r="AM203" s="1034"/>
      <c r="AN203" s="471"/>
      <c r="AO203" s="471"/>
      <c r="AP203" s="338"/>
      <c r="AQ203" s="471"/>
      <c r="AR203" s="338"/>
      <c r="AS203" s="338"/>
      <c r="AT203" s="338"/>
      <c r="AU203" s="338"/>
      <c r="AV203" s="338"/>
      <c r="AW203" s="338"/>
      <c r="AX203" s="338"/>
      <c r="AY203" s="338"/>
      <c r="AZ203" s="338"/>
      <c r="BA203" s="72"/>
      <c r="BB203" s="338"/>
      <c r="BC203" s="2189"/>
      <c r="BD203" s="72"/>
      <c r="BE203" s="337"/>
      <c r="BF203" s="337"/>
      <c r="BG203" s="337"/>
      <c r="BH203" s="337"/>
      <c r="BI203" s="2137"/>
      <c r="BJ203" s="2032"/>
      <c r="BK203" s="1314"/>
      <c r="BL203" s="1314"/>
      <c r="BM203" s="1314"/>
      <c r="BN203" s="1314"/>
      <c r="BO203" s="2464"/>
      <c r="BP203" s="1314"/>
      <c r="BQ203" s="1314"/>
      <c r="BR203" s="338"/>
      <c r="BS203" s="338"/>
      <c r="BT203" s="338"/>
      <c r="BU203" s="338"/>
    </row>
    <row r="204" spans="1:73" s="328" customFormat="1" ht="15" customHeight="1">
      <c r="B204" s="328" t="s">
        <v>275</v>
      </c>
      <c r="C204" s="901"/>
      <c r="D204" s="901"/>
      <c r="E204" s="901"/>
      <c r="F204" s="901"/>
      <c r="G204" s="901"/>
      <c r="H204" s="901"/>
      <c r="I204" s="901"/>
      <c r="J204" s="901"/>
      <c r="K204" s="901"/>
      <c r="L204" s="901"/>
      <c r="M204" s="901"/>
      <c r="N204" s="901"/>
      <c r="O204" s="901"/>
      <c r="P204" s="901"/>
      <c r="Q204" s="901"/>
      <c r="R204" s="901"/>
      <c r="S204" s="1035">
        <f t="shared" ref="S204:AT204" si="1105">+S207-S144</f>
        <v>-1587.6999999999994</v>
      </c>
      <c r="T204" s="901">
        <f t="shared" si="1105"/>
        <v>-1812.1</v>
      </c>
      <c r="U204" s="901">
        <f t="shared" si="1105"/>
        <v>-1780.7000000000003</v>
      </c>
      <c r="V204" s="901">
        <f t="shared" si="1105"/>
        <v>-2013.6000000000004</v>
      </c>
      <c r="W204" s="1035">
        <f t="shared" si="1105"/>
        <v>-1718.1000000000004</v>
      </c>
      <c r="X204" s="901">
        <f t="shared" si="1105"/>
        <v>-1508.5</v>
      </c>
      <c r="Y204" s="901">
        <f t="shared" si="1105"/>
        <v>-2384.0000000000005</v>
      </c>
      <c r="Z204" s="901">
        <f t="shared" si="1105"/>
        <v>-2452.1000000000004</v>
      </c>
      <c r="AA204" s="901">
        <f t="shared" si="1105"/>
        <v>-2046.9999999999995</v>
      </c>
      <c r="AB204" s="901">
        <f t="shared" si="1105"/>
        <v>-2177.5</v>
      </c>
      <c r="AC204" s="901">
        <f t="shared" si="1105"/>
        <v>-2158.9</v>
      </c>
      <c r="AD204" s="901">
        <f t="shared" si="1105"/>
        <v>-2449.7000000000003</v>
      </c>
      <c r="AE204" s="901">
        <f t="shared" si="1105"/>
        <v>-1915</v>
      </c>
      <c r="AF204" s="901">
        <f t="shared" si="1105"/>
        <v>-2274</v>
      </c>
      <c r="AG204" s="901">
        <f t="shared" si="1105"/>
        <v>-2280.8000000000002</v>
      </c>
      <c r="AH204" s="901">
        <f t="shared" si="1105"/>
        <v>-2410.5</v>
      </c>
      <c r="AI204" s="901">
        <f t="shared" si="1105"/>
        <v>-1741.8000000000002</v>
      </c>
      <c r="AJ204" s="901">
        <f t="shared" si="1105"/>
        <v>-1956.8920872794665</v>
      </c>
      <c r="AK204" s="901">
        <f t="shared" si="1105"/>
        <v>-1899.1629999999996</v>
      </c>
      <c r="AL204" s="901">
        <f t="shared" si="1105"/>
        <v>-2797.3999999999996</v>
      </c>
      <c r="AM204" s="1035">
        <f t="shared" si="1105"/>
        <v>-1604.0000000000005</v>
      </c>
      <c r="AN204" s="901">
        <f t="shared" si="1105"/>
        <v>-2052.7108655474485</v>
      </c>
      <c r="AO204" s="901">
        <f t="shared" si="1105"/>
        <v>-1953.3291120277454</v>
      </c>
      <c r="AP204" s="901">
        <f t="shared" si="1105"/>
        <v>-2610.9000000000005</v>
      </c>
      <c r="AQ204" s="901">
        <f t="shared" si="1105"/>
        <v>-1675.8594201224637</v>
      </c>
      <c r="AR204" s="901">
        <f t="shared" si="1105"/>
        <v>-1909.0999999999995</v>
      </c>
      <c r="AS204" s="901">
        <f t="shared" si="1105"/>
        <v>-1702</v>
      </c>
      <c r="AT204" s="901">
        <f t="shared" si="1105"/>
        <v>-2197</v>
      </c>
      <c r="AU204" s="901">
        <f t="shared" ref="AU204:AX204" si="1106">+AU207-AU144</f>
        <v>-1522.1036015531654</v>
      </c>
      <c r="AV204" s="901">
        <f t="shared" si="1106"/>
        <v>-1876.1362226627975</v>
      </c>
      <c r="AW204" s="901">
        <f t="shared" si="1106"/>
        <v>-1661.8413233650422</v>
      </c>
      <c r="AX204" s="901">
        <f t="shared" si="1106"/>
        <v>-2254.5063392422962</v>
      </c>
      <c r="AY204" s="901"/>
      <c r="AZ204" s="901"/>
      <c r="BA204" s="610"/>
      <c r="BB204" s="901">
        <v>-2174.6636896364998</v>
      </c>
      <c r="BC204" s="2189"/>
      <c r="BD204" s="610"/>
      <c r="BE204" s="942"/>
      <c r="BF204" s="942"/>
      <c r="BG204" s="942"/>
      <c r="BH204" s="942"/>
      <c r="BI204" s="942"/>
      <c r="BJ204" s="2020">
        <f>+SUM(S204:V204)</f>
        <v>-7194.1</v>
      </c>
      <c r="BK204" s="942">
        <f>+SUM(W204:Z204)</f>
        <v>-8062.7000000000007</v>
      </c>
      <c r="BL204" s="942">
        <f>+SUM(AA204:AD204)</f>
        <v>-8833.1</v>
      </c>
      <c r="BM204" s="942">
        <f>+SUM(AE204:AH204)</f>
        <v>-8880.2999999999993</v>
      </c>
      <c r="BN204" s="942">
        <f>+SUM(AI204:AL204)</f>
        <v>-8395.2550872794654</v>
      </c>
      <c r="BO204" s="2456">
        <f>+SUM(AM204:AP204)</f>
        <v>-8220.9399775751954</v>
      </c>
      <c r="BP204" s="942">
        <f>+SUM(AQ204:AT204)</f>
        <v>-7483.9594201224627</v>
      </c>
      <c r="BQ204" s="942">
        <f>+SUM(AU204:AX204)</f>
        <v>-7314.5874868233013</v>
      </c>
      <c r="BR204" s="901">
        <f>+BR207-BR144</f>
        <v>-7641.9766922548406</v>
      </c>
      <c r="BS204" s="901">
        <f>+BS207-BS144</f>
        <v>-7938.0282831490495</v>
      </c>
      <c r="BT204" s="901">
        <f>+BT207-BT144</f>
        <v>-8242.9231177019337</v>
      </c>
      <c r="BU204" s="901">
        <f>+BU207-BU144</f>
        <v>-8536.7894292340061</v>
      </c>
    </row>
    <row r="205" spans="1:73" s="325" customFormat="1" ht="15" customHeight="1">
      <c r="B205" s="325" t="s">
        <v>316</v>
      </c>
      <c r="C205" s="471"/>
      <c r="D205" s="337"/>
      <c r="E205" s="337"/>
      <c r="F205" s="337"/>
      <c r="G205" s="471"/>
      <c r="H205" s="471"/>
      <c r="I205" s="471"/>
      <c r="J205" s="471"/>
      <c r="K205" s="471"/>
      <c r="L205" s="471"/>
      <c r="M205" s="471"/>
      <c r="N205" s="471"/>
      <c r="O205" s="471"/>
      <c r="P205" s="471"/>
      <c r="Q205" s="471"/>
      <c r="R205" s="471"/>
      <c r="S205" s="1034"/>
      <c r="T205" s="471"/>
      <c r="U205" s="471"/>
      <c r="V205" s="471"/>
      <c r="W205" s="1034">
        <f t="shared" ref="W205:Z205" si="1107">+W204/S204-1</f>
        <v>8.2131385022359948E-2</v>
      </c>
      <c r="X205" s="471">
        <f t="shared" si="1107"/>
        <v>-0.16754042271397818</v>
      </c>
      <c r="Y205" s="471">
        <f t="shared" si="1107"/>
        <v>0.33879934857078675</v>
      </c>
      <c r="Z205" s="471">
        <f t="shared" si="1107"/>
        <v>0.21776916964640436</v>
      </c>
      <c r="AA205" s="471">
        <f>+AA204/W204-1</f>
        <v>0.19143239625167285</v>
      </c>
      <c r="AB205" s="471">
        <f>+AB204/X204-1</f>
        <v>0.44348690752403042</v>
      </c>
      <c r="AC205" s="471">
        <f>+AC204/Y204-1</f>
        <v>-9.4421140939597414E-2</v>
      </c>
      <c r="AD205" s="471">
        <f>+AD204/Z204-1</f>
        <v>-9.7875290567273066E-4</v>
      </c>
      <c r="AE205" s="471">
        <f t="shared" ref="AE205:AH205" si="1108">+AE204/AA204-1</f>
        <v>-6.448461162677066E-2</v>
      </c>
      <c r="AF205" s="471">
        <f t="shared" si="1108"/>
        <v>4.4316877152698053E-2</v>
      </c>
      <c r="AG205" s="471">
        <f t="shared" si="1108"/>
        <v>5.6463939969428889E-2</v>
      </c>
      <c r="AH205" s="471">
        <f t="shared" si="1108"/>
        <v>-1.6001959423603052E-2</v>
      </c>
      <c r="AI205" s="471">
        <f t="shared" ref="AI205" si="1109">+AI204/AE204-1</f>
        <v>-9.0443864229764914E-2</v>
      </c>
      <c r="AJ205" s="471">
        <f t="shared" ref="AJ205" si="1110">+AJ204/AF204-1</f>
        <v>-0.13944938993866907</v>
      </c>
      <c r="AK205" s="471">
        <f t="shared" ref="AK205" si="1111">+AK204/AG204-1</f>
        <v>-0.16732593826727493</v>
      </c>
      <c r="AL205" s="471">
        <f t="shared" ref="AL205" si="1112">+AL204/AH204-1</f>
        <v>0.16050611906243506</v>
      </c>
      <c r="AM205" s="1034">
        <f t="shared" ref="AM205" si="1113">+AM204/AI204-1</f>
        <v>-7.9113560684349382E-2</v>
      </c>
      <c r="AN205" s="471">
        <f t="shared" ref="AN205" si="1114">+AN204/AJ204-1</f>
        <v>4.8964773730161282E-2</v>
      </c>
      <c r="AO205" s="471">
        <f t="shared" ref="AO205" si="1115">+AO204/AK204-1</f>
        <v>2.8521044285164443E-2</v>
      </c>
      <c r="AP205" s="471">
        <f t="shared" ref="AP205" si="1116">+AP204/AL204-1</f>
        <v>-6.6669049831986515E-2</v>
      </c>
      <c r="AQ205" s="471">
        <f t="shared" ref="AQ205" si="1117">+AQ204/AM204-1</f>
        <v>4.4800137233455883E-2</v>
      </c>
      <c r="AR205" s="471">
        <f t="shared" ref="AR205" si="1118">+AR204/AN204-1</f>
        <v>-6.9961565439051077E-2</v>
      </c>
      <c r="AS205" s="471">
        <f t="shared" ref="AS205" si="1119">+AS204/AO204-1</f>
        <v>-0.12866705896111963</v>
      </c>
      <c r="AT205" s="471">
        <f t="shared" ref="AT205" si="1120">+AT204/AP204-1</f>
        <v>-0.15852771075108218</v>
      </c>
      <c r="AU205" s="471">
        <f t="shared" ref="AU205" si="1121">+AU204/AQ204-1</f>
        <v>-9.174744416095626E-2</v>
      </c>
      <c r="AV205" s="471">
        <f t="shared" ref="AV205" si="1122">+AV204/AR204-1</f>
        <v>-1.7266658287780623E-2</v>
      </c>
      <c r="AW205" s="471">
        <f t="shared" ref="AW205" si="1123">+AW204/AS204-1</f>
        <v>-2.3594992147448757E-2</v>
      </c>
      <c r="AX205" s="471">
        <f t="shared" ref="AX205" si="1124">+AX204/AT204-1</f>
        <v>2.6174938207690568E-2</v>
      </c>
      <c r="AY205" s="471"/>
      <c r="AZ205" s="471"/>
      <c r="BA205" s="72"/>
      <c r="BB205" s="471">
        <v>-0.16708273406239249</v>
      </c>
      <c r="BC205" s="2189"/>
      <c r="BD205" s="72"/>
      <c r="BE205" s="337"/>
      <c r="BF205" s="471"/>
      <c r="BG205" s="471"/>
      <c r="BH205" s="471"/>
      <c r="BI205" s="471"/>
      <c r="BJ205" s="2027"/>
      <c r="BK205" s="471"/>
      <c r="BL205" s="471">
        <f t="shared" ref="BL205:BQ205" si="1125">+BL204/BK204-1</f>
        <v>9.5551118111798727E-2</v>
      </c>
      <c r="BM205" s="471">
        <f t="shared" si="1125"/>
        <v>5.3435373764589844E-3</v>
      </c>
      <c r="BN205" s="471">
        <f t="shared" si="1125"/>
        <v>-5.4620329574511461E-2</v>
      </c>
      <c r="BO205" s="1034">
        <f t="shared" si="1125"/>
        <v>-2.0763527479753852E-2</v>
      </c>
      <c r="BP205" s="471">
        <f t="shared" si="1125"/>
        <v>-8.9646750792858665E-2</v>
      </c>
      <c r="BQ205" s="471">
        <f t="shared" si="1125"/>
        <v>-2.2631327054468464E-2</v>
      </c>
      <c r="BR205" s="471">
        <f t="shared" ref="BR205:BU205" si="1126">+BR204/BN204-1</f>
        <v>-8.9726683369752092E-2</v>
      </c>
      <c r="BS205" s="471">
        <f t="shared" si="1126"/>
        <v>-3.4413545798638978E-2</v>
      </c>
      <c r="BT205" s="471">
        <f t="shared" si="1126"/>
        <v>0.10141205409783627</v>
      </c>
      <c r="BU205" s="471">
        <f t="shared" si="1126"/>
        <v>0.16709102797832598</v>
      </c>
    </row>
    <row r="206" spans="1:73" s="325" customFormat="1" ht="15" customHeight="1">
      <c r="C206" s="471"/>
      <c r="D206" s="337"/>
      <c r="E206" s="337"/>
      <c r="F206" s="337"/>
      <c r="G206" s="471"/>
      <c r="H206" s="471"/>
      <c r="I206" s="471"/>
      <c r="J206" s="471"/>
      <c r="K206" s="471"/>
      <c r="L206" s="471"/>
      <c r="M206" s="471"/>
      <c r="N206" s="471"/>
      <c r="O206" s="471"/>
      <c r="P206" s="471"/>
      <c r="Q206" s="471"/>
      <c r="R206" s="471"/>
      <c r="S206" s="1034"/>
      <c r="T206" s="471"/>
      <c r="U206" s="471"/>
      <c r="V206" s="471"/>
      <c r="W206" s="1034"/>
      <c r="X206" s="471"/>
      <c r="Y206" s="471"/>
      <c r="Z206" s="471"/>
      <c r="AA206" s="471"/>
      <c r="AB206" s="471"/>
      <c r="AC206" s="471"/>
      <c r="AD206" s="471"/>
      <c r="AE206" s="471"/>
      <c r="AF206" s="471"/>
      <c r="AG206" s="471"/>
      <c r="AH206" s="471"/>
      <c r="AI206" s="471"/>
      <c r="AJ206" s="471"/>
      <c r="AK206" s="471"/>
      <c r="AL206" s="471"/>
      <c r="AM206" s="1034"/>
      <c r="AN206" s="471"/>
      <c r="AO206" s="471"/>
      <c r="AP206" s="471"/>
      <c r="AQ206" s="471"/>
      <c r="AR206" s="471"/>
      <c r="AS206" s="471"/>
      <c r="AT206" s="471"/>
      <c r="AU206" s="471"/>
      <c r="AV206" s="471"/>
      <c r="AW206" s="471"/>
      <c r="AX206" s="471"/>
      <c r="AY206" s="471"/>
      <c r="AZ206" s="471"/>
      <c r="BA206" s="72"/>
      <c r="BB206" s="471"/>
      <c r="BC206" s="2189"/>
      <c r="BD206" s="72"/>
      <c r="BE206" s="337"/>
      <c r="BF206" s="471"/>
      <c r="BG206" s="471"/>
      <c r="BH206" s="471"/>
      <c r="BI206" s="471"/>
      <c r="BJ206" s="2027"/>
      <c r="BK206" s="471"/>
      <c r="BL206" s="471"/>
      <c r="BM206" s="471"/>
      <c r="BN206" s="471"/>
      <c r="BO206" s="1034"/>
      <c r="BP206" s="471"/>
      <c r="BQ206" s="471"/>
      <c r="BR206" s="471"/>
      <c r="BS206" s="471"/>
      <c r="BT206" s="471"/>
      <c r="BU206" s="471"/>
    </row>
    <row r="207" spans="1:73" s="872" customFormat="1" ht="15" customHeight="1">
      <c r="B207" s="872" t="s">
        <v>15</v>
      </c>
      <c r="C207" s="2330"/>
      <c r="D207" s="2330"/>
      <c r="E207" s="2330"/>
      <c r="F207" s="2330"/>
      <c r="G207" s="2330"/>
      <c r="H207" s="2330"/>
      <c r="I207" s="2330"/>
      <c r="J207" s="2330"/>
      <c r="K207" s="2330"/>
      <c r="L207" s="2330"/>
      <c r="M207" s="2330"/>
      <c r="N207" s="2330"/>
      <c r="O207" s="2330"/>
      <c r="P207" s="2330"/>
      <c r="Q207" s="2330"/>
      <c r="R207" s="2330"/>
      <c r="S207" s="2331">
        <f>5427.5-T207</f>
        <v>2475.6</v>
      </c>
      <c r="T207" s="2330">
        <v>2951.9</v>
      </c>
      <c r="U207" s="2330">
        <v>2917.1</v>
      </c>
      <c r="V207" s="2330">
        <v>3231.2</v>
      </c>
      <c r="W207" s="2332">
        <v>2444.1999999999998</v>
      </c>
      <c r="X207" s="2333">
        <v>2467.1999999999998</v>
      </c>
      <c r="Y207" s="2333">
        <v>3699.6</v>
      </c>
      <c r="Z207" s="2330">
        <v>3868.5</v>
      </c>
      <c r="AA207" s="2330">
        <v>3138.9</v>
      </c>
      <c r="AB207" s="2330">
        <v>3356.2</v>
      </c>
      <c r="AC207" s="2330">
        <v>3392.6</v>
      </c>
      <c r="AD207" s="2330">
        <v>3692.6</v>
      </c>
      <c r="AE207" s="2330">
        <v>2836.5</v>
      </c>
      <c r="AF207" s="2330">
        <v>3281</v>
      </c>
      <c r="AG207" s="2330">
        <v>3496.7</v>
      </c>
      <c r="AH207" s="2330">
        <v>3532.7</v>
      </c>
      <c r="AI207" s="2330">
        <v>3121.8999999999996</v>
      </c>
      <c r="AJ207" s="2330">
        <v>3506.0427118644016</v>
      </c>
      <c r="AK207" s="2330">
        <v>3332.8710000000001</v>
      </c>
      <c r="AL207" s="2330">
        <v>3084.8</v>
      </c>
      <c r="AM207" s="2331">
        <v>3100.6</v>
      </c>
      <c r="AN207" s="2330">
        <v>3869.731589444149</v>
      </c>
      <c r="AO207" s="2330">
        <v>4022.3</v>
      </c>
      <c r="AP207" s="2330">
        <v>4479.7</v>
      </c>
      <c r="AQ207" s="2330">
        <v>3467.1867261083503</v>
      </c>
      <c r="AR207" s="2330">
        <v>3778.3</v>
      </c>
      <c r="AS207" s="2330">
        <v>3492</v>
      </c>
      <c r="AT207" s="2330">
        <v>3996</v>
      </c>
      <c r="AU207" s="2334">
        <f t="shared" ref="AU207:AX207" si="1127">+AU209*AU$144</f>
        <v>3149.0812055591159</v>
      </c>
      <c r="AV207" s="2334">
        <f t="shared" si="1127"/>
        <v>3713.0613849912793</v>
      </c>
      <c r="AW207" s="2334">
        <f t="shared" si="1127"/>
        <v>3409.6062874211079</v>
      </c>
      <c r="AX207" s="2334">
        <f t="shared" si="1127"/>
        <v>4100.5950530779328</v>
      </c>
      <c r="AY207" s="2334"/>
      <c r="AZ207" s="2334"/>
      <c r="BB207" s="2334">
        <v>4171.2769500430222</v>
      </c>
      <c r="BC207" s="2249">
        <f>+AT207/BB207-1</f>
        <v>-4.2019974253019621E-2</v>
      </c>
      <c r="BE207" s="2245">
        <f>3815.3+1274.5</f>
        <v>5089.8</v>
      </c>
      <c r="BF207" s="2245">
        <f>3609.2+1318.9</f>
        <v>4928.1000000000004</v>
      </c>
      <c r="BG207" s="2245">
        <v>5229.2</v>
      </c>
      <c r="BH207" s="2245">
        <v>5724</v>
      </c>
      <c r="BI207" s="2245">
        <v>6071.5</v>
      </c>
      <c r="BJ207" s="2246">
        <f>+SUM(S207:V207)</f>
        <v>11575.8</v>
      </c>
      <c r="BK207" s="2245">
        <f>+SUM(W207:Z207)</f>
        <v>12479.5</v>
      </c>
      <c r="BL207" s="2245">
        <f>+SUM(AA207:AD207)</f>
        <v>13580.300000000001</v>
      </c>
      <c r="BM207" s="2245">
        <f>+SUM(AE207:AH207)</f>
        <v>13146.900000000001</v>
      </c>
      <c r="BN207" s="2245">
        <f>+SUM(AI207:AL207)</f>
        <v>13045.6137118644</v>
      </c>
      <c r="BO207" s="2462">
        <f>+SUM(AM207:AP207)</f>
        <v>15472.331589444151</v>
      </c>
      <c r="BP207" s="2245">
        <f>+SUM(AQ207:AT207)</f>
        <v>14733.486726108351</v>
      </c>
      <c r="BQ207" s="2245">
        <f>+SUM(AU207:AX207)</f>
        <v>14372.343931049436</v>
      </c>
      <c r="BR207" s="2334">
        <f>+BR209*BR$144</f>
        <v>15015.626996328429</v>
      </c>
      <c r="BS207" s="2334">
        <f>+BS209*BS$144</f>
        <v>15597.335164195849</v>
      </c>
      <c r="BT207" s="2334">
        <f>+BT209*BT$144</f>
        <v>16196.419313901954</v>
      </c>
      <c r="BU207" s="2334">
        <f>+BU209*BU$144</f>
        <v>16773.833652946534</v>
      </c>
    </row>
    <row r="208" spans="1:73" s="325" customFormat="1" ht="15" customHeight="1">
      <c r="B208" s="325" t="s">
        <v>316</v>
      </c>
      <c r="C208" s="471"/>
      <c r="D208" s="471"/>
      <c r="E208" s="471"/>
      <c r="F208" s="471"/>
      <c r="G208" s="471"/>
      <c r="H208" s="471"/>
      <c r="I208" s="471"/>
      <c r="J208" s="471"/>
      <c r="K208" s="471"/>
      <c r="L208" s="471"/>
      <c r="M208" s="471"/>
      <c r="N208" s="471"/>
      <c r="O208" s="471"/>
      <c r="P208" s="471"/>
      <c r="Q208" s="471"/>
      <c r="R208" s="471"/>
      <c r="S208" s="1034"/>
      <c r="T208" s="471"/>
      <c r="U208" s="471"/>
      <c r="V208" s="471"/>
      <c r="W208" s="1823">
        <f t="shared" ref="W208:AB208" si="1128">+W207/S207-1</f>
        <v>-1.2683793827758971E-2</v>
      </c>
      <c r="X208" s="464">
        <f t="shared" si="1128"/>
        <v>-0.16419932924557079</v>
      </c>
      <c r="Y208" s="464">
        <f t="shared" si="1128"/>
        <v>0.26824586061499445</v>
      </c>
      <c r="Z208" s="471">
        <f t="shared" si="1128"/>
        <v>0.19723322604605098</v>
      </c>
      <c r="AA208" s="471">
        <f t="shared" si="1128"/>
        <v>0.28422387693314799</v>
      </c>
      <c r="AB208" s="471">
        <f t="shared" si="1128"/>
        <v>0.3603274967574579</v>
      </c>
      <c r="AC208" s="471">
        <f t="shared" ref="AC208:AH208" si="1129">+AC207/Y207-1</f>
        <v>-8.2981943993945317E-2</v>
      </c>
      <c r="AD208" s="471">
        <f t="shared" si="1129"/>
        <v>-4.5469820343802536E-2</v>
      </c>
      <c r="AE208" s="471">
        <f t="shared" si="1129"/>
        <v>-9.6339481984134556E-2</v>
      </c>
      <c r="AF208" s="471">
        <f t="shared" si="1129"/>
        <v>-2.2406292831178121E-2</v>
      </c>
      <c r="AG208" s="471">
        <f t="shared" si="1129"/>
        <v>3.0684430820020037E-2</v>
      </c>
      <c r="AH208" s="471">
        <f t="shared" si="1129"/>
        <v>-4.3302821859936169E-2</v>
      </c>
      <c r="AI208" s="471">
        <f t="shared" ref="AI208" si="1130">+AI207/AE207-1</f>
        <v>0.10061695751806798</v>
      </c>
      <c r="AJ208" s="471">
        <f t="shared" ref="AJ208:AT208" si="1131">+AJ207/AF207-1</f>
        <v>6.8589671400305363E-2</v>
      </c>
      <c r="AK208" s="471">
        <f t="shared" si="1131"/>
        <v>-4.6852460891697811E-2</v>
      </c>
      <c r="AL208" s="471">
        <f t="shared" si="1131"/>
        <v>-0.12678687689302792</v>
      </c>
      <c r="AM208" s="1034">
        <f t="shared" si="1131"/>
        <v>-6.8227681860404399E-3</v>
      </c>
      <c r="AN208" s="471">
        <f t="shared" si="1131"/>
        <v>0.1037320156850996</v>
      </c>
      <c r="AO208" s="471">
        <f t="shared" si="1131"/>
        <v>0.20685739112014834</v>
      </c>
      <c r="AP208" s="471">
        <f t="shared" si="1131"/>
        <v>0.45218490663900401</v>
      </c>
      <c r="AQ208" s="471">
        <f t="shared" si="1131"/>
        <v>0.11823089921574859</v>
      </c>
      <c r="AR208" s="471">
        <f t="shared" si="1131"/>
        <v>-2.3627372423853821E-2</v>
      </c>
      <c r="AS208" s="471">
        <f t="shared" si="1131"/>
        <v>-0.13183999204435282</v>
      </c>
      <c r="AT208" s="471">
        <f t="shared" si="1131"/>
        <v>-0.10797598053441071</v>
      </c>
      <c r="AU208" s="1534">
        <f t="shared" ref="AU208" si="1132">+AU207/AQ207-1</f>
        <v>-9.1747444160956149E-2</v>
      </c>
      <c r="AV208" s="1534">
        <f t="shared" ref="AV208" si="1133">+AV207/AR207-1</f>
        <v>-1.7266658287780401E-2</v>
      </c>
      <c r="AW208" s="1534">
        <f t="shared" ref="AW208" si="1134">+AW207/AS207-1</f>
        <v>-2.359499214744909E-2</v>
      </c>
      <c r="AX208" s="1534">
        <f t="shared" ref="AX208" si="1135">+AX207/AT207-1</f>
        <v>2.617493820769079E-2</v>
      </c>
      <c r="AY208" s="1534"/>
      <c r="AZ208" s="1534"/>
      <c r="BA208" s="72"/>
      <c r="BB208" s="1534">
        <v>-6.8849041220835683E-2</v>
      </c>
      <c r="BC208" s="2189"/>
      <c r="BD208" s="72"/>
      <c r="BE208" s="337"/>
      <c r="BF208" s="471"/>
      <c r="BG208" s="471"/>
      <c r="BH208" s="471"/>
      <c r="BI208" s="471"/>
      <c r="BJ208" s="2027"/>
      <c r="BK208" s="471"/>
      <c r="BL208" s="471">
        <f t="shared" ref="BL208:BQ208" si="1136">+BL207/BK207-1</f>
        <v>8.8208662206017863E-2</v>
      </c>
      <c r="BM208" s="471">
        <f t="shared" si="1136"/>
        <v>-3.1913875245760392E-2</v>
      </c>
      <c r="BN208" s="471">
        <f t="shared" si="1136"/>
        <v>-7.704195524085633E-3</v>
      </c>
      <c r="BO208" s="1034">
        <f t="shared" si="1136"/>
        <v>0.18601791615006658</v>
      </c>
      <c r="BP208" s="471">
        <f t="shared" si="1136"/>
        <v>-4.7752651826559189E-2</v>
      </c>
      <c r="BQ208" s="471">
        <f t="shared" si="1136"/>
        <v>-2.4511699217738769E-2</v>
      </c>
      <c r="BR208" s="1534">
        <f t="shared" ref="BR208" si="1137">+BR207/BN207-1</f>
        <v>0.15100962882814706</v>
      </c>
      <c r="BS208" s="1534">
        <f t="shared" ref="BS208" si="1138">+BS207/BO207-1</f>
        <v>8.0791685486485409E-3</v>
      </c>
      <c r="BT208" s="1534">
        <f t="shared" ref="BT208" si="1139">+BT207/BP207-1</f>
        <v>9.9293033277806808E-2</v>
      </c>
      <c r="BU208" s="1534">
        <f t="shared" ref="BU208" si="1140">+BU207/BQ207-1</f>
        <v>0.16709102797832553</v>
      </c>
    </row>
    <row r="209" spans="1:73" s="468" customFormat="1" ht="15" customHeight="1">
      <c r="B209" s="468" t="s">
        <v>317</v>
      </c>
      <c r="C209" s="902"/>
      <c r="D209" s="902"/>
      <c r="E209" s="902"/>
      <c r="F209" s="902"/>
      <c r="G209" s="902"/>
      <c r="H209" s="902"/>
      <c r="I209" s="902"/>
      <c r="J209" s="902"/>
      <c r="K209" s="902"/>
      <c r="L209" s="902"/>
      <c r="M209" s="902"/>
      <c r="N209" s="902"/>
      <c r="O209" s="902"/>
      <c r="P209" s="902"/>
      <c r="Q209" s="902"/>
      <c r="R209" s="902"/>
      <c r="S209" s="1037">
        <f t="shared" ref="S209:V209" si="1141">+S207/S$144</f>
        <v>0.60925848448305575</v>
      </c>
      <c r="T209" s="902">
        <f t="shared" si="1141"/>
        <v>0.61962636439966412</v>
      </c>
      <c r="U209" s="902">
        <f t="shared" si="1141"/>
        <v>0.6209502320235003</v>
      </c>
      <c r="V209" s="902">
        <f t="shared" si="1141"/>
        <v>0.6160768761439902</v>
      </c>
      <c r="W209" s="1037">
        <f t="shared" ref="W209:AD209" si="1142">+W207/W$144</f>
        <v>0.58722341013382018</v>
      </c>
      <c r="X209" s="902">
        <f t="shared" si="1142"/>
        <v>0.6205699625223231</v>
      </c>
      <c r="Y209" s="902">
        <f t="shared" si="1142"/>
        <v>0.60812676704582813</v>
      </c>
      <c r="Z209" s="902">
        <f t="shared" si="1142"/>
        <v>0.61204632471600795</v>
      </c>
      <c r="AA209" s="902">
        <f t="shared" si="1142"/>
        <v>0.60527584411577551</v>
      </c>
      <c r="AB209" s="902">
        <f t="shared" si="1142"/>
        <v>0.60650197878453838</v>
      </c>
      <c r="AC209" s="902">
        <f t="shared" si="1142"/>
        <v>0.61111411330271093</v>
      </c>
      <c r="AD209" s="902">
        <f t="shared" si="1142"/>
        <v>0.60117545544828477</v>
      </c>
      <c r="AE209" s="902">
        <f t="shared" ref="AE209:AF209" si="1143">+AE207/AE$144</f>
        <v>0.59696937809112915</v>
      </c>
      <c r="AF209" s="902">
        <f t="shared" si="1143"/>
        <v>0.59063906390639065</v>
      </c>
      <c r="AG209" s="902">
        <f t="shared" ref="AG209:AI209" si="1144">+AG207/AG$144</f>
        <v>0.6052271743833838</v>
      </c>
      <c r="AH209" s="902">
        <f t="shared" si="1144"/>
        <v>0.59441041862969446</v>
      </c>
      <c r="AI209" s="902">
        <f t="shared" si="1144"/>
        <v>0.64187758291013008</v>
      </c>
      <c r="AJ209" s="902">
        <f t="shared" ref="AJ209:AL209" si="1145">+AJ207/AJ$144</f>
        <v>0.64178739830719855</v>
      </c>
      <c r="AK209" s="902">
        <f t="shared" si="1145"/>
        <v>0.63701248883321482</v>
      </c>
      <c r="AL209" s="902">
        <f t="shared" si="1145"/>
        <v>0.52442963517051444</v>
      </c>
      <c r="AM209" s="1037">
        <f t="shared" ref="AM209:AN209" si="1146">+AM207/AM$144</f>
        <v>0.6590570930578582</v>
      </c>
      <c r="AN209" s="902">
        <f t="shared" si="1146"/>
        <v>0.65340129834146932</v>
      </c>
      <c r="AO209" s="902">
        <f t="shared" ref="AO209" si="1147">+AO207/AO$144</f>
        <v>0.67311741150465898</v>
      </c>
      <c r="AP209" s="902">
        <f>+AP207/AP$144</f>
        <v>0.63178010323526912</v>
      </c>
      <c r="AQ209" s="902">
        <f>+AQ207/AQ$144</f>
        <v>0.67415042127307157</v>
      </c>
      <c r="AR209" s="902">
        <f>+AR207/AR$144</f>
        <v>0.66432816401167505</v>
      </c>
      <c r="AS209" s="902">
        <f>+AS207/AS$144</f>
        <v>0.67231420870234881</v>
      </c>
      <c r="AT209" s="902">
        <f>+AT207/AT$144</f>
        <v>0.6452446310350396</v>
      </c>
      <c r="AU209" s="1700">
        <f t="shared" ref="AU209" si="1148">+AQ209+AU210</f>
        <v>0.67415042127307157</v>
      </c>
      <c r="AV209" s="1700">
        <f t="shared" ref="AV209" si="1149">+AR209+AV210</f>
        <v>0.66432816401167505</v>
      </c>
      <c r="AW209" s="1700">
        <f t="shared" ref="AW209" si="1150">+AS209+AW210</f>
        <v>0.67231420870234881</v>
      </c>
      <c r="AX209" s="1700">
        <f t="shared" ref="AX209" si="1151">+AT209+AX210</f>
        <v>0.6452446310350396</v>
      </c>
      <c r="AY209" s="1700"/>
      <c r="AZ209" s="1700"/>
      <c r="BA209" s="703"/>
      <c r="BB209" s="1700">
        <v>0.6573142087023488</v>
      </c>
      <c r="BC209" s="2200">
        <f>+AT209-BB209</f>
        <v>-1.2069577667309206E-2</v>
      </c>
      <c r="BD209" s="2257"/>
      <c r="BE209" s="902">
        <f t="shared" ref="BE209:BO209" si="1152">+BE207/BE$144</f>
        <v>0.68293795620437969</v>
      </c>
      <c r="BF209" s="902">
        <f t="shared" si="1152"/>
        <v>0.67338489287275904</v>
      </c>
      <c r="BG209" s="902">
        <f t="shared" si="1152"/>
        <v>0.68061083886946638</v>
      </c>
      <c r="BH209" s="902">
        <f t="shared" si="1152"/>
        <v>0.68098703691850415</v>
      </c>
      <c r="BI209" s="902">
        <f>+BI207/BI$144</f>
        <v>0.67435635426616614</v>
      </c>
      <c r="BJ209" s="2033">
        <f t="shared" si="1152"/>
        <v>0.61672145296458691</v>
      </c>
      <c r="BK209" s="902">
        <v>0</v>
      </c>
      <c r="BL209" s="902">
        <f t="shared" si="1152"/>
        <v>0.60590093426253944</v>
      </c>
      <c r="BM209" s="902">
        <f t="shared" si="1152"/>
        <v>0.59684844192634567</v>
      </c>
      <c r="BN209" s="902">
        <f t="shared" si="1152"/>
        <v>0.6084461331336215</v>
      </c>
      <c r="BO209" s="1037">
        <f t="shared" si="1152"/>
        <v>0.6530263896093349</v>
      </c>
      <c r="BP209" s="902">
        <f t="shared" ref="BP209:BQ209" si="1153">+BP207/BP$144</f>
        <v>0.66314942901787499</v>
      </c>
      <c r="BQ209" s="902">
        <f t="shared" si="1153"/>
        <v>0.66271911199040501</v>
      </c>
      <c r="BR209" s="1700">
        <f t="shared" ref="BR209:BU209" si="1154">+BQ209+BR210</f>
        <v>0.66271911199040501</v>
      </c>
      <c r="BS209" s="1700">
        <f t="shared" si="1154"/>
        <v>0.66271911199040501</v>
      </c>
      <c r="BT209" s="1700">
        <f t="shared" si="1154"/>
        <v>0.66271911199040501</v>
      </c>
      <c r="BU209" s="1700">
        <f t="shared" si="1154"/>
        <v>0.66271911199040501</v>
      </c>
    </row>
    <row r="210" spans="1:73" s="1575" customFormat="1" ht="15" customHeight="1">
      <c r="C210" s="1576" t="e">
        <f>+C209-#REF!</f>
        <v>#REF!</v>
      </c>
      <c r="D210" s="1576" t="e">
        <f>+D209-#REF!</f>
        <v>#REF!</v>
      </c>
      <c r="E210" s="1576">
        <f t="shared" ref="E210" si="1155">+E209-A209</f>
        <v>0</v>
      </c>
      <c r="F210" s="1576" t="e">
        <f t="shared" ref="F210" si="1156">+F209-B209</f>
        <v>#VALUE!</v>
      </c>
      <c r="G210" s="1576">
        <f t="shared" ref="G210" si="1157">+G209-C209</f>
        <v>0</v>
      </c>
      <c r="H210" s="1576">
        <f t="shared" ref="H210" si="1158">+H209-D209</f>
        <v>0</v>
      </c>
      <c r="I210" s="1576">
        <f t="shared" ref="I210" si="1159">+I209-E209</f>
        <v>0</v>
      </c>
      <c r="J210" s="1576">
        <f t="shared" ref="J210" si="1160">+J209-F209</f>
        <v>0</v>
      </c>
      <c r="K210" s="1576">
        <f t="shared" ref="K210" si="1161">+K209-G209</f>
        <v>0</v>
      </c>
      <c r="L210" s="1576">
        <f t="shared" ref="L210" si="1162">+L209-H209</f>
        <v>0</v>
      </c>
      <c r="M210" s="1576">
        <f t="shared" ref="M210" si="1163">+M209-I209</f>
        <v>0</v>
      </c>
      <c r="N210" s="1576">
        <f t="shared" ref="N210" si="1164">+N209-J209</f>
        <v>0</v>
      </c>
      <c r="O210" s="1576">
        <f t="shared" ref="O210" si="1165">+O209-K209</f>
        <v>0</v>
      </c>
      <c r="P210" s="1576">
        <f t="shared" ref="P210" si="1166">+P209-L209</f>
        <v>0</v>
      </c>
      <c r="Q210" s="1576">
        <f t="shared" ref="Q210" si="1167">+Q209-M209</f>
        <v>0</v>
      </c>
      <c r="R210" s="1576">
        <f t="shared" ref="R210" si="1168">+R209-N209</f>
        <v>0</v>
      </c>
      <c r="S210" s="1830">
        <f t="shared" ref="S210" si="1169">+S209-O209</f>
        <v>0.60925848448305575</v>
      </c>
      <c r="T210" s="1577">
        <f t="shared" ref="T210" si="1170">+T209-P209</f>
        <v>0.61962636439966412</v>
      </c>
      <c r="U210" s="1577">
        <f t="shared" ref="U210" si="1171">+U209-Q209</f>
        <v>0.6209502320235003</v>
      </c>
      <c r="V210" s="1577">
        <f t="shared" ref="V210" si="1172">+V209-R209</f>
        <v>0.6160768761439902</v>
      </c>
      <c r="W210" s="1830">
        <f t="shared" ref="W210" si="1173">+W209-S209</f>
        <v>-2.2035074349235573E-2</v>
      </c>
      <c r="X210" s="1576">
        <f t="shared" ref="X210" si="1174">+X209-T209</f>
        <v>9.4359812265898402E-4</v>
      </c>
      <c r="Y210" s="1576">
        <f t="shared" ref="Y210" si="1175">+Y209-U209</f>
        <v>-1.2823464977672172E-2</v>
      </c>
      <c r="Z210" s="1576">
        <f t="shared" ref="Z210" si="1176">+Z209-V209</f>
        <v>-4.0305514279822541E-3</v>
      </c>
      <c r="AA210" s="1576">
        <f t="shared" ref="AA210" si="1177">+AA209-W209</f>
        <v>1.8052433981955329E-2</v>
      </c>
      <c r="AB210" s="1576">
        <f t="shared" ref="AB210" si="1178">+AB209-X209</f>
        <v>-1.4067983737784728E-2</v>
      </c>
      <c r="AC210" s="1576">
        <f t="shared" ref="AC210" si="1179">+AC209-Y209</f>
        <v>2.9873462568827946E-3</v>
      </c>
      <c r="AD210" s="1576">
        <f t="shared" ref="AD210" si="1180">+AD209-Z209</f>
        <v>-1.0870869267723182E-2</v>
      </c>
      <c r="AE210" s="1576">
        <f t="shared" ref="AE210" si="1181">+AE209-AA209</f>
        <v>-8.3064660246463529E-3</v>
      </c>
      <c r="AF210" s="1576">
        <f t="shared" ref="AF210" si="1182">+AF209-AB209</f>
        <v>-1.5862914878147727E-2</v>
      </c>
      <c r="AG210" s="1576">
        <f t="shared" ref="AG210" si="1183">+AG209-AC209</f>
        <v>-5.8869389193271227E-3</v>
      </c>
      <c r="AH210" s="1576">
        <f t="shared" ref="AH210" si="1184">+AH209-AD209</f>
        <v>-6.7650368185903087E-3</v>
      </c>
      <c r="AI210" s="1576">
        <f t="shared" ref="AI210" si="1185">+AI209-AE209</f>
        <v>4.490820481900093E-2</v>
      </c>
      <c r="AJ210" s="1576">
        <f t="shared" ref="AJ210" si="1186">+AJ209-AF209</f>
        <v>5.1148334400807904E-2</v>
      </c>
      <c r="AK210" s="1576">
        <f t="shared" ref="AK210" si="1187">+AK209-AG209</f>
        <v>3.1785314449831015E-2</v>
      </c>
      <c r="AL210" s="1576">
        <f t="shared" ref="AL210:AT210" si="1188">+AL209-AH209</f>
        <v>-6.9980783459180018E-2</v>
      </c>
      <c r="AM210" s="1830">
        <f t="shared" si="1188"/>
        <v>1.7179510147728116E-2</v>
      </c>
      <c r="AN210" s="1576">
        <f t="shared" si="1188"/>
        <v>1.1613900034270763E-2</v>
      </c>
      <c r="AO210" s="1576">
        <f t="shared" si="1188"/>
        <v>3.6104922671444162E-2</v>
      </c>
      <c r="AP210" s="1576">
        <f t="shared" si="1188"/>
        <v>0.10735046806475468</v>
      </c>
      <c r="AQ210" s="1576">
        <f t="shared" si="1188"/>
        <v>1.5093328215213364E-2</v>
      </c>
      <c r="AR210" s="1576">
        <f t="shared" si="1188"/>
        <v>1.0926865670205732E-2</v>
      </c>
      <c r="AS210" s="1576">
        <f t="shared" si="1188"/>
        <v>-8.0320280231016561E-4</v>
      </c>
      <c r="AT210" s="1576">
        <f t="shared" si="1188"/>
        <v>1.3464527799770476E-2</v>
      </c>
      <c r="AU210" s="1699">
        <v>0</v>
      </c>
      <c r="AV210" s="1699">
        <v>0</v>
      </c>
      <c r="AW210" s="1699">
        <v>0</v>
      </c>
      <c r="AX210" s="1699">
        <v>0</v>
      </c>
      <c r="AY210" s="1699"/>
      <c r="AZ210" s="1699"/>
      <c r="BA210" s="1677"/>
      <c r="BB210" s="1699">
        <f>+BB209-AP209</f>
        <v>2.5534105467079682E-2</v>
      </c>
      <c r="BC210" s="2195"/>
      <c r="BD210" s="1677"/>
      <c r="BE210" s="1578"/>
      <c r="BF210" s="1576"/>
      <c r="BG210" s="1576"/>
      <c r="BH210" s="1576"/>
      <c r="BI210" s="1576"/>
      <c r="BJ210" s="2034"/>
      <c r="BK210" s="1576">
        <f>+BK209-BJ209</f>
        <v>-0.61672145296458691</v>
      </c>
      <c r="BL210" s="1576">
        <f t="shared" ref="BL210" si="1189">+BL209-BK209</f>
        <v>0.60590093426253944</v>
      </c>
      <c r="BM210" s="1576">
        <f t="shared" ref="BM210" si="1190">+BM209-BL209</f>
        <v>-9.0524923361937626E-3</v>
      </c>
      <c r="BN210" s="1576">
        <f t="shared" ref="BN210" si="1191">+BN209-BM209</f>
        <v>1.1597691207275829E-2</v>
      </c>
      <c r="BO210" s="1830">
        <f t="shared" ref="BO210:BQ210" si="1192">+BO209-BN209</f>
        <v>4.4580256475713398E-2</v>
      </c>
      <c r="BP210" s="1576">
        <f t="shared" si="1192"/>
        <v>1.0123039408540091E-2</v>
      </c>
      <c r="BQ210" s="1576">
        <f t="shared" si="1192"/>
        <v>-4.3031702746998413E-4</v>
      </c>
      <c r="BR210" s="1699">
        <v>0</v>
      </c>
      <c r="BS210" s="1699">
        <v>0</v>
      </c>
      <c r="BT210" s="1699">
        <v>0</v>
      </c>
      <c r="BU210" s="1699">
        <v>0</v>
      </c>
    </row>
    <row r="211" spans="1:73" s="1664" customFormat="1" ht="15" customHeight="1">
      <c r="B211" s="1664" t="s">
        <v>16</v>
      </c>
      <c r="C211" s="1665"/>
      <c r="D211" s="1665"/>
      <c r="E211" s="1665"/>
      <c r="F211" s="1665"/>
      <c r="G211" s="1665"/>
      <c r="H211" s="1665"/>
      <c r="I211" s="1665"/>
      <c r="J211" s="1665"/>
      <c r="K211" s="1665"/>
      <c r="L211" s="1665"/>
      <c r="M211" s="1665"/>
      <c r="N211" s="1665"/>
      <c r="O211" s="1665"/>
      <c r="P211" s="1665"/>
      <c r="Q211" s="1665"/>
      <c r="R211" s="1665"/>
      <c r="S211" s="1666">
        <f>-3505.7-T211</f>
        <v>-1659.1999999999998</v>
      </c>
      <c r="T211" s="1665">
        <v>-1846.5</v>
      </c>
      <c r="U211" s="1665">
        <v>-1898.7</v>
      </c>
      <c r="V211" s="1665">
        <v>-2065.6</v>
      </c>
      <c r="W211" s="1666">
        <v>-1852.4</v>
      </c>
      <c r="X211" s="1665">
        <v>-1722.9</v>
      </c>
      <c r="Y211" s="1665">
        <v>-2216.1999999999998</v>
      </c>
      <c r="Z211" s="1665">
        <v>-2540.6</v>
      </c>
      <c r="AA211" s="1665">
        <v>-2089.9</v>
      </c>
      <c r="AB211" s="1665">
        <v>-2226.5</v>
      </c>
      <c r="AC211" s="1665">
        <v>-2293.6999999999998</v>
      </c>
      <c r="AD211" s="1665">
        <v>-2449.5</v>
      </c>
      <c r="AE211" s="1665">
        <v>-1992.2</v>
      </c>
      <c r="AF211" s="1665">
        <v>-2167.3000000000002</v>
      </c>
      <c r="AG211" s="1665">
        <v>-2406.6999999999998</v>
      </c>
      <c r="AH211" s="1665">
        <v>-2384.1999999999998</v>
      </c>
      <c r="AI211" s="1665">
        <v>-2004</v>
      </c>
      <c r="AJ211" s="1665">
        <v>-2259.4529257883187</v>
      </c>
      <c r="AK211" s="1665">
        <v>-2279.0500000000002</v>
      </c>
      <c r="AL211" s="1665">
        <v>-2341.6999999999998</v>
      </c>
      <c r="AM211" s="1666">
        <v>-2009.9</v>
      </c>
      <c r="AN211" s="1665">
        <v>-2510.9077979298931</v>
      </c>
      <c r="AO211" s="1665">
        <v>-2623.9</v>
      </c>
      <c r="AP211" s="1665">
        <v>-3188.2</v>
      </c>
      <c r="AQ211" s="1665">
        <v>-2244.4</v>
      </c>
      <c r="AR211" s="1665">
        <v>-2344.4</v>
      </c>
      <c r="AS211" s="1665">
        <v>-2308</v>
      </c>
      <c r="AT211" s="1665">
        <f>-2513</f>
        <v>-2513</v>
      </c>
      <c r="AU211" s="1765">
        <f t="shared" ref="AU211:AX211" si="1193">+AU213*AU$144</f>
        <v>-2031.9653910938423</v>
      </c>
      <c r="AV211" s="1765">
        <f t="shared" si="1193"/>
        <v>-2431.3009593295233</v>
      </c>
      <c r="AW211" s="1765">
        <f t="shared" si="1193"/>
        <v>-2206.0797106919754</v>
      </c>
      <c r="AX211" s="1765">
        <f t="shared" si="1193"/>
        <v>-2764.4691056592997</v>
      </c>
      <c r="AY211" s="1765"/>
      <c r="AZ211" s="1765"/>
      <c r="BA211" s="2256"/>
      <c r="BB211" s="1765">
        <v>-2823.9435846573874</v>
      </c>
      <c r="BC211" s="2197">
        <f>+AT211/BB211-1</f>
        <v>-0.11010970132220699</v>
      </c>
      <c r="BD211" s="2256"/>
      <c r="BE211" s="1668"/>
      <c r="BF211" s="1668"/>
      <c r="BG211" s="1668"/>
      <c r="BH211" s="1668"/>
      <c r="BI211" s="1668"/>
      <c r="BJ211" s="2035">
        <f>+SUM(S211:V211)</f>
        <v>-7470</v>
      </c>
      <c r="BK211" s="1668">
        <f>+SUM(W211:Z211)</f>
        <v>-8332.1</v>
      </c>
      <c r="BL211" s="1668">
        <f>+SUM(AA211:AD211)</f>
        <v>-9059.5999999999985</v>
      </c>
      <c r="BM211" s="1668">
        <f>+SUM(AE211:AH211)</f>
        <v>-8950.4</v>
      </c>
      <c r="BN211" s="1668">
        <f>+SUM(AI211:AL211)</f>
        <v>-8884.2029257883187</v>
      </c>
      <c r="BO211" s="2465">
        <f>+SUM(AM211:AP211)</f>
        <v>-10332.907797929893</v>
      </c>
      <c r="BP211" s="1668">
        <f>+SUM(AQ211:AT211)</f>
        <v>-9409.7999999999993</v>
      </c>
      <c r="BQ211" s="1668">
        <f>+SUM(AU211:AX211)</f>
        <v>-9433.8151667746406</v>
      </c>
      <c r="BR211" s="1765">
        <f>+BR213*BR$144</f>
        <v>-9742.7695860908061</v>
      </c>
      <c r="BS211" s="1765">
        <f>+BS213*BS$144</f>
        <v>-10120.206282358306</v>
      </c>
      <c r="BT211" s="1765">
        <f>+BT213*BT$144</f>
        <v>-10508.917245589671</v>
      </c>
      <c r="BU211" s="1765">
        <f>+BU213*BU$144</f>
        <v>-10883.567925337633</v>
      </c>
    </row>
    <row r="212" spans="1:73" s="325" customFormat="1" ht="15" customHeight="1">
      <c r="B212" s="325" t="s">
        <v>316</v>
      </c>
      <c r="C212" s="462"/>
      <c r="D212" s="462"/>
      <c r="E212" s="462"/>
      <c r="F212" s="462"/>
      <c r="G212" s="471"/>
      <c r="H212" s="471"/>
      <c r="I212" s="471"/>
      <c r="J212" s="471"/>
      <c r="K212" s="471"/>
      <c r="L212" s="471"/>
      <c r="M212" s="471"/>
      <c r="N212" s="471"/>
      <c r="O212" s="471"/>
      <c r="P212" s="471"/>
      <c r="Q212" s="471"/>
      <c r="R212" s="471"/>
      <c r="S212" s="1034"/>
      <c r="T212" s="471"/>
      <c r="U212" s="471"/>
      <c r="V212" s="471"/>
      <c r="W212" s="1034">
        <f t="shared" ref="W212:Z212" si="1194">+W211/S211-1</f>
        <v>0.11644165863066558</v>
      </c>
      <c r="X212" s="471">
        <f t="shared" si="1194"/>
        <v>-6.6937449228269608E-2</v>
      </c>
      <c r="Y212" s="471">
        <f t="shared" si="1194"/>
        <v>0.1672196766208458</v>
      </c>
      <c r="Z212" s="471">
        <f t="shared" si="1194"/>
        <v>0.22995739736638265</v>
      </c>
      <c r="AA212" s="471">
        <f>+AA211/W211-1</f>
        <v>0.12821204923342688</v>
      </c>
      <c r="AB212" s="471">
        <f>+AB211/X211-1</f>
        <v>0.29229786987056694</v>
      </c>
      <c r="AC212" s="471">
        <f>+AC211/Y211-1</f>
        <v>3.4969768071473784E-2</v>
      </c>
      <c r="AD212" s="471">
        <f>+AD211/Z211-1</f>
        <v>-3.5857671416200887E-2</v>
      </c>
      <c r="AE212" s="471">
        <f t="shared" ref="AE212:AH212" si="1195">+AE211/AA211-1</f>
        <v>-4.6748648260682368E-2</v>
      </c>
      <c r="AF212" s="471">
        <f t="shared" si="1195"/>
        <v>-2.6588816528183123E-2</v>
      </c>
      <c r="AG212" s="471">
        <f t="shared" si="1195"/>
        <v>4.9265379081832927E-2</v>
      </c>
      <c r="AH212" s="471">
        <f t="shared" si="1195"/>
        <v>-2.6658501735048024E-2</v>
      </c>
      <c r="AI212" s="471">
        <f t="shared" ref="AI212" si="1196">+AI211/AE211-1</f>
        <v>5.9231000903523512E-3</v>
      </c>
      <c r="AJ212" s="471">
        <f t="shared" ref="AJ212" si="1197">+AJ211/AF211-1</f>
        <v>4.25196907619243E-2</v>
      </c>
      <c r="AK212" s="471">
        <f t="shared" ref="AK212" si="1198">+AK211/AG211-1</f>
        <v>-5.3039431586820007E-2</v>
      </c>
      <c r="AL212" s="471">
        <f t="shared" ref="AL212" si="1199">+AL211/AH211-1</f>
        <v>-1.7825685764617072E-2</v>
      </c>
      <c r="AM212" s="1034">
        <f t="shared" ref="AM212" si="1200">+AM211/AI211-1</f>
        <v>2.9441117764470448E-3</v>
      </c>
      <c r="AN212" s="471">
        <f t="shared" ref="AN212:AO212" si="1201">+AN211/AJ211-1</f>
        <v>0.11129015757380389</v>
      </c>
      <c r="AO212" s="471">
        <f t="shared" si="1201"/>
        <v>0.15131304710295956</v>
      </c>
      <c r="AP212" s="471">
        <f t="shared" ref="AP212" si="1202">+AP211/AL211-1</f>
        <v>0.36148951616347103</v>
      </c>
      <c r="AQ212" s="471">
        <f t="shared" ref="AQ212" si="1203">+AQ211/AM211-1</f>
        <v>0.11667247126722713</v>
      </c>
      <c r="AR212" s="471">
        <f t="shared" ref="AR212" si="1204">+AR211/AN211-1</f>
        <v>-6.6313784228624328E-2</v>
      </c>
      <c r="AS212" s="471">
        <f t="shared" ref="AS212:AT212" si="1205">+AS211/AO211-1</f>
        <v>-0.12039330767178635</v>
      </c>
      <c r="AT212" s="471">
        <f t="shared" si="1205"/>
        <v>-0.21178094222445265</v>
      </c>
      <c r="AU212" s="471">
        <f t="shared" ref="AU212" si="1206">+AU211/AQ211-1</f>
        <v>-9.4650957452396045E-2</v>
      </c>
      <c r="AV212" s="471">
        <f t="shared" ref="AV212" si="1207">+AV211/AR211-1</f>
        <v>3.7067462604301049E-2</v>
      </c>
      <c r="AW212" s="471">
        <f t="shared" ref="AW212" si="1208">+AW211/AS211-1</f>
        <v>-4.415957075737631E-2</v>
      </c>
      <c r="AX212" s="471">
        <f t="shared" ref="AX212" si="1209">+AX211/AT211-1</f>
        <v>0.10006729234353351</v>
      </c>
      <c r="AY212" s="471"/>
      <c r="AZ212" s="471"/>
      <c r="BA212" s="72"/>
      <c r="BB212" s="471">
        <v>-0.11425143194988152</v>
      </c>
      <c r="BC212" s="2189"/>
      <c r="BD212" s="72"/>
      <c r="BE212" s="471"/>
      <c r="BF212" s="471"/>
      <c r="BG212" s="471"/>
      <c r="BH212" s="471"/>
      <c r="BI212" s="471"/>
      <c r="BJ212" s="2027"/>
      <c r="BK212" s="471"/>
      <c r="BL212" s="471">
        <f t="shared" ref="BL212:BQ212" si="1210">+BL211/BK211-1</f>
        <v>8.7312922312501984E-2</v>
      </c>
      <c r="BM212" s="471">
        <f t="shared" si="1210"/>
        <v>-1.2053512296348545E-2</v>
      </c>
      <c r="BN212" s="471">
        <f t="shared" si="1210"/>
        <v>-7.395990593904278E-3</v>
      </c>
      <c r="BO212" s="1034">
        <f t="shared" si="1210"/>
        <v>0.16306526136817467</v>
      </c>
      <c r="BP212" s="471">
        <f t="shared" si="1210"/>
        <v>-8.9336691663389312E-2</v>
      </c>
      <c r="BQ212" s="471">
        <f t="shared" si="1210"/>
        <v>2.5521442299136776E-3</v>
      </c>
      <c r="BR212" s="471">
        <f t="shared" ref="BR212" si="1211">+BR211/BN211-1</f>
        <v>9.6639694914026908E-2</v>
      </c>
      <c r="BS212" s="471">
        <f t="shared" ref="BS212" si="1212">+BS211/BO211-1</f>
        <v>-2.0584865338119096E-2</v>
      </c>
      <c r="BT212" s="471">
        <f t="shared" ref="BT212" si="1213">+BT211/BP211-1</f>
        <v>0.11680559051092176</v>
      </c>
      <c r="BU212" s="471">
        <f t="shared" ref="BU212" si="1214">+BU211/BQ211-1</f>
        <v>0.15367618857627607</v>
      </c>
    </row>
    <row r="213" spans="1:73" s="325" customFormat="1" ht="15" customHeight="1">
      <c r="B213" s="325" t="s">
        <v>318</v>
      </c>
      <c r="C213" s="471"/>
      <c r="D213" s="471"/>
      <c r="E213" s="471"/>
      <c r="F213" s="471"/>
      <c r="G213" s="471"/>
      <c r="H213" s="471"/>
      <c r="I213" s="471"/>
      <c r="J213" s="471"/>
      <c r="K213" s="471"/>
      <c r="L213" s="471"/>
      <c r="M213" s="471"/>
      <c r="N213" s="471"/>
      <c r="O213" s="471"/>
      <c r="P213" s="471"/>
      <c r="Q213" s="471"/>
      <c r="R213" s="471"/>
      <c r="S213" s="1034">
        <f t="shared" ref="S213:V213" si="1215">+S211/S$144</f>
        <v>-0.40833805035316123</v>
      </c>
      <c r="T213" s="471">
        <f t="shared" si="1215"/>
        <v>-0.38759445843828716</v>
      </c>
      <c r="U213" s="471">
        <f t="shared" si="1215"/>
        <v>-0.40416790838264721</v>
      </c>
      <c r="V213" s="471">
        <f t="shared" si="1215"/>
        <v>-0.3938377059182428</v>
      </c>
      <c r="W213" s="1034">
        <f>+W211/W$144</f>
        <v>-0.44504240443985299</v>
      </c>
      <c r="X213" s="471">
        <f>+X211/X$144</f>
        <v>-0.43335764770983731</v>
      </c>
      <c r="Y213" s="471">
        <f t="shared" ref="Y213:AI213" si="1216">+Y211/Y$144</f>
        <v>-0.36429088039976326</v>
      </c>
      <c r="Z213" s="471">
        <f t="shared" si="1216"/>
        <v>-0.4019555105527956</v>
      </c>
      <c r="AA213" s="471">
        <f t="shared" si="1216"/>
        <v>-0.40299658689909179</v>
      </c>
      <c r="AB213" s="471">
        <f t="shared" si="1216"/>
        <v>-0.40235285613603922</v>
      </c>
      <c r="AC213" s="471">
        <f t="shared" si="1216"/>
        <v>-0.4131676123570206</v>
      </c>
      <c r="AD213" s="471">
        <f t="shared" si="1216"/>
        <v>-0.39879198345896488</v>
      </c>
      <c r="AE213" s="471">
        <f t="shared" si="1216"/>
        <v>-0.41927812269809533</v>
      </c>
      <c r="AF213" s="471">
        <f t="shared" si="1216"/>
        <v>-0.39015301530153018</v>
      </c>
      <c r="AG213" s="471">
        <f t="shared" si="1216"/>
        <v>-0.41656425789701423</v>
      </c>
      <c r="AH213" s="471">
        <f t="shared" si="1216"/>
        <v>-0.40116435590254407</v>
      </c>
      <c r="AI213" s="471">
        <f t="shared" si="1216"/>
        <v>-0.4120319921047762</v>
      </c>
      <c r="AJ213" s="471">
        <f t="shared" ref="AJ213:AN213" si="1217">+AJ211/AJ$144</f>
        <v>-0.41359690511818159</v>
      </c>
      <c r="AK213" s="1758">
        <f t="shared" si="1217"/>
        <v>-0.43559541088609138</v>
      </c>
      <c r="AL213" s="1758">
        <f t="shared" si="1217"/>
        <v>-0.39809935058311513</v>
      </c>
      <c r="AM213" s="1034">
        <f t="shared" si="1217"/>
        <v>-0.42722016749564257</v>
      </c>
      <c r="AN213" s="471">
        <f t="shared" si="1217"/>
        <v>-0.42396491262040559</v>
      </c>
      <c r="AO213" s="471">
        <f t="shared" ref="AO213:AQ213" si="1218">+AO211/AO$144</f>
        <v>-0.43910021033912805</v>
      </c>
      <c r="AP213" s="471">
        <f t="shared" si="1218"/>
        <v>-0.44963754830338754</v>
      </c>
      <c r="AQ213" s="471">
        <f t="shared" si="1218"/>
        <v>-0.43639507330589561</v>
      </c>
      <c r="AR213" s="471">
        <f t="shared" ref="AR213:AS213" si="1219">+AR211/AR$144</f>
        <v>-0.41220944544079902</v>
      </c>
      <c r="AS213" s="471">
        <f t="shared" si="1219"/>
        <v>-0.44435887562572196</v>
      </c>
      <c r="AT213" s="471">
        <f t="shared" ref="AT213" si="1220">+AT211/AT$144</f>
        <v>-0.40578072016793154</v>
      </c>
      <c r="AU213" s="1701">
        <v>-0.435</v>
      </c>
      <c r="AV213" s="1701">
        <f t="shared" ref="AV213:AX213" si="1221">+AU213</f>
        <v>-0.435</v>
      </c>
      <c r="AW213" s="1701">
        <f t="shared" si="1221"/>
        <v>-0.435</v>
      </c>
      <c r="AX213" s="1701">
        <f t="shared" si="1221"/>
        <v>-0.435</v>
      </c>
      <c r="AY213" s="1701"/>
      <c r="AZ213" s="1701"/>
      <c r="BA213" s="703"/>
      <c r="BB213" s="1701">
        <v>-0.44500000000000001</v>
      </c>
      <c r="BC213" s="2189"/>
      <c r="BD213" s="72"/>
      <c r="BE213" s="471"/>
      <c r="BF213" s="471"/>
      <c r="BG213" s="471"/>
      <c r="BH213" s="471"/>
      <c r="BI213" s="471"/>
      <c r="BJ213" s="2027">
        <f t="shared" ref="BJ213:BO213" si="1222">+BJ211/BJ$144</f>
        <v>-0.39797761309330371</v>
      </c>
      <c r="BK213" s="471">
        <f t="shared" si="1222"/>
        <v>-0.40560894159340283</v>
      </c>
      <c r="BL213" s="471">
        <f t="shared" si="1222"/>
        <v>-0.40420462758885306</v>
      </c>
      <c r="BM213" s="471">
        <f t="shared" si="1222"/>
        <v>-0.40633398707053098</v>
      </c>
      <c r="BN213" s="471">
        <f t="shared" si="1222"/>
        <v>-0.41435834569087354</v>
      </c>
      <c r="BO213" s="1034">
        <f t="shared" si="1222"/>
        <v>-0.43611148290357404</v>
      </c>
      <c r="BP213" s="471">
        <f t="shared" ref="BP213:BQ213" si="1223">+BP211/BP$144</f>
        <v>-0.42353202695154818</v>
      </c>
      <c r="BQ213" s="471">
        <f t="shared" si="1223"/>
        <v>-0.435</v>
      </c>
      <c r="BR213" s="1701">
        <v>-0.43</v>
      </c>
      <c r="BS213" s="1701">
        <f t="shared" ref="BS213:BU213" si="1224">+BR213</f>
        <v>-0.43</v>
      </c>
      <c r="BT213" s="1701">
        <f t="shared" si="1224"/>
        <v>-0.43</v>
      </c>
      <c r="BU213" s="1701">
        <f t="shared" si="1224"/>
        <v>-0.43</v>
      </c>
    </row>
    <row r="214" spans="1:73" s="1664" customFormat="1" ht="15" customHeight="1">
      <c r="B214" s="1664" t="s">
        <v>319</v>
      </c>
      <c r="C214" s="1665"/>
      <c r="D214" s="1665"/>
      <c r="E214" s="1665"/>
      <c r="F214" s="1665"/>
      <c r="G214" s="1665"/>
      <c r="H214" s="1665"/>
      <c r="I214" s="1665"/>
      <c r="J214" s="1665"/>
      <c r="K214" s="1665"/>
      <c r="L214" s="1665"/>
      <c r="M214" s="1665"/>
      <c r="N214" s="1665"/>
      <c r="O214" s="1665"/>
      <c r="P214" s="1665"/>
      <c r="Q214" s="1665"/>
      <c r="R214" s="1665"/>
      <c r="S214" s="1666">
        <f>-1284.6-T214</f>
        <v>-579.29999999999995</v>
      </c>
      <c r="T214" s="1665">
        <v>-705.3</v>
      </c>
      <c r="U214" s="1665">
        <v>-581.29999999999995</v>
      </c>
      <c r="V214" s="1665">
        <v>-748.3</v>
      </c>
      <c r="W214" s="1666">
        <v>-571.1</v>
      </c>
      <c r="X214" s="1665">
        <v>-621.5</v>
      </c>
      <c r="Y214" s="1665">
        <v>-695.7</v>
      </c>
      <c r="Z214" s="1665">
        <v>-717.6</v>
      </c>
      <c r="AA214" s="1665">
        <v>-642.6</v>
      </c>
      <c r="AB214" s="1665">
        <v>-741.2</v>
      </c>
      <c r="AC214" s="1665">
        <v>-784.9</v>
      </c>
      <c r="AD214" s="1665">
        <v>-736.9</v>
      </c>
      <c r="AE214" s="1665">
        <v>-672.4</v>
      </c>
      <c r="AF214" s="1665">
        <v>-756.6</v>
      </c>
      <c r="AG214" s="1665">
        <v>-710.8</v>
      </c>
      <c r="AH214" s="1665">
        <v>-874.7</v>
      </c>
      <c r="AI214" s="1665">
        <v>-715.1</v>
      </c>
      <c r="AJ214" s="1665">
        <v>-757.42260527882797</v>
      </c>
      <c r="AK214" s="1665">
        <v>-633.55399999999997</v>
      </c>
      <c r="AL214" s="1703">
        <v>-349.9</v>
      </c>
      <c r="AM214" s="2405">
        <v>-647.5</v>
      </c>
      <c r="AN214" s="1703">
        <v>-762.90742570678503</v>
      </c>
      <c r="AO214" s="1703">
        <v>-733.3</v>
      </c>
      <c r="AP214" s="1703">
        <v>-863.5</v>
      </c>
      <c r="AQ214" s="1703">
        <v>-653.70000000000005</v>
      </c>
      <c r="AR214" s="1703">
        <v>-834.5</v>
      </c>
      <c r="AS214" s="1703">
        <v>-831</v>
      </c>
      <c r="AT214" s="1703">
        <v>-744</v>
      </c>
      <c r="AU214" s="1667">
        <f>+AQ214*(1+AU215)+25</f>
        <v>-654.84800000000007</v>
      </c>
      <c r="AV214" s="1667">
        <f t="shared" ref="AV214:AX214" si="1225">+AR214*(1+AV215)+25</f>
        <v>-842.88</v>
      </c>
      <c r="AW214" s="1667">
        <f t="shared" si="1225"/>
        <v>-839.24</v>
      </c>
      <c r="AX214" s="1667">
        <f t="shared" si="1225"/>
        <v>-748.76</v>
      </c>
      <c r="AY214" s="1667"/>
      <c r="AZ214" s="1667"/>
      <c r="BA214" s="2256"/>
      <c r="BB214" s="1667">
        <v>-820.32499999999993</v>
      </c>
      <c r="BC214" s="2197">
        <f>+AT214/BB214-1</f>
        <v>-9.3042391734982965E-2</v>
      </c>
      <c r="BD214" s="2256"/>
      <c r="BE214" s="1668"/>
      <c r="BF214" s="1668"/>
      <c r="BG214" s="1668"/>
      <c r="BH214" s="1668"/>
      <c r="BI214" s="1668"/>
      <c r="BJ214" s="2035">
        <f>+SUM(S214:V214)</f>
        <v>-2614.1999999999998</v>
      </c>
      <c r="BK214" s="1668">
        <f>+SUM(W214:Z214)</f>
        <v>-2605.9</v>
      </c>
      <c r="BL214" s="1668">
        <f>+SUM(AA214:AD214)</f>
        <v>-2905.6000000000004</v>
      </c>
      <c r="BM214" s="1668">
        <f>+SUM(AE214:AH214)</f>
        <v>-3014.5</v>
      </c>
      <c r="BN214" s="1668">
        <f>+SUM(AI214:AL214)</f>
        <v>-2455.9766052788282</v>
      </c>
      <c r="BO214" s="2465">
        <f>+SUM(AM214:AP214)</f>
        <v>-3007.2074257067852</v>
      </c>
      <c r="BP214" s="1668">
        <f>+SUM(AQ214:AT214)</f>
        <v>-3063.2</v>
      </c>
      <c r="BQ214" s="1668">
        <f>+SUM(AU214:AX214)</f>
        <v>-3085.7280000000001</v>
      </c>
      <c r="BR214" s="1667">
        <f t="shared" ref="BR214:BU214" si="1226">+BQ214*(1+BR215)</f>
        <v>-3240.0144</v>
      </c>
      <c r="BS214" s="1667">
        <f t="shared" si="1226"/>
        <v>-3337.2148320000001</v>
      </c>
      <c r="BT214" s="1667">
        <f t="shared" si="1226"/>
        <v>-3437.3312769600002</v>
      </c>
      <c r="BU214" s="1667">
        <f t="shared" si="1226"/>
        <v>-3540.4512152688003</v>
      </c>
    </row>
    <row r="215" spans="1:73" s="325" customFormat="1" ht="15" customHeight="1">
      <c r="B215" s="325" t="s">
        <v>316</v>
      </c>
      <c r="C215" s="462"/>
      <c r="D215" s="462"/>
      <c r="E215" s="462"/>
      <c r="F215" s="462"/>
      <c r="G215" s="471"/>
      <c r="H215" s="471"/>
      <c r="I215" s="471"/>
      <c r="J215" s="471"/>
      <c r="K215" s="471"/>
      <c r="L215" s="471"/>
      <c r="M215" s="471"/>
      <c r="N215" s="471"/>
      <c r="O215" s="471"/>
      <c r="P215" s="471"/>
      <c r="Q215" s="471"/>
      <c r="R215" s="471"/>
      <c r="S215" s="1034"/>
      <c r="T215" s="471"/>
      <c r="U215" s="471"/>
      <c r="V215" s="471"/>
      <c r="W215" s="1034">
        <f t="shared" ref="W215:AI215" si="1227">+W214/S214-1</f>
        <v>-1.4155014672880939E-2</v>
      </c>
      <c r="X215" s="471">
        <f t="shared" si="1227"/>
        <v>-0.11881468878491419</v>
      </c>
      <c r="Y215" s="471">
        <f t="shared" si="1227"/>
        <v>0.19680027524514032</v>
      </c>
      <c r="Z215" s="471">
        <f t="shared" si="1227"/>
        <v>-4.1026326339703267E-2</v>
      </c>
      <c r="AA215" s="471">
        <f t="shared" si="1227"/>
        <v>0.12519698826825421</v>
      </c>
      <c r="AB215" s="471">
        <f t="shared" si="1227"/>
        <v>0.19259855189058728</v>
      </c>
      <c r="AC215" s="471">
        <f t="shared" si="1227"/>
        <v>0.12821618513727162</v>
      </c>
      <c r="AD215" s="471">
        <f t="shared" si="1227"/>
        <v>2.6895206243032321E-2</v>
      </c>
      <c r="AE215" s="471">
        <f t="shared" si="1227"/>
        <v>4.6374105197634519E-2</v>
      </c>
      <c r="AF215" s="471">
        <f t="shared" si="1227"/>
        <v>2.077711818672423E-2</v>
      </c>
      <c r="AG215" s="471">
        <f t="shared" si="1227"/>
        <v>-9.4406930819212698E-2</v>
      </c>
      <c r="AH215" s="471">
        <f t="shared" si="1227"/>
        <v>0.18699959288913015</v>
      </c>
      <c r="AI215" s="471">
        <f t="shared" si="1227"/>
        <v>6.3503866745984627E-2</v>
      </c>
      <c r="AJ215" s="471">
        <f t="shared" ref="AJ215:AQ215" si="1228">+AJ214/AF214-1</f>
        <v>1.087239332312917E-3</v>
      </c>
      <c r="AK215" s="471">
        <f t="shared" si="1228"/>
        <v>-0.10867473269555428</v>
      </c>
      <c r="AL215" s="471">
        <f t="shared" si="1228"/>
        <v>-0.59997713501772043</v>
      </c>
      <c r="AM215" s="1034">
        <f t="shared" si="1228"/>
        <v>-9.4532233254090325E-2</v>
      </c>
      <c r="AN215" s="471">
        <f t="shared" si="1228"/>
        <v>7.2414268992380126E-3</v>
      </c>
      <c r="AO215" s="471">
        <f t="shared" si="1228"/>
        <v>0.15743882920792851</v>
      </c>
      <c r="AP215" s="471">
        <f t="shared" si="1228"/>
        <v>1.4678479565590172</v>
      </c>
      <c r="AQ215" s="471">
        <f t="shared" si="1228"/>
        <v>9.5752895752896361E-3</v>
      </c>
      <c r="AR215" s="471">
        <f t="shared" ref="AR215" si="1229">+AR214/AN214-1</f>
        <v>9.3841758358675031E-2</v>
      </c>
      <c r="AS215" s="471">
        <f t="shared" ref="AS215:AT215" si="1230">+AS214/AO214-1</f>
        <v>0.13323332878767213</v>
      </c>
      <c r="AT215" s="471">
        <f t="shared" si="1230"/>
        <v>-0.13839027214823396</v>
      </c>
      <c r="AU215" s="1701">
        <v>0.04</v>
      </c>
      <c r="AV215" s="1701">
        <v>0.04</v>
      </c>
      <c r="AW215" s="1701">
        <v>0.04</v>
      </c>
      <c r="AX215" s="1701">
        <v>0.04</v>
      </c>
      <c r="AY215" s="1701"/>
      <c r="AZ215" s="1701"/>
      <c r="BA215" s="72"/>
      <c r="BB215" s="1701">
        <v>-0.05</v>
      </c>
      <c r="BC215" s="2189"/>
      <c r="BD215" s="72"/>
      <c r="BE215" s="471"/>
      <c r="BF215" s="471"/>
      <c r="BG215" s="471"/>
      <c r="BH215" s="471"/>
      <c r="BI215" s="471"/>
      <c r="BJ215" s="2027"/>
      <c r="BK215" s="471">
        <f t="shared" ref="BK215:BQ215" si="1231">+BK214/BJ214-1</f>
        <v>-3.1749674852726839E-3</v>
      </c>
      <c r="BL215" s="471">
        <f t="shared" si="1231"/>
        <v>0.11500825050846175</v>
      </c>
      <c r="BM215" s="471">
        <f t="shared" si="1231"/>
        <v>3.7479350220264163E-2</v>
      </c>
      <c r="BN215" s="471">
        <f t="shared" si="1231"/>
        <v>-0.18527894998214356</v>
      </c>
      <c r="BO215" s="1034">
        <f t="shared" si="1231"/>
        <v>0.22444465441696493</v>
      </c>
      <c r="BP215" s="471">
        <f t="shared" si="1231"/>
        <v>1.8619458642782138E-2</v>
      </c>
      <c r="BQ215" s="471">
        <f t="shared" si="1231"/>
        <v>7.3544006267955986E-3</v>
      </c>
      <c r="BR215" s="1701">
        <v>0.05</v>
      </c>
      <c r="BS215" s="1701">
        <v>0.03</v>
      </c>
      <c r="BT215" s="1701">
        <v>0.03</v>
      </c>
      <c r="BU215" s="1701">
        <v>0.03</v>
      </c>
    </row>
    <row r="216" spans="1:73" s="325" customFormat="1" ht="15" customHeight="1">
      <c r="B216" s="325" t="s">
        <v>318</v>
      </c>
      <c r="C216" s="471"/>
      <c r="D216" s="471"/>
      <c r="E216" s="471"/>
      <c r="F216" s="471"/>
      <c r="G216" s="471"/>
      <c r="H216" s="471"/>
      <c r="I216" s="471"/>
      <c r="J216" s="471"/>
      <c r="K216" s="471"/>
      <c r="L216" s="471"/>
      <c r="M216" s="471"/>
      <c r="N216" s="471"/>
      <c r="O216" s="471"/>
      <c r="P216" s="471"/>
      <c r="Q216" s="471"/>
      <c r="R216" s="471"/>
      <c r="S216" s="1034">
        <f t="shared" ref="S216:V216" si="1232">+S214/S$144</f>
        <v>-0.14256884798070535</v>
      </c>
      <c r="T216" s="471">
        <f t="shared" si="1232"/>
        <v>-0.14804785894206549</v>
      </c>
      <c r="U216" s="471">
        <f t="shared" si="1232"/>
        <v>-0.12373877133977605</v>
      </c>
      <c r="V216" s="471">
        <f t="shared" si="1232"/>
        <v>-0.14267464917632702</v>
      </c>
      <c r="W216" s="1034">
        <f>+W214/W$144</f>
        <v>-0.13720779376786874</v>
      </c>
      <c r="X216" s="471">
        <f>+X214/X$144</f>
        <v>-0.1563246723847373</v>
      </c>
      <c r="Y216" s="471">
        <f t="shared" ref="Y216:AD216" si="1233">+Y214/Y$144</f>
        <v>-0.11435663094220527</v>
      </c>
      <c r="Z216" s="471">
        <f t="shared" si="1233"/>
        <v>-0.11353352529823117</v>
      </c>
      <c r="AA216" s="471">
        <f t="shared" si="1233"/>
        <v>-0.12391291771920016</v>
      </c>
      <c r="AB216" s="471">
        <f t="shared" si="1233"/>
        <v>-0.13394293149249148</v>
      </c>
      <c r="AC216" s="471">
        <f t="shared" si="1233"/>
        <v>-0.14138521120417905</v>
      </c>
      <c r="AD216" s="471">
        <f t="shared" si="1233"/>
        <v>-0.11997134623837975</v>
      </c>
      <c r="AE216" s="471">
        <f t="shared" ref="AE216:AH216" si="1234">+AE214/AE$144</f>
        <v>-0.1415132063558876</v>
      </c>
      <c r="AF216" s="471">
        <f t="shared" si="1234"/>
        <v>-0.1362016201620162</v>
      </c>
      <c r="AG216" s="471">
        <f t="shared" si="1234"/>
        <v>-0.12302899177845088</v>
      </c>
      <c r="AH216" s="471">
        <f t="shared" si="1234"/>
        <v>-0.1471766051958541</v>
      </c>
      <c r="AI216" s="471">
        <f t="shared" ref="AI216:AL216" si="1235">+AI214/AI$144</f>
        <v>-0.14702798281143986</v>
      </c>
      <c r="AJ216" s="471">
        <f t="shared" si="1235"/>
        <v>-0.13864756456502622</v>
      </c>
      <c r="AK216" s="471">
        <f t="shared" si="1235"/>
        <v>-0.12109133847371788</v>
      </c>
      <c r="AL216" s="471">
        <f t="shared" si="1235"/>
        <v>-5.9484546598211549E-2</v>
      </c>
      <c r="AM216" s="1034">
        <f t="shared" ref="AM216" si="1236">+AM214/AM$144</f>
        <v>-0.13763125451685584</v>
      </c>
      <c r="AN216" s="471">
        <f t="shared" ref="AN216:AP216" si="1237">+AN214/AN$144</f>
        <v>-0.12881635094044444</v>
      </c>
      <c r="AO216" s="471">
        <f t="shared" si="1237"/>
        <v>-0.12271511271072928</v>
      </c>
      <c r="AP216" s="471">
        <f t="shared" si="1237"/>
        <v>-0.12178094942600061</v>
      </c>
      <c r="AQ216" s="471">
        <f t="shared" ref="AQ216:AT216" si="1238">+AQ214/AQ$144</f>
        <v>-0.12710366219036892</v>
      </c>
      <c r="AR216" s="471">
        <f t="shared" si="1238"/>
        <v>-0.14672785455568452</v>
      </c>
      <c r="AS216" s="471">
        <f t="shared" si="1238"/>
        <v>-0.15999229880631499</v>
      </c>
      <c r="AT216" s="471">
        <f t="shared" si="1238"/>
        <v>-0.12013563700952688</v>
      </c>
      <c r="AU216" s="471">
        <f t="shared" ref="AU216:AX216" si="1239">+AU214/AU$144</f>
        <v>-0.1401888443811809</v>
      </c>
      <c r="AV216" s="471">
        <f t="shared" si="1239"/>
        <v>-0.15080518871720075</v>
      </c>
      <c r="AW216" s="471">
        <f t="shared" si="1239"/>
        <v>-0.16548332239794256</v>
      </c>
      <c r="AX216" s="471">
        <f t="shared" si="1239"/>
        <v>-0.11782030746273112</v>
      </c>
      <c r="AY216" s="471"/>
      <c r="AZ216" s="471"/>
      <c r="BA216" s="703"/>
      <c r="BB216" s="471">
        <v>-0.12926767623238081</v>
      </c>
      <c r="BC216" s="2189"/>
      <c r="BD216" s="72"/>
      <c r="BE216" s="471"/>
      <c r="BF216" s="471"/>
      <c r="BG216" s="471"/>
      <c r="BH216" s="471"/>
      <c r="BI216" s="471"/>
      <c r="BJ216" s="2027">
        <f t="shared" ref="BJ216" si="1240">+BJ214/BJ$144</f>
        <v>-0.13927618154598587</v>
      </c>
      <c r="BK216" s="471">
        <f t="shared" ref="BK216:BL216" si="1241">+BK214/BK$144</f>
        <v>-0.12685593558625657</v>
      </c>
      <c r="BL216" s="471">
        <f t="shared" si="1241"/>
        <v>-0.12963673516735527</v>
      </c>
      <c r="BM216" s="471">
        <f t="shared" ref="BM216:BN216" si="1242">+BM214/BM$144</f>
        <v>-0.13685352654899396</v>
      </c>
      <c r="BN216" s="471">
        <f t="shared" si="1242"/>
        <v>-0.1145465059408831</v>
      </c>
      <c r="BO216" s="1034">
        <f>+BO214/BO$144</f>
        <v>-0.12692242256205641</v>
      </c>
      <c r="BP216" s="471">
        <f t="shared" ref="BP216:BQ216" si="1243">+BP214/BP$144</f>
        <v>-0.13787363227252253</v>
      </c>
      <c r="BQ216" s="471">
        <f t="shared" si="1243"/>
        <v>-0.14228513663565032</v>
      </c>
      <c r="BR216" s="471">
        <f>+BR214/BR$144</f>
        <v>-0.14299898808948544</v>
      </c>
      <c r="BS216" s="471">
        <f>+BS214/BS$144</f>
        <v>-0.14179576361615448</v>
      </c>
      <c r="BT216" s="471">
        <f>+BT214/BT$144</f>
        <v>-0.14064745344846077</v>
      </c>
      <c r="BU216" s="471">
        <f>+BU214/BU$144</f>
        <v>-0.13988004972352447</v>
      </c>
    </row>
    <row r="217" spans="1:73" s="1664" customFormat="1" ht="15" customHeight="1">
      <c r="B217" s="1664" t="s">
        <v>320</v>
      </c>
      <c r="C217" s="1665"/>
      <c r="D217" s="1665"/>
      <c r="E217" s="1665"/>
      <c r="F217" s="1665"/>
      <c r="G217" s="1665"/>
      <c r="H217" s="1665"/>
      <c r="I217" s="1665"/>
      <c r="J217" s="1665"/>
      <c r="K217" s="1665"/>
      <c r="L217" s="1665"/>
      <c r="M217" s="1665"/>
      <c r="N217" s="1665"/>
      <c r="O217" s="1665"/>
      <c r="P217" s="1665"/>
      <c r="Q217" s="1665"/>
      <c r="R217" s="1665"/>
      <c r="S217" s="1666">
        <f>-36.4+119.8-173-T217</f>
        <v>-148.6</v>
      </c>
      <c r="T217" s="1665">
        <f>-19.1+175-96.9</f>
        <v>59</v>
      </c>
      <c r="U217" s="1665">
        <f>273.3-19.6-19.5</f>
        <v>234.20000000000002</v>
      </c>
      <c r="V217" s="1665">
        <f>-18.1+20.3-11.4</f>
        <v>-9.2000000000000011</v>
      </c>
      <c r="W217" s="1666">
        <v>2.7091927488883525</v>
      </c>
      <c r="X217" s="1665">
        <v>110.35735251303892</v>
      </c>
      <c r="Y217" s="1665">
        <v>-26.08881145325995</v>
      </c>
      <c r="Z217" s="1665">
        <v>-10.773325267912538</v>
      </c>
      <c r="AA217" s="1665">
        <v>10.562849993198508</v>
      </c>
      <c r="AB217" s="1665">
        <v>-6.5487556940574612</v>
      </c>
      <c r="AC217" s="1665">
        <v>247.73031945493926</v>
      </c>
      <c r="AD217" s="1665">
        <v>45.24781754498315</v>
      </c>
      <c r="AE217" s="1665">
        <v>37.001478660386994</v>
      </c>
      <c r="AF217" s="1665">
        <v>18.715234277277428</v>
      </c>
      <c r="AG217" s="1665">
        <v>58.1</v>
      </c>
      <c r="AH217" s="1665">
        <v>-43.4</v>
      </c>
      <c r="AI217" s="1665">
        <v>34</v>
      </c>
      <c r="AJ217" s="1665">
        <v>-4.5</v>
      </c>
      <c r="AK217" s="1665">
        <v>-35.597999999999999</v>
      </c>
      <c r="AL217" s="1665">
        <v>118.2</v>
      </c>
      <c r="AM217" s="1666">
        <v>103.1</v>
      </c>
      <c r="AN217" s="1665">
        <v>56.062147563910024</v>
      </c>
      <c r="AO217" s="1665">
        <v>4.5999999999999996</v>
      </c>
      <c r="AP217" s="1665">
        <v>14.8</v>
      </c>
      <c r="AQ217" s="1665">
        <v>20.7</v>
      </c>
      <c r="AR217" s="1665">
        <v>21.2</v>
      </c>
      <c r="AS217" s="1665">
        <v>12</v>
      </c>
      <c r="AT217" s="1665">
        <v>52</v>
      </c>
      <c r="AU217" s="1702">
        <v>0</v>
      </c>
      <c r="AV217" s="1702">
        <v>0</v>
      </c>
      <c r="AW217" s="1702">
        <v>0</v>
      </c>
      <c r="AX217" s="1702">
        <v>0</v>
      </c>
      <c r="AY217" s="1702"/>
      <c r="AZ217" s="1702"/>
      <c r="BA217" s="2256"/>
      <c r="BB217" s="1702">
        <v>0</v>
      </c>
      <c r="BC217" s="2197"/>
      <c r="BD217" s="2256"/>
      <c r="BE217" s="1668"/>
      <c r="BF217" s="1668"/>
      <c r="BG217" s="1668"/>
      <c r="BH217" s="1668"/>
      <c r="BI217" s="1668"/>
      <c r="BJ217" s="2035">
        <f>+SUM(S217:V217)</f>
        <v>135.40000000000003</v>
      </c>
      <c r="BK217" s="1668">
        <f>+SUM(W217:Z217)</f>
        <v>76.204408540754784</v>
      </c>
      <c r="BL217" s="1668">
        <f>+SUM(AA217:AD217)</f>
        <v>296.99223129906346</v>
      </c>
      <c r="BM217" s="1668">
        <f>+SUM(AE217:AH217)</f>
        <v>70.416712937664414</v>
      </c>
      <c r="BN217" s="1668">
        <f>+SUM(AI217:AL217)</f>
        <v>112.102</v>
      </c>
      <c r="BO217" s="2465">
        <f>+SUM(AM217:AP217)</f>
        <v>178.56214756391003</v>
      </c>
      <c r="BP217" s="1668">
        <f>+SUM(AQ217:AT217)</f>
        <v>105.9</v>
      </c>
      <c r="BQ217" s="1668">
        <f>+SUM(AU217:AX217)</f>
        <v>0</v>
      </c>
      <c r="BR217" s="1702">
        <v>0</v>
      </c>
      <c r="BS217" s="1702">
        <v>0</v>
      </c>
      <c r="BT217" s="1702">
        <v>0</v>
      </c>
      <c r="BU217" s="1702">
        <v>0</v>
      </c>
    </row>
    <row r="218" spans="1:73" s="1664" customFormat="1" ht="15" customHeight="1">
      <c r="B218" s="1664" t="s">
        <v>321</v>
      </c>
      <c r="C218" s="1665"/>
      <c r="D218" s="1665"/>
      <c r="E218" s="1665"/>
      <c r="F218" s="1665"/>
      <c r="G218" s="1665"/>
      <c r="H218" s="1665"/>
      <c r="I218" s="1665"/>
      <c r="J218" s="1665"/>
      <c r="K218" s="1665"/>
      <c r="L218" s="1665"/>
      <c r="M218" s="1665"/>
      <c r="N218" s="1665"/>
      <c r="O218" s="1665"/>
      <c r="P218" s="1665"/>
      <c r="Q218" s="1665"/>
      <c r="R218" s="1665"/>
      <c r="S218" s="1666"/>
      <c r="T218" s="1665"/>
      <c r="U218" s="1665"/>
      <c r="V218" s="1665"/>
      <c r="W218" s="1666">
        <v>-10.53833931216715</v>
      </c>
      <c r="X218" s="1665">
        <v>-24.324055375377622</v>
      </c>
      <c r="Y218" s="1665">
        <v>-30.652535840420754</v>
      </c>
      <c r="Z218" s="1665">
        <v>-57.465208339883851</v>
      </c>
      <c r="AA218" s="1665">
        <v>-55.948612934455284</v>
      </c>
      <c r="AB218" s="1665">
        <v>-37.843618399248172</v>
      </c>
      <c r="AC218" s="1665">
        <v>-51.660052404783215</v>
      </c>
      <c r="AD218" s="1665">
        <v>-42.581643364979286</v>
      </c>
      <c r="AE218" s="1665">
        <v>-35.22600253931833</v>
      </c>
      <c r="AF218" s="1665">
        <v>-99.941635752698659</v>
      </c>
      <c r="AG218" s="1665">
        <v>-64.099999999999994</v>
      </c>
      <c r="AH218" s="1665">
        <v>-56.9</v>
      </c>
      <c r="AI218" s="1665">
        <v>-26.1</v>
      </c>
      <c r="AJ218" s="1665">
        <v>-98.7</v>
      </c>
      <c r="AK218" s="1665">
        <v>-206.46299999999999</v>
      </c>
      <c r="AL218" s="1665">
        <v>-167</v>
      </c>
      <c r="AM218" s="1666">
        <v>-42.1</v>
      </c>
      <c r="AN218" s="1665">
        <v>-66.485642999084149</v>
      </c>
      <c r="AO218" s="1665">
        <v>-121.1</v>
      </c>
      <c r="AP218" s="1665">
        <v>-257.2</v>
      </c>
      <c r="AQ218" s="1665">
        <v>-125.72184535813324</v>
      </c>
      <c r="AR218" s="1665">
        <v>-87.7</v>
      </c>
      <c r="AS218" s="1665">
        <v>-108</v>
      </c>
      <c r="AT218" s="1665">
        <v>-105</v>
      </c>
      <c r="AU218" s="1702"/>
      <c r="AV218" s="1702"/>
      <c r="AW218" s="1702"/>
      <c r="AX218" s="1702"/>
      <c r="AY218" s="1702"/>
      <c r="AZ218" s="1702"/>
      <c r="BA218" s="2256"/>
      <c r="BB218" s="1702">
        <v>-100</v>
      </c>
      <c r="BC218" s="2197">
        <f>+AT218/BB218-1</f>
        <v>5.0000000000000044E-2</v>
      </c>
      <c r="BD218" s="2256"/>
      <c r="BE218" s="1668"/>
      <c r="BF218" s="1668"/>
      <c r="BG218" s="1668"/>
      <c r="BH218" s="1668"/>
      <c r="BI218" s="1668"/>
      <c r="BJ218" s="2035">
        <f>+SUM(S218:V218)</f>
        <v>0</v>
      </c>
      <c r="BK218" s="1668">
        <f>+SUM(W218:Z218)</f>
        <v>-122.98013886784938</v>
      </c>
      <c r="BL218" s="1668">
        <f>+SUM(AA218:AD218)</f>
        <v>-188.03392710346594</v>
      </c>
      <c r="BM218" s="1668">
        <f>+SUM(AE218:AH218)</f>
        <v>-256.16763829201699</v>
      </c>
      <c r="BN218" s="1668">
        <f>+SUM(AI218:AL218)</f>
        <v>-498.26300000000003</v>
      </c>
      <c r="BO218" s="2465">
        <f>+SUM(AM218:AP218)</f>
        <v>-486.8856429990841</v>
      </c>
      <c r="BP218" s="1668">
        <f>+SUM(AQ218:AT218)</f>
        <v>-426.42184535813323</v>
      </c>
      <c r="BQ218" s="1668">
        <f>+SUM(AU218:AX218)</f>
        <v>0</v>
      </c>
      <c r="BR218" s="1702">
        <v>0</v>
      </c>
      <c r="BS218" s="1702">
        <v>-50</v>
      </c>
      <c r="BT218" s="1702">
        <v>-50</v>
      </c>
      <c r="BU218" s="1702">
        <v>-50</v>
      </c>
    </row>
    <row r="219" spans="1:73" s="943" customFormat="1" ht="15" customHeight="1">
      <c r="B219" s="943" t="s">
        <v>322</v>
      </c>
      <c r="C219" s="904"/>
      <c r="D219" s="904"/>
      <c r="E219" s="904"/>
      <c r="F219" s="904"/>
      <c r="G219" s="904"/>
      <c r="H219" s="904"/>
      <c r="I219" s="904"/>
      <c r="J219" s="904"/>
      <c r="K219" s="904"/>
      <c r="L219" s="904"/>
      <c r="M219" s="904"/>
      <c r="N219" s="904"/>
      <c r="O219" s="904"/>
      <c r="P219" s="904"/>
      <c r="Q219" s="904"/>
      <c r="R219" s="904"/>
      <c r="S219" s="1038">
        <f t="shared" ref="S219:V219" si="1244">+S214+S211+S217</f>
        <v>-2387.1</v>
      </c>
      <c r="T219" s="904">
        <f t="shared" si="1244"/>
        <v>-2492.8000000000002</v>
      </c>
      <c r="U219" s="904">
        <f t="shared" si="1244"/>
        <v>-2245.8000000000002</v>
      </c>
      <c r="V219" s="904">
        <f t="shared" si="1244"/>
        <v>-2823.0999999999995</v>
      </c>
      <c r="W219" s="1038">
        <f t="shared" ref="W219:AI219" si="1245">+W214+W211+W217+W218</f>
        <v>-2431.3291465632788</v>
      </c>
      <c r="X219" s="904">
        <f t="shared" si="1245"/>
        <v>-2258.3667028623386</v>
      </c>
      <c r="Y219" s="904">
        <f t="shared" si="1245"/>
        <v>-2968.6413472936802</v>
      </c>
      <c r="Z219" s="904">
        <f t="shared" si="1245"/>
        <v>-3326.4385336077962</v>
      </c>
      <c r="AA219" s="904">
        <f t="shared" si="1245"/>
        <v>-2777.8857629412569</v>
      </c>
      <c r="AB219" s="904">
        <f t="shared" si="1245"/>
        <v>-3012.0923740933054</v>
      </c>
      <c r="AC219" s="904">
        <f t="shared" si="1245"/>
        <v>-2882.5297329498439</v>
      </c>
      <c r="AD219" s="904">
        <f t="shared" si="1245"/>
        <v>-3183.7338258199961</v>
      </c>
      <c r="AE219" s="904">
        <f t="shared" si="1245"/>
        <v>-2662.8245238789314</v>
      </c>
      <c r="AF219" s="904">
        <f t="shared" si="1245"/>
        <v>-3005.1264014754215</v>
      </c>
      <c r="AG219" s="904">
        <f t="shared" si="1245"/>
        <v>-3123.5</v>
      </c>
      <c r="AH219" s="904">
        <f t="shared" si="1245"/>
        <v>-3359.2</v>
      </c>
      <c r="AI219" s="904">
        <f t="shared" si="1245"/>
        <v>-2711.2</v>
      </c>
      <c r="AJ219" s="904">
        <f>+AJ214+AJ211+AJ217+AJ218</f>
        <v>-3120.0755310671466</v>
      </c>
      <c r="AK219" s="904">
        <f t="shared" ref="AK219:AP219" si="1246">+AK214+AK211+AK217+AK218</f>
        <v>-3154.6650000000004</v>
      </c>
      <c r="AL219" s="904">
        <f t="shared" si="1246"/>
        <v>-2740.4</v>
      </c>
      <c r="AM219" s="1038">
        <f t="shared" si="1246"/>
        <v>-2596.4</v>
      </c>
      <c r="AN219" s="904">
        <f t="shared" si="1246"/>
        <v>-3284.2387190718523</v>
      </c>
      <c r="AO219" s="904">
        <f t="shared" si="1246"/>
        <v>-3473.7</v>
      </c>
      <c r="AP219" s="904">
        <f t="shared" si="1246"/>
        <v>-4294.0999999999995</v>
      </c>
      <c r="AQ219" s="904">
        <f t="shared" ref="AQ219:AS219" si="1247">+AQ214+AQ211+AQ217+AQ218</f>
        <v>-3003.1218453581337</v>
      </c>
      <c r="AR219" s="904">
        <f t="shared" si="1247"/>
        <v>-3245.4</v>
      </c>
      <c r="AS219" s="904">
        <f t="shared" si="1247"/>
        <v>-3235</v>
      </c>
      <c r="AT219" s="904">
        <f>+AT214+AT211+AT217+AT218</f>
        <v>-3310</v>
      </c>
      <c r="AU219" s="904">
        <f t="shared" ref="AU219:AX219" si="1248">+AU214+AU211+AU217+AU218</f>
        <v>-2686.8133910938423</v>
      </c>
      <c r="AV219" s="904">
        <f t="shared" si="1248"/>
        <v>-3274.1809593295234</v>
      </c>
      <c r="AW219" s="904">
        <f t="shared" si="1248"/>
        <v>-3045.3197106919752</v>
      </c>
      <c r="AX219" s="904">
        <f t="shared" si="1248"/>
        <v>-3513.2291056592994</v>
      </c>
      <c r="AY219" s="904"/>
      <c r="AZ219" s="904"/>
      <c r="BA219" s="738"/>
      <c r="BB219" s="904">
        <v>-3744.2685846573872</v>
      </c>
      <c r="BC219" s="2197">
        <f>+AT219/BB219-1</f>
        <v>-0.11598222051613971</v>
      </c>
      <c r="BD219" s="738"/>
      <c r="BE219" s="906"/>
      <c r="BF219" s="906"/>
      <c r="BG219" s="906"/>
      <c r="BH219" s="906"/>
      <c r="BI219" s="906"/>
      <c r="BJ219" s="2036">
        <f>+SUM(S219:V219)</f>
        <v>-9948.7999999999993</v>
      </c>
      <c r="BK219" s="906">
        <f>+SUM(W219:Z219)</f>
        <v>-10984.775730327094</v>
      </c>
      <c r="BL219" s="906">
        <f>+SUM(AA219:AD219)</f>
        <v>-11856.241695804403</v>
      </c>
      <c r="BM219" s="906">
        <f>+SUM(AE219:AH219)</f>
        <v>-12150.650925354352</v>
      </c>
      <c r="BN219" s="906">
        <f>+SUM(AI219:AL219)</f>
        <v>-11726.340531067146</v>
      </c>
      <c r="BO219" s="2466">
        <f>+SUM(AM219:AP219)</f>
        <v>-13648.438719071852</v>
      </c>
      <c r="BP219" s="906">
        <f>+SUM(AQ219:AT219)</f>
        <v>-12793.521845358133</v>
      </c>
      <c r="BQ219" s="906">
        <f>+SUM(AU219:AX219)</f>
        <v>-12519.543166774638</v>
      </c>
      <c r="BR219" s="904">
        <f t="shared" ref="BR219:BU219" si="1249">+BR214+BR211+BR217+BR218</f>
        <v>-12982.783986090806</v>
      </c>
      <c r="BS219" s="904">
        <f t="shared" si="1249"/>
        <v>-13507.421114358305</v>
      </c>
      <c r="BT219" s="904">
        <f t="shared" si="1249"/>
        <v>-13996.248522549671</v>
      </c>
      <c r="BU219" s="904">
        <f t="shared" si="1249"/>
        <v>-14474.019140606433</v>
      </c>
    </row>
    <row r="220" spans="1:73" s="325" customFormat="1" ht="15" customHeight="1">
      <c r="B220" s="325" t="s">
        <v>316</v>
      </c>
      <c r="C220" s="462"/>
      <c r="D220" s="462"/>
      <c r="E220" s="462"/>
      <c r="F220" s="462"/>
      <c r="G220" s="471"/>
      <c r="H220" s="471"/>
      <c r="I220" s="471"/>
      <c r="J220" s="471"/>
      <c r="K220" s="471"/>
      <c r="L220" s="471"/>
      <c r="M220" s="471"/>
      <c r="N220" s="471"/>
      <c r="O220" s="471"/>
      <c r="P220" s="471"/>
      <c r="Q220" s="471"/>
      <c r="R220" s="471"/>
      <c r="S220" s="1034"/>
      <c r="T220" s="471"/>
      <c r="U220" s="471"/>
      <c r="V220" s="471"/>
      <c r="W220" s="1034">
        <f t="shared" ref="W220:Z220" si="1250">+W219/S219-1</f>
        <v>1.8528401224615187E-2</v>
      </c>
      <c r="X220" s="471">
        <f t="shared" si="1250"/>
        <v>-9.4044166053298128E-2</v>
      </c>
      <c r="Y220" s="471">
        <f t="shared" si="1250"/>
        <v>0.32186363313459787</v>
      </c>
      <c r="Z220" s="471">
        <f t="shared" si="1250"/>
        <v>0.17829284602309414</v>
      </c>
      <c r="AA220" s="471">
        <f>+AA219/W219-1</f>
        <v>0.14253792698855317</v>
      </c>
      <c r="AB220" s="471">
        <f>+AB219/X219-1</f>
        <v>0.33374813323082853</v>
      </c>
      <c r="AC220" s="471">
        <f>+AC219/Y219-1</f>
        <v>-2.9007079087656984E-2</v>
      </c>
      <c r="AD220" s="471">
        <f>+AD219/Z219-1</f>
        <v>-4.2900148716418673E-2</v>
      </c>
      <c r="AE220" s="471">
        <f t="shared" ref="AE220:AH220" si="1251">+AE219/AA219-1</f>
        <v>-4.1420435857123739E-2</v>
      </c>
      <c r="AF220" s="471">
        <f t="shared" si="1251"/>
        <v>-2.3126689864485517E-3</v>
      </c>
      <c r="AG220" s="471">
        <f t="shared" si="1251"/>
        <v>8.3596801897879658E-2</v>
      </c>
      <c r="AH220" s="471">
        <f t="shared" si="1251"/>
        <v>5.5113330378619541E-2</v>
      </c>
      <c r="AI220" s="471">
        <f t="shared" ref="AI220" si="1252">+AI219/AE219-1</f>
        <v>1.8166978592565997E-2</v>
      </c>
      <c r="AJ220" s="471">
        <f t="shared" ref="AJ220" si="1253">+AJ219/AF219-1</f>
        <v>3.8251013180440108E-2</v>
      </c>
      <c r="AK220" s="471">
        <f t="shared" ref="AK220" si="1254">+AK219/AG219-1</f>
        <v>9.9775892428366486E-3</v>
      </c>
      <c r="AL220" s="471">
        <f t="shared" ref="AL220" si="1255">+AL219/AH219-1</f>
        <v>-0.18421052631578938</v>
      </c>
      <c r="AM220" s="1034">
        <f t="shared" ref="AM220" si="1256">+AM219/AI219-1</f>
        <v>-4.2342874004130948E-2</v>
      </c>
      <c r="AN220" s="471">
        <f t="shared" ref="AN220" si="1257">+AN219/AJ219-1</f>
        <v>5.2615132669098452E-2</v>
      </c>
      <c r="AO220" s="471">
        <f t="shared" ref="AO220" si="1258">+AO219/AK219-1</f>
        <v>0.10113118191630477</v>
      </c>
      <c r="AP220" s="471">
        <f t="shared" ref="AP220" si="1259">+AP219/AL219-1</f>
        <v>0.56696102758721323</v>
      </c>
      <c r="AQ220" s="471">
        <f t="shared" ref="AQ220" si="1260">+AQ219/AM219-1</f>
        <v>0.15664837673630161</v>
      </c>
      <c r="AR220" s="471">
        <f t="shared" ref="AR220" si="1261">+AR219/AN219-1</f>
        <v>-1.182579050856214E-2</v>
      </c>
      <c r="AS220" s="471">
        <f t="shared" ref="AS220" si="1262">+AS219/AO219-1</f>
        <v>-6.8716354319601547E-2</v>
      </c>
      <c r="AT220" s="471">
        <f t="shared" ref="AT220" si="1263">+AT219/AP219-1</f>
        <v>-0.22917491441745641</v>
      </c>
      <c r="AU220" s="471">
        <f t="shared" ref="AU220" si="1264">+AU219/AQ219-1</f>
        <v>-0.10532654702412525</v>
      </c>
      <c r="AV220" s="471">
        <f t="shared" ref="AV220" si="1265">+AV219/AR219-1</f>
        <v>8.8682317524875209E-3</v>
      </c>
      <c r="AW220" s="471">
        <f t="shared" ref="AW220" si="1266">+AW219/AS219-1</f>
        <v>-5.8633783402789796E-2</v>
      </c>
      <c r="AX220" s="471">
        <f t="shared" ref="AX220" si="1267">+AX219/AT219-1</f>
        <v>6.1398521347220347E-2</v>
      </c>
      <c r="AY220" s="471"/>
      <c r="AZ220" s="471"/>
      <c r="BA220" s="72"/>
      <c r="BB220" s="471">
        <v>-0.12804345854605437</v>
      </c>
      <c r="BC220" s="2189"/>
      <c r="BD220" s="72"/>
      <c r="BE220" s="471"/>
      <c r="BF220" s="471"/>
      <c r="BG220" s="471"/>
      <c r="BH220" s="471"/>
      <c r="BI220" s="471"/>
      <c r="BJ220" s="2027"/>
      <c r="BK220" s="471"/>
      <c r="BL220" s="471">
        <f t="shared" ref="BL220:BQ220" si="1268">+BL219/BK219-1</f>
        <v>7.9333978851415354E-2</v>
      </c>
      <c r="BM220" s="471">
        <f t="shared" si="1268"/>
        <v>2.4831581297312111E-2</v>
      </c>
      <c r="BN220" s="471">
        <f t="shared" si="1268"/>
        <v>-3.4920795346182754E-2</v>
      </c>
      <c r="BO220" s="1034">
        <f t="shared" si="1268"/>
        <v>0.16391287485745454</v>
      </c>
      <c r="BP220" s="471">
        <f t="shared" si="1268"/>
        <v>-6.2638437356141496E-2</v>
      </c>
      <c r="BQ220" s="471">
        <f t="shared" si="1268"/>
        <v>-2.1415422734663347E-2</v>
      </c>
      <c r="BR220" s="471">
        <f t="shared" ref="BR220" si="1269">+BR219/BQ219-1</f>
        <v>3.7001415558480799E-2</v>
      </c>
      <c r="BS220" s="471">
        <f t="shared" ref="BS220" si="1270">+BS219/BR219-1</f>
        <v>4.0410217779913271E-2</v>
      </c>
      <c r="BT220" s="471">
        <f t="shared" ref="BT220" si="1271">+BT219/BS219-1</f>
        <v>3.6189543810975611E-2</v>
      </c>
      <c r="BU220" s="471">
        <f t="shared" ref="BU220" si="1272">+BU219/BT219-1</f>
        <v>3.4135619790332639E-2</v>
      </c>
    </row>
    <row r="221" spans="1:73" s="325" customFormat="1" ht="15" customHeight="1">
      <c r="B221" s="325" t="s">
        <v>318</v>
      </c>
      <c r="C221" s="471"/>
      <c r="D221" s="471"/>
      <c r="E221" s="471"/>
      <c r="F221" s="471"/>
      <c r="G221" s="471"/>
      <c r="H221" s="471"/>
      <c r="I221" s="471"/>
      <c r="J221" s="471"/>
      <c r="K221" s="471"/>
      <c r="L221" s="471"/>
      <c r="M221" s="471"/>
      <c r="N221" s="471"/>
      <c r="O221" s="471"/>
      <c r="P221" s="471"/>
      <c r="Q221" s="471"/>
      <c r="R221" s="471"/>
      <c r="S221" s="1034">
        <f t="shared" ref="S221:V221" si="1273">+S219/S$144</f>
        <v>-0.58747815814731874</v>
      </c>
      <c r="T221" s="471">
        <f t="shared" si="1273"/>
        <v>-0.52325776658270362</v>
      </c>
      <c r="U221" s="471">
        <f t="shared" si="1273"/>
        <v>-0.47805355698412022</v>
      </c>
      <c r="V221" s="471">
        <f t="shared" si="1273"/>
        <v>-0.53826647345942635</v>
      </c>
      <c r="W221" s="1034">
        <f>+W219/W$144</f>
        <v>-0.58413116463572512</v>
      </c>
      <c r="X221" s="471">
        <f t="shared" ref="X221:AD221" si="1274">+X219/X$144</f>
        <v>-0.56804253411030481</v>
      </c>
      <c r="Y221" s="471">
        <f t="shared" si="1274"/>
        <v>-0.48797444725058847</v>
      </c>
      <c r="Z221" s="471">
        <f t="shared" si="1274"/>
        <v>-0.52628524722459835</v>
      </c>
      <c r="AA221" s="471">
        <f t="shared" si="1274"/>
        <v>-0.53566126669261982</v>
      </c>
      <c r="AB221" s="471">
        <f t="shared" si="1274"/>
        <v>-0.54431797424748463</v>
      </c>
      <c r="AC221" s="471">
        <f t="shared" si="1274"/>
        <v>-0.51923439303788954</v>
      </c>
      <c r="AD221" s="471">
        <f t="shared" si="1274"/>
        <v>-0.51832926197352713</v>
      </c>
      <c r="AE221" s="471">
        <f t="shared" ref="AE221:AH221" si="1275">+AE219/AE$144</f>
        <v>-0.56041766260737269</v>
      </c>
      <c r="AF221" s="471">
        <f t="shared" si="1275"/>
        <v>-0.54097684995057094</v>
      </c>
      <c r="AG221" s="471">
        <f t="shared" si="1275"/>
        <v>-0.54063176114236267</v>
      </c>
      <c r="AH221" s="471">
        <f t="shared" si="1275"/>
        <v>-0.56521739130434778</v>
      </c>
      <c r="AI221" s="471">
        <f t="shared" ref="AI221:AL221" si="1276">+AI219/AI$144</f>
        <v>-0.55743569710302854</v>
      </c>
      <c r="AJ221" s="471">
        <f t="shared" si="1276"/>
        <v>-0.57113541453141892</v>
      </c>
      <c r="AK221" s="471">
        <f t="shared" si="1276"/>
        <v>-0.6029519303582509</v>
      </c>
      <c r="AL221" s="471">
        <f t="shared" si="1276"/>
        <v>-0.46588011288293496</v>
      </c>
      <c r="AM221" s="1034">
        <f t="shared" ref="AM221:AP221" si="1277">+AM219/AM$144</f>
        <v>-0.5518853887684394</v>
      </c>
      <c r="AN221" s="471">
        <f t="shared" si="1277"/>
        <v>-0.55454126300607709</v>
      </c>
      <c r="AO221" s="471">
        <f t="shared" si="1277"/>
        <v>-0.58131117826709444</v>
      </c>
      <c r="AP221" s="471">
        <f t="shared" si="1277"/>
        <v>-0.6056046032775787</v>
      </c>
      <c r="AQ221" s="471">
        <f t="shared" ref="AQ221:AT221" si="1278">+AQ219/AQ$144</f>
        <v>-0.58391889941703767</v>
      </c>
      <c r="AR221" s="471">
        <f t="shared" si="1278"/>
        <v>-0.57062981327144213</v>
      </c>
      <c r="AS221" s="471">
        <f t="shared" si="1278"/>
        <v>-0.62283403927608783</v>
      </c>
      <c r="AT221" s="471">
        <f t="shared" si="1278"/>
        <v>-0.53447440658808332</v>
      </c>
      <c r="AU221" s="471">
        <f t="shared" ref="AU221:AX221" si="1279">+AU219/AU$144</f>
        <v>-0.5751888443811809</v>
      </c>
      <c r="AV221" s="471">
        <f t="shared" si="1279"/>
        <v>-0.58580518871720078</v>
      </c>
      <c r="AW221" s="471">
        <f t="shared" si="1279"/>
        <v>-0.60048332239794255</v>
      </c>
      <c r="AX221" s="471">
        <f t="shared" si="1279"/>
        <v>-0.55282030746273103</v>
      </c>
      <c r="AY221" s="471"/>
      <c r="AZ221" s="471"/>
      <c r="BA221" s="72"/>
      <c r="BB221" s="471">
        <v>-0.59002578140196371</v>
      </c>
      <c r="BC221" s="2189"/>
      <c r="BD221" s="72"/>
      <c r="BE221" s="471"/>
      <c r="BF221" s="471"/>
      <c r="BG221" s="471"/>
      <c r="BH221" s="471"/>
      <c r="BI221" s="471"/>
      <c r="BJ221" s="2027">
        <f t="shared" ref="BJ221:BO221" si="1280">+BJ219/BJ$144</f>
        <v>-0.53004011742204271</v>
      </c>
      <c r="BK221" s="471">
        <f t="shared" si="1280"/>
        <v>-0.53474193272030712</v>
      </c>
      <c r="BL221" s="471">
        <f t="shared" si="1280"/>
        <v>-0.5289800608477252</v>
      </c>
      <c r="BM221" s="471">
        <f t="shared" si="1280"/>
        <v>-0.55162031149462265</v>
      </c>
      <c r="BN221" s="471">
        <f t="shared" si="1280"/>
        <v>-0.546915362475208</v>
      </c>
      <c r="BO221" s="1034">
        <f t="shared" si="1280"/>
        <v>-0.5760470300804833</v>
      </c>
      <c r="BP221" s="471">
        <f t="shared" ref="BP221:BQ221" si="1281">+BP219/BP$144</f>
        <v>-0.57583224287587853</v>
      </c>
      <c r="BQ221" s="471">
        <f t="shared" si="1281"/>
        <v>-0.57728513663565018</v>
      </c>
      <c r="BR221" s="471">
        <f>+BR219/BR$144</f>
        <v>-0.57299898808948546</v>
      </c>
      <c r="BS221" s="471">
        <f>+BS219/BS$144</f>
        <v>-0.57392022624074335</v>
      </c>
      <c r="BT221" s="471">
        <f>+BT219/BT$144</f>
        <v>-0.57269333500766928</v>
      </c>
      <c r="BU221" s="471">
        <f>+BU219/BU$144</f>
        <v>-0.57185550484518055</v>
      </c>
    </row>
    <row r="222" spans="1:73" s="325" customFormat="1" ht="15" customHeight="1">
      <c r="C222" s="462"/>
      <c r="D222" s="462"/>
      <c r="E222" s="462"/>
      <c r="F222" s="462"/>
      <c r="G222" s="462"/>
      <c r="H222" s="462"/>
      <c r="I222" s="462"/>
      <c r="J222" s="462"/>
      <c r="K222" s="462"/>
      <c r="L222" s="462"/>
      <c r="M222" s="462"/>
      <c r="N222" s="462"/>
      <c r="O222" s="462"/>
      <c r="P222" s="462"/>
      <c r="Q222" s="462"/>
      <c r="R222" s="462"/>
      <c r="S222" s="1039"/>
      <c r="T222" s="462"/>
      <c r="U222" s="462"/>
      <c r="V222" s="462"/>
      <c r="W222" s="1039"/>
      <c r="X222" s="462"/>
      <c r="Y222" s="462"/>
      <c r="Z222" s="462"/>
      <c r="AA222" s="462"/>
      <c r="AB222" s="462"/>
      <c r="AC222" s="462"/>
      <c r="AD222" s="462"/>
      <c r="AE222" s="462"/>
      <c r="AF222" s="462"/>
      <c r="AG222" s="462"/>
      <c r="AH222" s="462"/>
      <c r="AI222" s="462"/>
      <c r="AJ222" s="462"/>
      <c r="AK222" s="462"/>
      <c r="AL222" s="462"/>
      <c r="AM222" s="1039"/>
      <c r="AN222" s="462"/>
      <c r="AO222" s="462"/>
      <c r="AP222" s="462"/>
      <c r="AQ222" s="462"/>
      <c r="AR222" s="462"/>
      <c r="AS222" s="462"/>
      <c r="AT222" s="462"/>
      <c r="AU222" s="462"/>
      <c r="AV222" s="462"/>
      <c r="AW222" s="462"/>
      <c r="AX222" s="462"/>
      <c r="AY222" s="2649">
        <f>12800000-AY224</f>
        <v>9100000</v>
      </c>
      <c r="AZ222" s="2649">
        <f>+AY222*1.1+AY228+370000</f>
        <v>13432500</v>
      </c>
      <c r="BA222" s="72"/>
      <c r="BB222" s="462"/>
      <c r="BC222" s="2189"/>
      <c r="BD222" s="72"/>
      <c r="BE222" s="337"/>
      <c r="BF222" s="337"/>
      <c r="BG222" s="337"/>
      <c r="BH222" s="337"/>
      <c r="BI222" s="337"/>
      <c r="BJ222" s="2022"/>
      <c r="BK222" s="337"/>
      <c r="BL222" s="337"/>
      <c r="BM222" s="337"/>
      <c r="BN222" s="337"/>
      <c r="BO222" s="1966"/>
      <c r="BP222" s="337"/>
      <c r="BQ222" s="337"/>
      <c r="BR222" s="462"/>
      <c r="BS222" s="462"/>
      <c r="BT222" s="462"/>
      <c r="BU222" s="462"/>
    </row>
    <row r="223" spans="1:73" s="325" customFormat="1" ht="15" customHeight="1">
      <c r="C223" s="462"/>
      <c r="D223" s="462"/>
      <c r="E223" s="462"/>
      <c r="F223" s="462"/>
      <c r="G223" s="462"/>
      <c r="H223" s="462"/>
      <c r="I223" s="462"/>
      <c r="J223" s="462"/>
      <c r="K223" s="462"/>
      <c r="L223" s="462"/>
      <c r="M223" s="462"/>
      <c r="N223" s="462"/>
      <c r="O223" s="462"/>
      <c r="P223" s="462"/>
      <c r="Q223" s="462"/>
      <c r="R223" s="462"/>
      <c r="S223" s="1039"/>
      <c r="T223" s="462"/>
      <c r="U223" s="462"/>
      <c r="V223" s="462"/>
      <c r="W223" s="1039"/>
      <c r="X223" s="462"/>
      <c r="Y223" s="462"/>
      <c r="Z223" s="462"/>
      <c r="AA223" s="462"/>
      <c r="AB223" s="462"/>
      <c r="AC223" s="462"/>
      <c r="AD223" s="462"/>
      <c r="AE223" s="462"/>
      <c r="AF223" s="462"/>
      <c r="AG223" s="462"/>
      <c r="AH223" s="462"/>
      <c r="AI223" s="462"/>
      <c r="AJ223" s="462"/>
      <c r="AK223" s="462"/>
      <c r="AL223" s="462"/>
      <c r="AM223" s="1039"/>
      <c r="AN223" s="462"/>
      <c r="AO223" s="462"/>
      <c r="AP223" s="462"/>
      <c r="AQ223" s="462"/>
      <c r="AR223" s="462"/>
      <c r="AS223" s="462"/>
      <c r="AT223" s="462"/>
      <c r="AU223" s="462"/>
      <c r="AV223" s="462"/>
      <c r="AW223" s="462"/>
      <c r="AX223" s="462"/>
      <c r="AY223" s="643">
        <f>+AY224/12794000</f>
        <v>0.28919806159137096</v>
      </c>
      <c r="AZ223" s="462"/>
      <c r="BA223" s="72"/>
      <c r="BB223" s="462"/>
      <c r="BC223" s="2189"/>
      <c r="BD223" s="72"/>
      <c r="BE223" s="337"/>
      <c r="BF223" s="337"/>
      <c r="BG223" s="337"/>
      <c r="BH223" s="337"/>
      <c r="BI223" s="337"/>
      <c r="BJ223" s="2022"/>
      <c r="BK223" s="337"/>
      <c r="BL223" s="337"/>
      <c r="BM223" s="337"/>
      <c r="BN223" s="337"/>
      <c r="BO223" s="1966"/>
      <c r="BP223" s="337"/>
      <c r="BQ223" s="337"/>
      <c r="BR223" s="462"/>
      <c r="BS223" s="462"/>
      <c r="BT223" s="462"/>
      <c r="BU223" s="462"/>
    </row>
    <row r="224" spans="1:73" s="484" customFormat="1" ht="15" customHeight="1">
      <c r="A224" s="483"/>
      <c r="B224" s="484" t="s">
        <v>323</v>
      </c>
      <c r="C224" s="485"/>
      <c r="D224" s="485"/>
      <c r="E224" s="485"/>
      <c r="F224" s="485"/>
      <c r="G224" s="485"/>
      <c r="H224" s="485"/>
      <c r="I224" s="485"/>
      <c r="J224" s="485"/>
      <c r="K224" s="485"/>
      <c r="L224" s="485"/>
      <c r="M224" s="485"/>
      <c r="N224" s="485"/>
      <c r="O224" s="485"/>
      <c r="P224" s="485"/>
      <c r="Q224" s="485"/>
      <c r="R224" s="485"/>
      <c r="S224" s="1040">
        <f t="shared" ref="S224:AP224" si="1282">+S207+S219</f>
        <v>88.5</v>
      </c>
      <c r="T224" s="485">
        <f t="shared" si="1282"/>
        <v>459.09999999999991</v>
      </c>
      <c r="U224" s="485">
        <f t="shared" si="1282"/>
        <v>671.29999999999973</v>
      </c>
      <c r="V224" s="485">
        <f t="shared" si="1282"/>
        <v>408.10000000000036</v>
      </c>
      <c r="W224" s="1042">
        <f t="shared" si="1282"/>
        <v>12.870853436721063</v>
      </c>
      <c r="X224" s="946">
        <f t="shared" si="1282"/>
        <v>208.83329713766125</v>
      </c>
      <c r="Y224" s="946">
        <f t="shared" si="1282"/>
        <v>730.95865270631975</v>
      </c>
      <c r="Z224" s="485">
        <f t="shared" si="1282"/>
        <v>542.06146639220378</v>
      </c>
      <c r="AA224" s="485">
        <f t="shared" si="1282"/>
        <v>361.01423705874322</v>
      </c>
      <c r="AB224" s="485">
        <f t="shared" si="1282"/>
        <v>344.10762590669447</v>
      </c>
      <c r="AC224" s="485">
        <f t="shared" si="1282"/>
        <v>510.07026705015596</v>
      </c>
      <c r="AD224" s="485">
        <f t="shared" si="1282"/>
        <v>508.86617418000378</v>
      </c>
      <c r="AE224" s="485">
        <f t="shared" si="1282"/>
        <v>173.67547612106864</v>
      </c>
      <c r="AF224" s="485">
        <f t="shared" si="1282"/>
        <v>275.87359852457848</v>
      </c>
      <c r="AG224" s="485">
        <f t="shared" si="1282"/>
        <v>373.19999999999982</v>
      </c>
      <c r="AH224" s="485">
        <f t="shared" si="1282"/>
        <v>173.5</v>
      </c>
      <c r="AI224" s="485">
        <f t="shared" si="1282"/>
        <v>410.69999999999982</v>
      </c>
      <c r="AJ224" s="485">
        <f t="shared" si="1282"/>
        <v>385.96718079725497</v>
      </c>
      <c r="AK224" s="485">
        <f t="shared" si="1282"/>
        <v>178.20599999999968</v>
      </c>
      <c r="AL224" s="485">
        <f t="shared" si="1282"/>
        <v>344.40000000000009</v>
      </c>
      <c r="AM224" s="1040">
        <f t="shared" si="1282"/>
        <v>504.19999999999982</v>
      </c>
      <c r="AN224" s="485">
        <f t="shared" si="1282"/>
        <v>585.49287037229669</v>
      </c>
      <c r="AO224" s="485">
        <f t="shared" si="1282"/>
        <v>548.60000000000036</v>
      </c>
      <c r="AP224" s="946">
        <f t="shared" si="1282"/>
        <v>185.60000000000036</v>
      </c>
      <c r="AQ224" s="485">
        <f>+AQ207+AQ219</f>
        <v>464.06488075021662</v>
      </c>
      <c r="AR224" s="946">
        <f t="shared" ref="AR224:AS224" si="1283">+AR207+AR219</f>
        <v>532.90000000000009</v>
      </c>
      <c r="AS224" s="946">
        <f t="shared" si="1283"/>
        <v>257</v>
      </c>
      <c r="AT224" s="946">
        <f>+AT207+AT219</f>
        <v>686</v>
      </c>
      <c r="AU224" s="946">
        <f t="shared" ref="AU224:AX224" si="1284">+AU207+AU219</f>
        <v>462.26781446527366</v>
      </c>
      <c r="AV224" s="946">
        <f t="shared" si="1284"/>
        <v>438.88042566175591</v>
      </c>
      <c r="AW224" s="946">
        <f t="shared" si="1284"/>
        <v>364.28657672913278</v>
      </c>
      <c r="AX224" s="946">
        <f t="shared" si="1284"/>
        <v>587.36594741863337</v>
      </c>
      <c r="AY224" s="2649">
        <v>3700000</v>
      </c>
      <c r="AZ224" s="904"/>
      <c r="BA224" s="85"/>
      <c r="BB224" s="946">
        <v>427.00836538563499</v>
      </c>
      <c r="BC224" s="2197">
        <f>+AT224/BB224-1</f>
        <v>0.60652590349246993</v>
      </c>
      <c r="BD224" s="85"/>
      <c r="BE224" s="485"/>
      <c r="BF224" s="485"/>
      <c r="BG224" s="485"/>
      <c r="BH224" s="462"/>
      <c r="BI224" s="462"/>
      <c r="BJ224" s="2045">
        <f>+SUM(S224:V224)</f>
        <v>1627</v>
      </c>
      <c r="BK224" s="485">
        <f>+SUM(W224:Z224)</f>
        <v>1494.7242696729058</v>
      </c>
      <c r="BL224" s="485">
        <f>+SUM(AA224:AD224)</f>
        <v>1724.0583041955974</v>
      </c>
      <c r="BM224" s="485">
        <f>+SUM(AE224:AH224)</f>
        <v>996.24907464564694</v>
      </c>
      <c r="BN224" s="485">
        <f>+SUM(AI224:AL224)</f>
        <v>1319.2731807972546</v>
      </c>
      <c r="BO224" s="1040">
        <f>+SUM(AM224:AP224)</f>
        <v>1823.8928703722972</v>
      </c>
      <c r="BP224" s="485">
        <f>+SUM(AQ224:AT224)</f>
        <v>1939.9648807502167</v>
      </c>
      <c r="BQ224" s="485">
        <f>+SUM(AU224:AX224)</f>
        <v>1852.8007642747957</v>
      </c>
      <c r="BR224" s="946">
        <f t="shared" ref="BR224:BU224" si="1285">+BR207+BR219</f>
        <v>2032.8430102376224</v>
      </c>
      <c r="BS224" s="946">
        <f t="shared" si="1285"/>
        <v>2089.9140498375436</v>
      </c>
      <c r="BT224" s="946">
        <f t="shared" si="1285"/>
        <v>2200.1707913522823</v>
      </c>
      <c r="BU224" s="946">
        <f t="shared" si="1285"/>
        <v>2299.8145123401009</v>
      </c>
    </row>
    <row r="225" spans="1:73" s="325" customFormat="1" ht="15" customHeight="1">
      <c r="B225" s="325" t="s">
        <v>316</v>
      </c>
      <c r="C225" s="462"/>
      <c r="D225" s="462"/>
      <c r="E225" s="462"/>
      <c r="F225" s="462"/>
      <c r="G225" s="471"/>
      <c r="H225" s="471"/>
      <c r="I225" s="471"/>
      <c r="J225" s="471"/>
      <c r="K225" s="471"/>
      <c r="L225" s="471"/>
      <c r="M225" s="471"/>
      <c r="N225" s="471"/>
      <c r="O225" s="471"/>
      <c r="P225" s="471"/>
      <c r="Q225" s="471"/>
      <c r="R225" s="471"/>
      <c r="S225" s="1034"/>
      <c r="T225" s="471"/>
      <c r="U225" s="471"/>
      <c r="V225" s="471"/>
      <c r="W225" s="1034">
        <f t="shared" ref="W225:Z225" si="1286">+W224/S224-1</f>
        <v>-0.85456662783366033</v>
      </c>
      <c r="X225" s="471">
        <f t="shared" si="1286"/>
        <v>-0.54512459782691947</v>
      </c>
      <c r="Y225" s="471">
        <f t="shared" si="1286"/>
        <v>8.8870330264144259E-2</v>
      </c>
      <c r="Z225" s="471">
        <f t="shared" si="1286"/>
        <v>0.32825647241412237</v>
      </c>
      <c r="AA225" s="471">
        <f>+AA224/W224-1</f>
        <v>27.048974283923943</v>
      </c>
      <c r="AB225" s="471">
        <f>+AB224/X224-1</f>
        <v>0.64776226120617841</v>
      </c>
      <c r="AC225" s="471">
        <f>+AC224/Y224-1</f>
        <v>-0.30218998685950438</v>
      </c>
      <c r="AD225" s="471">
        <f>+AD224/Z224-1</f>
        <v>-6.1238981684379357E-2</v>
      </c>
      <c r="AE225" s="471">
        <f t="shared" ref="AE225:AH225" si="1287">+AE224/AA224-1</f>
        <v>-0.51892347089677615</v>
      </c>
      <c r="AF225" s="471">
        <f t="shared" si="1287"/>
        <v>-0.19829269171912445</v>
      </c>
      <c r="AG225" s="471">
        <f t="shared" si="1287"/>
        <v>-0.26833610169380351</v>
      </c>
      <c r="AH225" s="471">
        <f t="shared" si="1287"/>
        <v>-0.65904591658193623</v>
      </c>
      <c r="AI225" s="471">
        <f t="shared" ref="AI225" si="1288">+AI224/AE224-1</f>
        <v>1.3647552848146627</v>
      </c>
      <c r="AJ225" s="471">
        <f t="shared" ref="AJ225" si="1289">+AJ224/AF224-1</f>
        <v>0.39907255663998553</v>
      </c>
      <c r="AK225" s="471">
        <f t="shared" ref="AK225" si="1290">+AK224/AG224-1</f>
        <v>-0.52249196141479159</v>
      </c>
      <c r="AL225" s="471">
        <f t="shared" ref="AL225" si="1291">+AL224/AH224-1</f>
        <v>0.98501440922190264</v>
      </c>
      <c r="AM225" s="1034">
        <f t="shared" ref="AM225" si="1292">+AM224/AI224-1</f>
        <v>0.22766009252495745</v>
      </c>
      <c r="AN225" s="471">
        <f t="shared" ref="AN225" si="1293">+AN224/AJ224-1</f>
        <v>0.51694988460651214</v>
      </c>
      <c r="AO225" s="471">
        <f t="shared" ref="AO225" si="1294">+AO224/AK224-1</f>
        <v>2.0784597600529802</v>
      </c>
      <c r="AP225" s="471">
        <f t="shared" ref="AP225" si="1295">+AP224/AL224-1</f>
        <v>-0.4610917537746797</v>
      </c>
      <c r="AQ225" s="471">
        <f t="shared" ref="AQ225" si="1296">+AQ224/AM224-1</f>
        <v>-7.9601585184020607E-2</v>
      </c>
      <c r="AR225" s="471">
        <f t="shared" ref="AR225" si="1297">+AR224/AN224-1</f>
        <v>-8.9826662344930752E-2</v>
      </c>
      <c r="AS225" s="471">
        <f t="shared" ref="AS225" si="1298">+AS224/AO224-1</f>
        <v>-0.53153481589500573</v>
      </c>
      <c r="AT225" s="471">
        <f t="shared" ref="AT225" si="1299">+AT224/AP224-1</f>
        <v>2.696120689655165</v>
      </c>
      <c r="AU225" s="471">
        <f t="shared" ref="AU225" si="1300">+AU224/AQ224-1</f>
        <v>-3.8724462020004458E-3</v>
      </c>
      <c r="AV225" s="471">
        <f t="shared" ref="AV225" si="1301">+AV224/AR224-1</f>
        <v>-0.17643005130088973</v>
      </c>
      <c r="AW225" s="471">
        <f t="shared" ref="AW225" si="1302">+AW224/AS224-1</f>
        <v>0.41745749700051671</v>
      </c>
      <c r="AX225" s="471">
        <f t="shared" ref="AX225" si="1303">+AX224/AT224-1</f>
        <v>-0.14378141775709419</v>
      </c>
      <c r="AY225" s="463">
        <f>1400/0.25</f>
        <v>5600</v>
      </c>
      <c r="AZ225" s="471"/>
      <c r="BA225" s="72"/>
      <c r="BB225" s="471">
        <v>1.3006916238450117</v>
      </c>
      <c r="BC225" s="2189"/>
      <c r="BD225" s="72"/>
      <c r="BE225" s="471"/>
      <c r="BF225" s="471"/>
      <c r="BG225" s="471"/>
      <c r="BH225" s="471"/>
      <c r="BI225" s="471"/>
      <c r="BJ225" s="2027"/>
      <c r="BK225" s="471"/>
      <c r="BL225" s="471">
        <f t="shared" ref="BL225:BQ225" si="1304">+BL224/BK224-1</f>
        <v>0.15342898966434615</v>
      </c>
      <c r="BM225" s="471">
        <f t="shared" si="1304"/>
        <v>-0.42214884947845666</v>
      </c>
      <c r="BN225" s="471">
        <f t="shared" si="1304"/>
        <v>0.32424030734131737</v>
      </c>
      <c r="BO225" s="1034">
        <f t="shared" si="1304"/>
        <v>0.38249825503925905</v>
      </c>
      <c r="BP225" s="471">
        <f t="shared" si="1304"/>
        <v>6.3639708375101245E-2</v>
      </c>
      <c r="BQ225" s="471">
        <f t="shared" si="1304"/>
        <v>-4.4930770314622004E-2</v>
      </c>
      <c r="BR225" s="471">
        <f t="shared" ref="BR225:BU225" si="1305">+BR224/BN224-1</f>
        <v>0.54088102436005547</v>
      </c>
      <c r="BS225" s="471">
        <f t="shared" si="1305"/>
        <v>0.14585351134737734</v>
      </c>
      <c r="BT225" s="471">
        <f t="shared" si="1305"/>
        <v>0.13412918614353453</v>
      </c>
      <c r="BU225" s="471">
        <f t="shared" si="1305"/>
        <v>0.24126379731944403</v>
      </c>
    </row>
    <row r="226" spans="1:73" s="326" customFormat="1" ht="15" customHeight="1">
      <c r="B226" s="326" t="s">
        <v>324</v>
      </c>
      <c r="C226" s="643"/>
      <c r="D226" s="643"/>
      <c r="E226" s="643"/>
      <c r="F226" s="643"/>
      <c r="G226" s="643"/>
      <c r="H226" s="643"/>
      <c r="I226" s="643"/>
      <c r="J226" s="643"/>
      <c r="K226" s="643"/>
      <c r="L226" s="643"/>
      <c r="M226" s="643"/>
      <c r="N226" s="643"/>
      <c r="O226" s="643"/>
      <c r="P226" s="643"/>
      <c r="Q226" s="643"/>
      <c r="R226" s="643"/>
      <c r="S226" s="1041">
        <f t="shared" ref="S226:V226" si="1306">+S224/S$144</f>
        <v>2.1780326335736965E-2</v>
      </c>
      <c r="T226" s="643">
        <f t="shared" si="1306"/>
        <v>9.6368597816960513E-2</v>
      </c>
      <c r="U226" s="643">
        <f t="shared" si="1306"/>
        <v>0.14289667503938008</v>
      </c>
      <c r="V226" s="643">
        <f t="shared" si="1306"/>
        <v>7.7810402684563823E-2</v>
      </c>
      <c r="W226" s="1041">
        <f t="shared" ref="W226:AD226" si="1307">+W224/W$144</f>
        <v>3.0922454980950587E-3</v>
      </c>
      <c r="X226" s="643">
        <f t="shared" si="1307"/>
        <v>5.2527428412018323E-2</v>
      </c>
      <c r="Y226" s="643">
        <f>+Y224/Y$144</f>
        <v>0.12015231979523962</v>
      </c>
      <c r="Z226" s="643">
        <f t="shared" si="1307"/>
        <v>8.576107749140964E-2</v>
      </c>
      <c r="AA226" s="643">
        <f t="shared" si="1307"/>
        <v>6.9614577423155716E-2</v>
      </c>
      <c r="AB226" s="643">
        <f t="shared" si="1307"/>
        <v>6.2184004537053778E-2</v>
      </c>
      <c r="AC226" s="643">
        <f t="shared" si="1307"/>
        <v>9.1879720264821399E-2</v>
      </c>
      <c r="AD226" s="643">
        <f t="shared" si="1307"/>
        <v>8.2846193474757621E-2</v>
      </c>
      <c r="AE226" s="643">
        <f t="shared" ref="AE226:AH226" si="1308">+AE224/AE$144</f>
        <v>3.6551715483756422E-2</v>
      </c>
      <c r="AF226" s="643">
        <f t="shared" si="1308"/>
        <v>4.9662213955819712E-2</v>
      </c>
      <c r="AG226" s="643">
        <f t="shared" si="1308"/>
        <v>6.4595413241021166E-2</v>
      </c>
      <c r="AH226" s="643">
        <f t="shared" si="1308"/>
        <v>2.9193027325346614E-2</v>
      </c>
      <c r="AI226" s="643">
        <f t="shared" ref="AI226:AL226" si="1309">+AI224/AI$144</f>
        <v>8.444188580710156E-2</v>
      </c>
      <c r="AJ226" s="643">
        <f t="shared" si="1309"/>
        <v>7.0651983775779706E-2</v>
      </c>
      <c r="AK226" s="643">
        <f t="shared" si="1309"/>
        <v>3.4060558474963983E-2</v>
      </c>
      <c r="AL226" s="643">
        <f t="shared" si="1309"/>
        <v>5.8549522287579495E-2</v>
      </c>
      <c r="AM226" s="1041">
        <f t="shared" ref="AM226:AP226" si="1310">+AM224/AM$144</f>
        <v>0.10717170428941881</v>
      </c>
      <c r="AN226" s="643">
        <f t="shared" si="1310"/>
        <v>9.8860035335392268E-2</v>
      </c>
      <c r="AO226" s="643">
        <f t="shared" si="1310"/>
        <v>9.1806233237564622E-2</v>
      </c>
      <c r="AP226" s="643">
        <f t="shared" si="1310"/>
        <v>2.6175499957690515E-2</v>
      </c>
      <c r="AQ226" s="643">
        <f t="shared" ref="AQ226:AT226" si="1311">+AQ224/AQ$144</f>
        <v>9.0231521856033906E-2</v>
      </c>
      <c r="AR226" s="643">
        <f t="shared" si="1311"/>
        <v>9.3698350740232819E-2</v>
      </c>
      <c r="AS226" s="643">
        <f t="shared" si="1311"/>
        <v>4.9480169426261073E-2</v>
      </c>
      <c r="AT226" s="643">
        <f t="shared" si="1311"/>
        <v>0.11077022444695624</v>
      </c>
      <c r="AU226" s="643">
        <f t="shared" ref="AU226:AX226" si="1312">+AU224/AU$144</f>
        <v>9.8961576891890696E-2</v>
      </c>
      <c r="AV226" s="643">
        <f t="shared" si="1312"/>
        <v>7.8522975294474301E-2</v>
      </c>
      <c r="AW226" s="643">
        <f t="shared" si="1312"/>
        <v>7.1830886304406275E-2</v>
      </c>
      <c r="AX226" s="643">
        <f t="shared" si="1312"/>
        <v>9.2424323572308537E-2</v>
      </c>
      <c r="AY226" s="462">
        <f>+AY224/AY225</f>
        <v>660.71428571428567</v>
      </c>
      <c r="AZ226" s="643"/>
      <c r="BA226" s="85"/>
      <c r="BB226" s="643">
        <v>6.7288427300385117E-2</v>
      </c>
      <c r="BC226" s="2197"/>
      <c r="BD226" s="85"/>
      <c r="BE226" s="643"/>
      <c r="BF226" s="643"/>
      <c r="BG226" s="643"/>
      <c r="BH226" s="643"/>
      <c r="BI226" s="643"/>
      <c r="BJ226" s="2037">
        <f t="shared" ref="BJ226" si="1313">+BJ224/BJ$144</f>
        <v>8.6681335542544188E-2</v>
      </c>
      <c r="BK226" s="643">
        <f t="shared" ref="BK226:BL226" si="1314">+BK224/BK$144</f>
        <v>7.2763592491208617E-2</v>
      </c>
      <c r="BL226" s="643">
        <f t="shared" si="1314"/>
        <v>7.6920873414814239E-2</v>
      </c>
      <c r="BM226" s="643">
        <f t="shared" ref="BM226:BN226" si="1315">+BM224/BM$144</f>
        <v>4.5228130431722913E-2</v>
      </c>
      <c r="BN226" s="643">
        <f t="shared" si="1315"/>
        <v>6.1530770658413482E-2</v>
      </c>
      <c r="BO226" s="1041">
        <f t="shared" ref="BO226:BP226" si="1316">+BO224/BO$144</f>
        <v>7.6979359528851515E-2</v>
      </c>
      <c r="BP226" s="643">
        <f t="shared" si="1316"/>
        <v>8.7317186141996406E-2</v>
      </c>
      <c r="BQ226" s="643">
        <f t="shared" ref="BQ226" si="1317">+BQ224/BQ$144</f>
        <v>8.5433975354754749E-2</v>
      </c>
      <c r="BR226" s="643">
        <f>+BR224/BR$144</f>
        <v>8.9720123900919532E-2</v>
      </c>
      <c r="BS226" s="643">
        <f>+BS224/BS$144</f>
        <v>8.8798885749661702E-2</v>
      </c>
      <c r="BT226" s="643">
        <f>+BT224/BT$144</f>
        <v>9.0025776982735742E-2</v>
      </c>
      <c r="BU226" s="643">
        <f>+BU224/BU$144</f>
        <v>9.0863607145224387E-2</v>
      </c>
    </row>
    <row r="227" spans="1:73" s="325" customFormat="1" ht="15" customHeight="1">
      <c r="C227" s="462"/>
      <c r="D227" s="462"/>
      <c r="E227" s="462"/>
      <c r="F227" s="462"/>
      <c r="G227" s="462"/>
      <c r="H227" s="462"/>
      <c r="I227" s="462"/>
      <c r="J227" s="462"/>
      <c r="K227" s="462"/>
      <c r="L227" s="462"/>
      <c r="M227" s="462"/>
      <c r="N227" s="462"/>
      <c r="O227" s="462"/>
      <c r="P227" s="462"/>
      <c r="Q227" s="462"/>
      <c r="R227" s="462"/>
      <c r="S227" s="1039"/>
      <c r="T227" s="462"/>
      <c r="U227" s="462"/>
      <c r="V227" s="462"/>
      <c r="W227" s="1039"/>
      <c r="X227" s="462"/>
      <c r="Y227" s="462"/>
      <c r="Z227" s="462"/>
      <c r="AA227" s="462"/>
      <c r="AB227" s="462"/>
      <c r="AC227" s="462"/>
      <c r="AD227" s="462"/>
      <c r="AE227" s="462"/>
      <c r="AF227" s="462"/>
      <c r="AG227" s="462"/>
      <c r="AH227" s="462"/>
      <c r="AI227" s="462"/>
      <c r="AJ227" s="462"/>
      <c r="AK227" s="462"/>
      <c r="AL227" s="462"/>
      <c r="AM227" s="1039"/>
      <c r="AN227" s="462"/>
      <c r="AO227" s="462"/>
      <c r="AP227" s="462"/>
      <c r="AQ227" s="462"/>
      <c r="AR227" s="462"/>
      <c r="AS227" s="462"/>
      <c r="AT227" s="462"/>
      <c r="AU227" s="462"/>
      <c r="AV227" s="462"/>
      <c r="AW227" s="462"/>
      <c r="AX227" s="462"/>
      <c r="AY227" s="2649">
        <f>+AY226*(AY225*0.75)</f>
        <v>2775000</v>
      </c>
      <c r="AZ227" s="462"/>
      <c r="BA227" s="72"/>
      <c r="BB227" s="462"/>
      <c r="BC227" s="2189"/>
      <c r="BD227" s="72"/>
      <c r="BE227" s="337"/>
      <c r="BF227" s="337"/>
      <c r="BG227" s="337"/>
      <c r="BH227" s="337"/>
      <c r="BI227" s="337"/>
      <c r="BJ227" s="2022"/>
      <c r="BK227" s="337"/>
      <c r="BL227" s="337"/>
      <c r="BM227" s="337"/>
      <c r="BN227" s="337"/>
      <c r="BO227" s="1966"/>
      <c r="BP227" s="337"/>
      <c r="BQ227" s="337"/>
      <c r="BR227" s="462"/>
      <c r="BS227" s="462"/>
      <c r="BT227" s="462"/>
      <c r="BU227" s="462"/>
    </row>
    <row r="228" spans="1:73" s="326" customFormat="1" ht="15" customHeight="1">
      <c r="B228" s="326" t="s">
        <v>325</v>
      </c>
      <c r="C228" s="817"/>
      <c r="D228" s="817"/>
      <c r="E228" s="817"/>
      <c r="F228" s="817"/>
      <c r="G228" s="817"/>
      <c r="H228" s="817"/>
      <c r="I228" s="817"/>
      <c r="J228" s="817"/>
      <c r="K228" s="817"/>
      <c r="L228" s="817"/>
      <c r="M228" s="817"/>
      <c r="N228" s="817"/>
      <c r="O228" s="817"/>
      <c r="P228" s="817"/>
      <c r="Q228" s="817"/>
      <c r="R228" s="817"/>
      <c r="S228" s="1036">
        <f>268.4-T228</f>
        <v>130.09999999999997</v>
      </c>
      <c r="T228" s="817">
        <v>138.30000000000001</v>
      </c>
      <c r="U228" s="817">
        <v>143.9</v>
      </c>
      <c r="V228" s="817">
        <v>159.69999999999999</v>
      </c>
      <c r="W228" s="1831">
        <v>221.9</v>
      </c>
      <c r="X228" s="907">
        <v>237</v>
      </c>
      <c r="Y228" s="907">
        <v>241.1</v>
      </c>
      <c r="Z228" s="817">
        <v>174.6</v>
      </c>
      <c r="AA228" s="817">
        <v>213.3</v>
      </c>
      <c r="AB228" s="817">
        <v>215.8</v>
      </c>
      <c r="AC228" s="817">
        <v>209.3</v>
      </c>
      <c r="AD228" s="817">
        <v>233.5</v>
      </c>
      <c r="AE228" s="817">
        <v>219.6</v>
      </c>
      <c r="AF228" s="817">
        <v>226</v>
      </c>
      <c r="AG228" s="817">
        <v>214.3</v>
      </c>
      <c r="AH228" s="817">
        <v>252.6</v>
      </c>
      <c r="AI228" s="817">
        <v>226.9</v>
      </c>
      <c r="AJ228" s="817">
        <v>239</v>
      </c>
      <c r="AK228" s="817">
        <v>245.26916199999999</v>
      </c>
      <c r="AL228" s="817">
        <v>210.3</v>
      </c>
      <c r="AM228" s="1036">
        <v>226.5</v>
      </c>
      <c r="AN228" s="817">
        <v>241.74670868516733</v>
      </c>
      <c r="AO228" s="817">
        <v>227.8</v>
      </c>
      <c r="AP228" s="817">
        <v>261.2</v>
      </c>
      <c r="AQ228" s="817">
        <v>218.4</v>
      </c>
      <c r="AR228" s="817">
        <v>210.5074069686853</v>
      </c>
      <c r="AS228" s="817">
        <f>+AS89</f>
        <v>239.2</v>
      </c>
      <c r="AT228" s="817">
        <v>241</v>
      </c>
      <c r="AU228" s="677">
        <f>+AU89</f>
        <v>178.24633344875491</v>
      </c>
      <c r="AV228" s="677">
        <f>+AV89</f>
        <v>181.45200087421478</v>
      </c>
      <c r="AW228" s="677">
        <f>+AW89</f>
        <v>311.15469204673326</v>
      </c>
      <c r="AX228" s="677">
        <f>+AX89</f>
        <v>217.99477120996403</v>
      </c>
      <c r="AY228" s="2649">
        <f>+AY227*1.1</f>
        <v>3052500.0000000005</v>
      </c>
      <c r="AZ228" s="677"/>
      <c r="BA228" s="85"/>
      <c r="BB228" s="677">
        <v>239.2</v>
      </c>
      <c r="BC228" s="2197"/>
      <c r="BD228" s="85"/>
      <c r="BE228" s="330"/>
      <c r="BF228" s="330"/>
      <c r="BG228" s="330"/>
      <c r="BH228" s="330"/>
      <c r="BI228" s="330"/>
      <c r="BJ228" s="2038">
        <f>+SUM(S228:V228)</f>
        <v>572</v>
      </c>
      <c r="BK228" s="330">
        <f>+SUM(W228:Z228)</f>
        <v>874.6</v>
      </c>
      <c r="BL228" s="330">
        <f>+SUM(AA228:AD228)</f>
        <v>871.90000000000009</v>
      </c>
      <c r="BM228" s="330">
        <f>+SUM(AE228:AH228)</f>
        <v>912.50000000000011</v>
      </c>
      <c r="BN228" s="330">
        <f>+SUM(AI228:AL228)</f>
        <v>921.46916199999987</v>
      </c>
      <c r="BO228" s="1859">
        <f>+SUM(AM228:AP228)</f>
        <v>957.24670868516728</v>
      </c>
      <c r="BP228" s="330">
        <f>+SUM(AQ228:AT228)</f>
        <v>909.10740696868538</v>
      </c>
      <c r="BQ228" s="330">
        <f>+SUM(AU228:AX228)</f>
        <v>888.84779757966703</v>
      </c>
      <c r="BR228" s="677">
        <f>+BR89</f>
        <v>787.82603698856678</v>
      </c>
      <c r="BS228" s="677">
        <f>+BS89</f>
        <v>743.1902933518445</v>
      </c>
      <c r="BT228" s="677">
        <f>+BT89</f>
        <v>722.63140051103619</v>
      </c>
      <c r="BU228" s="677">
        <f>+BU89</f>
        <v>712.53625208724384</v>
      </c>
    </row>
    <row r="229" spans="1:73" s="325" customFormat="1" ht="15" customHeight="1">
      <c r="B229" s="325" t="s">
        <v>318</v>
      </c>
      <c r="C229" s="471"/>
      <c r="D229" s="471"/>
      <c r="E229" s="471"/>
      <c r="F229" s="471"/>
      <c r="G229" s="471"/>
      <c r="H229" s="471"/>
      <c r="I229" s="471"/>
      <c r="J229" s="471"/>
      <c r="K229" s="471"/>
      <c r="L229" s="471"/>
      <c r="M229" s="471"/>
      <c r="N229" s="471"/>
      <c r="O229" s="471"/>
      <c r="P229" s="471"/>
      <c r="Q229" s="471"/>
      <c r="R229" s="471"/>
      <c r="S229" s="1034">
        <f t="shared" ref="S229:T229" si="1318">+S228/S$144</f>
        <v>3.2018310240444957E-2</v>
      </c>
      <c r="T229" s="471">
        <f t="shared" si="1318"/>
        <v>2.903022670025189E-2</v>
      </c>
      <c r="U229" s="471">
        <f t="shared" ref="U229" si="1319">+U228/U$144</f>
        <v>3.0631359359700284E-2</v>
      </c>
      <c r="V229" s="471">
        <f t="shared" ref="V229" si="1320">+V228/V$144</f>
        <v>3.0449206833435018E-2</v>
      </c>
      <c r="W229" s="1034">
        <f>+W228/W$144</f>
        <v>5.3311870840640992E-2</v>
      </c>
      <c r="X229" s="471">
        <f>+X228/X$144</f>
        <v>5.9612143773423554E-2</v>
      </c>
      <c r="Y229" s="471">
        <f t="shared" ref="Y229:AD229" si="1321">+Y228/Y$144</f>
        <v>3.9631139456900513E-2</v>
      </c>
      <c r="Z229" s="471">
        <f t="shared" si="1321"/>
        <v>2.7623959750656582E-2</v>
      </c>
      <c r="AA229" s="471">
        <f t="shared" si="1321"/>
        <v>4.1130758402591651E-2</v>
      </c>
      <c r="AB229" s="471">
        <f t="shared" si="1321"/>
        <v>3.8997415833890527E-2</v>
      </c>
      <c r="AC229" s="471">
        <f t="shared" si="1321"/>
        <v>3.7701522111141132E-2</v>
      </c>
      <c r="AD229" s="471">
        <f t="shared" si="1321"/>
        <v>3.8015075785943375E-2</v>
      </c>
      <c r="AE229" s="471">
        <f t="shared" ref="AE229:AF229" si="1322">+AE228/AE$144</f>
        <v>4.6216984110280961E-2</v>
      </c>
      <c r="AF229" s="471">
        <f t="shared" si="1322"/>
        <v>4.0684068406840683E-2</v>
      </c>
      <c r="AG229" s="471">
        <f t="shared" ref="AG229:AH229" si="1323">+AG228/AG$144</f>
        <v>3.7092167892687149E-2</v>
      </c>
      <c r="AH229" s="471">
        <f t="shared" si="1323"/>
        <v>4.2502355633328846E-2</v>
      </c>
      <c r="AI229" s="471">
        <f t="shared" ref="AI229:AK229" si="1324">+AI228/AI$144</f>
        <v>4.6651726052182499E-2</v>
      </c>
      <c r="AJ229" s="471">
        <f t="shared" si="1324"/>
        <v>4.3749378088395866E-2</v>
      </c>
      <c r="AK229" s="471">
        <f t="shared" si="1324"/>
        <v>4.687835782412729E-2</v>
      </c>
      <c r="AL229" s="471">
        <f t="shared" ref="AL229" si="1325">+AL228/AL$144</f>
        <v>3.5751929550168308E-2</v>
      </c>
      <c r="AM229" s="1034">
        <f t="shared" ref="AM229:AP229" si="1326">+AM228/AM$144</f>
        <v>4.8144369340645324E-2</v>
      </c>
      <c r="AN229" s="471">
        <f t="shared" si="1326"/>
        <v>4.0818751810989158E-2</v>
      </c>
      <c r="AO229" s="471">
        <f t="shared" si="1326"/>
        <v>3.812150917155889E-2</v>
      </c>
      <c r="AP229" s="471">
        <f t="shared" si="1326"/>
        <v>3.6837503173215241E-2</v>
      </c>
      <c r="AQ229" s="471">
        <f t="shared" ref="AQ229:AT229" si="1327">+AQ228/AQ$144</f>
        <v>4.2465106046162715E-2</v>
      </c>
      <c r="AR229" s="471">
        <f t="shared" si="1327"/>
        <v>3.701294211215763E-2</v>
      </c>
      <c r="AS229" s="471">
        <f t="shared" si="1327"/>
        <v>4.6053138236426643E-2</v>
      </c>
      <c r="AT229" s="471">
        <f t="shared" si="1327"/>
        <v>3.8914903923784917E-2</v>
      </c>
      <c r="AU229" s="471">
        <f t="shared" ref="AU229:AX229" si="1328">+AU228/AU$144</f>
        <v>3.8158698661923951E-2</v>
      </c>
      <c r="AV229" s="471">
        <f t="shared" si="1328"/>
        <v>3.2464767505397722E-2</v>
      </c>
      <c r="AW229" s="471">
        <f t="shared" si="1328"/>
        <v>6.1354215980651654E-2</v>
      </c>
      <c r="AX229" s="471">
        <f t="shared" si="1328"/>
        <v>3.4302327807609501E-2</v>
      </c>
      <c r="AY229" s="471"/>
      <c r="AZ229" s="471"/>
      <c r="BA229" s="72"/>
      <c r="BB229" s="471">
        <v>3.7693387565642257E-2</v>
      </c>
      <c r="BC229" s="2189"/>
      <c r="BD229" s="72"/>
      <c r="BE229" s="471"/>
      <c r="BF229" s="471"/>
      <c r="BG229" s="471"/>
      <c r="BH229" s="471"/>
      <c r="BI229" s="471"/>
      <c r="BJ229" s="2027">
        <f t="shared" ref="BJ229" si="1329">+BJ228/BJ$144</f>
        <v>3.0474323251588983E-2</v>
      </c>
      <c r="BK229" s="471">
        <f t="shared" ref="BK229:BL229" si="1330">+BK228/BK$144</f>
        <v>4.2575770852196944E-2</v>
      </c>
      <c r="BL229" s="471">
        <f t="shared" si="1330"/>
        <v>3.8900836106971731E-2</v>
      </c>
      <c r="BM229" s="471">
        <f t="shared" ref="BM229:BN229" si="1331">+BM228/BM$144</f>
        <v>4.1426055059199537E-2</v>
      </c>
      <c r="BN229" s="471">
        <f t="shared" si="1331"/>
        <v>4.2977230569910214E-2</v>
      </c>
      <c r="BO229" s="1034">
        <f t="shared" ref="BO229:BP229" si="1332">+BO228/BO$144</f>
        <v>4.0401626511453972E-2</v>
      </c>
      <c r="BP229" s="471">
        <f t="shared" si="1332"/>
        <v>4.0918627684978788E-2</v>
      </c>
      <c r="BQ229" s="471">
        <f t="shared" ref="BQ229" si="1333">+BQ228/BQ$144</f>
        <v>4.0985411004119537E-2</v>
      </c>
      <c r="BR229" s="471">
        <f>+BR228/BR$144</f>
        <v>3.4770933758786558E-2</v>
      </c>
      <c r="BS229" s="471">
        <f>+BS228/BS$144</f>
        <v>3.1577600023665081E-2</v>
      </c>
      <c r="BT229" s="471">
        <f>+BT228/BT$144</f>
        <v>2.9568365128210688E-2</v>
      </c>
      <c r="BU229" s="471">
        <f>+BU228/BU$144</f>
        <v>2.815166777102739E-2</v>
      </c>
    </row>
    <row r="230" spans="1:73" s="325" customFormat="1" ht="15" customHeight="1">
      <c r="B230" s="325" t="s">
        <v>326</v>
      </c>
      <c r="C230" s="471"/>
      <c r="D230" s="471"/>
      <c r="E230" s="471"/>
      <c r="F230" s="471"/>
      <c r="G230" s="471"/>
      <c r="H230" s="471"/>
      <c r="I230" s="471"/>
      <c r="J230" s="471"/>
      <c r="K230" s="471"/>
      <c r="L230" s="471"/>
      <c r="M230" s="471"/>
      <c r="N230" s="471"/>
      <c r="O230" s="471"/>
      <c r="P230" s="471"/>
      <c r="Q230" s="471"/>
      <c r="R230" s="471"/>
      <c r="S230" s="1034">
        <f t="shared" ref="S230:AD230" si="1334">+S228/S$89</f>
        <v>0.49224366250472934</v>
      </c>
      <c r="T230" s="471">
        <f t="shared" si="1334"/>
        <v>0.5077092511013217</v>
      </c>
      <c r="U230" s="471">
        <f t="shared" si="1334"/>
        <v>0.50884016973125878</v>
      </c>
      <c r="V230" s="471">
        <f t="shared" si="1334"/>
        <v>0.53626595030221624</v>
      </c>
      <c r="W230" s="1034">
        <f t="shared" si="1334"/>
        <v>0.35458612975391501</v>
      </c>
      <c r="X230" s="471">
        <f t="shared" si="1334"/>
        <v>0.33669555334564572</v>
      </c>
      <c r="Y230" s="471">
        <f t="shared" si="1334"/>
        <v>0.33905217269019827</v>
      </c>
      <c r="Z230" s="471">
        <f t="shared" si="1334"/>
        <v>0.2575221238938053</v>
      </c>
      <c r="AA230" s="471">
        <f t="shared" si="1334"/>
        <v>0.30628948879954054</v>
      </c>
      <c r="AB230" s="471">
        <f t="shared" si="1334"/>
        <v>0.30877092574044929</v>
      </c>
      <c r="AC230" s="471">
        <f t="shared" si="1334"/>
        <v>0.31502107164358822</v>
      </c>
      <c r="AD230" s="471">
        <f t="shared" si="1334"/>
        <v>0.3190326547342533</v>
      </c>
      <c r="AE230" s="471">
        <f t="shared" ref="AE230:AF230" si="1335">+AE228/AE$89</f>
        <v>0.338210380409672</v>
      </c>
      <c r="AF230" s="471">
        <f t="shared" si="1335"/>
        <v>0.35890106399872951</v>
      </c>
      <c r="AG230" s="471">
        <f t="shared" ref="AG230:AP230" si="1336">+AG228/AG$89</f>
        <v>0.34436766832717342</v>
      </c>
      <c r="AH230" s="471">
        <f t="shared" si="1336"/>
        <v>0.36576889661164202</v>
      </c>
      <c r="AI230" s="471">
        <f t="shared" si="1336"/>
        <v>0.37597348798674401</v>
      </c>
      <c r="AJ230" s="471">
        <f t="shared" si="1336"/>
        <v>0.40660088465464445</v>
      </c>
      <c r="AK230" s="471">
        <f t="shared" si="1336"/>
        <v>0.45488793416231449</v>
      </c>
      <c r="AL230" s="471">
        <f t="shared" ref="AL230" si="1337">+AL228/AL$89</f>
        <v>0.57711306256860595</v>
      </c>
      <c r="AM230" s="1034">
        <f t="shared" si="1336"/>
        <v>1.0198108959927958</v>
      </c>
      <c r="AN230" s="471">
        <f t="shared" si="1336"/>
        <v>1.0183096406283376</v>
      </c>
      <c r="AO230" s="471">
        <f t="shared" si="1336"/>
        <v>0.99956121105748141</v>
      </c>
      <c r="AP230" s="471">
        <f t="shared" si="1336"/>
        <v>0.99847094801223246</v>
      </c>
      <c r="AQ230" s="471">
        <f t="shared" ref="AQ230:AT230" si="1338">+AQ228/AQ$89</f>
        <v>0.99954233409611004</v>
      </c>
      <c r="AR230" s="471">
        <f t="shared" si="1338"/>
        <v>0.99956033698331104</v>
      </c>
      <c r="AS230" s="471">
        <f t="shared" si="1338"/>
        <v>1</v>
      </c>
      <c r="AT230" s="471">
        <f t="shared" si="1338"/>
        <v>1</v>
      </c>
      <c r="AU230" s="471">
        <f t="shared" ref="AU230:AX230" si="1339">+AU228/AU$89</f>
        <v>1</v>
      </c>
      <c r="AV230" s="471">
        <f t="shared" si="1339"/>
        <v>1</v>
      </c>
      <c r="AW230" s="471">
        <f t="shared" si="1339"/>
        <v>1</v>
      </c>
      <c r="AX230" s="471">
        <f t="shared" si="1339"/>
        <v>1</v>
      </c>
      <c r="AY230" s="471"/>
      <c r="AZ230" s="471"/>
      <c r="BA230" s="72"/>
      <c r="BB230" s="471">
        <v>1</v>
      </c>
      <c r="BC230" s="2189"/>
      <c r="BD230" s="72"/>
      <c r="BE230" s="471"/>
      <c r="BF230" s="471"/>
      <c r="BG230" s="471"/>
      <c r="BH230" s="471"/>
      <c r="BI230" s="471"/>
      <c r="BJ230" s="2027">
        <f t="shared" ref="BJ230:BO230" si="1340">+BJ228/BJ$89</f>
        <v>0.51194844714937804</v>
      </c>
      <c r="BK230" s="471">
        <f t="shared" si="1340"/>
        <v>0.32168603795792267</v>
      </c>
      <c r="BL230" s="471">
        <f t="shared" si="1340"/>
        <v>0.31232984668290592</v>
      </c>
      <c r="BM230" s="471">
        <f t="shared" si="1340"/>
        <v>0.35205833558393462</v>
      </c>
      <c r="BN230" s="471">
        <f t="shared" si="1340"/>
        <v>0.43986603768755894</v>
      </c>
      <c r="BO230" s="1034">
        <f t="shared" si="1340"/>
        <v>1.0086898932404291</v>
      </c>
      <c r="BP230" s="471">
        <f t="shared" ref="BP230:BU230" si="1341">+BP228/BP$89</f>
        <v>0.99978819638038652</v>
      </c>
      <c r="BQ230" s="471">
        <f t="shared" si="1341"/>
        <v>1</v>
      </c>
      <c r="BR230" s="471">
        <f t="shared" si="1341"/>
        <v>1</v>
      </c>
      <c r="BS230" s="471">
        <f t="shared" si="1341"/>
        <v>1</v>
      </c>
      <c r="BT230" s="471">
        <f t="shared" si="1341"/>
        <v>1</v>
      </c>
      <c r="BU230" s="471">
        <f t="shared" si="1341"/>
        <v>1</v>
      </c>
    </row>
    <row r="231" spans="1:73" s="325" customFormat="1" ht="15" customHeight="1">
      <c r="C231" s="462"/>
      <c r="D231" s="462"/>
      <c r="E231" s="462"/>
      <c r="F231" s="462"/>
      <c r="G231" s="462"/>
      <c r="H231" s="462"/>
      <c r="I231" s="462"/>
      <c r="J231" s="462"/>
      <c r="K231" s="462"/>
      <c r="L231" s="462"/>
      <c r="M231" s="462"/>
      <c r="N231" s="462"/>
      <c r="O231" s="462"/>
      <c r="P231" s="462"/>
      <c r="Q231" s="462"/>
      <c r="R231" s="462"/>
      <c r="S231" s="1039"/>
      <c r="T231" s="462"/>
      <c r="U231" s="462"/>
      <c r="V231" s="462"/>
      <c r="W231" s="1039"/>
      <c r="X231" s="462"/>
      <c r="Y231" s="462"/>
      <c r="Z231" s="462"/>
      <c r="AA231" s="462"/>
      <c r="AB231" s="462"/>
      <c r="AC231" s="462"/>
      <c r="AD231" s="462"/>
      <c r="AE231" s="462"/>
      <c r="AF231" s="462"/>
      <c r="AG231" s="462"/>
      <c r="AH231" s="462"/>
      <c r="AI231" s="462"/>
      <c r="AJ231" s="462"/>
      <c r="AK231" s="462"/>
      <c r="AL231" s="462"/>
      <c r="AM231" s="1039"/>
      <c r="AN231" s="462"/>
      <c r="AO231" s="462"/>
      <c r="AP231" s="462"/>
      <c r="AQ231" s="462"/>
      <c r="AR231" s="462"/>
      <c r="AS231" s="462"/>
      <c r="AT231" s="462"/>
      <c r="AU231" s="462"/>
      <c r="AV231" s="462"/>
      <c r="AW231" s="462"/>
      <c r="AX231" s="462"/>
      <c r="AY231" s="462"/>
      <c r="AZ231" s="462"/>
      <c r="BA231" s="72"/>
      <c r="BB231" s="462"/>
      <c r="BC231" s="2189"/>
      <c r="BD231" s="72"/>
      <c r="BE231" s="337"/>
      <c r="BF231" s="337"/>
      <c r="BG231" s="337"/>
      <c r="BH231" s="337"/>
      <c r="BI231" s="337"/>
      <c r="BJ231" s="2022"/>
      <c r="BK231" s="337"/>
      <c r="BL231" s="337"/>
      <c r="BM231" s="337"/>
      <c r="BN231" s="337"/>
      <c r="BO231" s="1966"/>
      <c r="BP231" s="337">
        <v>3150</v>
      </c>
      <c r="BQ231" s="337"/>
      <c r="BR231" s="462"/>
      <c r="BS231" s="462"/>
      <c r="BT231" s="462"/>
      <c r="BU231" s="462"/>
    </row>
    <row r="232" spans="1:73" s="325" customFormat="1" ht="15" customHeight="1">
      <c r="C232" s="462"/>
      <c r="D232" s="462"/>
      <c r="E232" s="462"/>
      <c r="F232" s="462"/>
      <c r="G232" s="462"/>
      <c r="H232" s="462"/>
      <c r="I232" s="462"/>
      <c r="J232" s="462"/>
      <c r="K232" s="462"/>
      <c r="L232" s="462"/>
      <c r="M232" s="462"/>
      <c r="N232" s="462"/>
      <c r="O232" s="462"/>
      <c r="P232" s="462"/>
      <c r="Q232" s="462"/>
      <c r="R232" s="462"/>
      <c r="S232" s="1039"/>
      <c r="T232" s="462"/>
      <c r="U232" s="462"/>
      <c r="V232" s="462"/>
      <c r="W232" s="1039"/>
      <c r="X232" s="462"/>
      <c r="Y232" s="462"/>
      <c r="Z232" s="462"/>
      <c r="AA232" s="462"/>
      <c r="AB232" s="462"/>
      <c r="AC232" s="462"/>
      <c r="AD232" s="462"/>
      <c r="AE232" s="462"/>
      <c r="AF232" s="462"/>
      <c r="AG232" s="462"/>
      <c r="AH232" s="462"/>
      <c r="AI232" s="462"/>
      <c r="AJ232" s="462"/>
      <c r="AK232" s="462"/>
      <c r="AL232" s="462"/>
      <c r="AM232" s="1039"/>
      <c r="AN232" s="462"/>
      <c r="AO232" s="462"/>
      <c r="AP232" s="462"/>
      <c r="AQ232" s="462"/>
      <c r="AR232" s="462"/>
      <c r="AS232" s="462"/>
      <c r="AT232" s="462">
        <f>2700-AS233-AR233-AQ233</f>
        <v>777.92771228109825</v>
      </c>
      <c r="AU232" s="462"/>
      <c r="AV232" s="462"/>
      <c r="AW232" s="462"/>
      <c r="AX232" s="462"/>
      <c r="AY232" s="462"/>
      <c r="AZ232" s="462"/>
      <c r="BA232" s="72"/>
      <c r="BB232" s="462">
        <v>777.92771228109825</v>
      </c>
      <c r="BC232" s="2189"/>
      <c r="BD232" s="72"/>
      <c r="BE232" s="337"/>
      <c r="BF232" s="337"/>
      <c r="BG232" s="337"/>
      <c r="BH232" s="337"/>
      <c r="BI232" s="337"/>
      <c r="BJ232" s="2022"/>
      <c r="BK232" s="337"/>
      <c r="BL232" s="337"/>
      <c r="BM232" s="337"/>
      <c r="BN232" s="337"/>
      <c r="BO232" s="1966"/>
      <c r="BP232" s="337"/>
      <c r="BQ232" s="337"/>
      <c r="BR232" s="462"/>
      <c r="BS232" s="462"/>
      <c r="BT232" s="462"/>
      <c r="BU232" s="462"/>
    </row>
    <row r="233" spans="1:73" s="484" customFormat="1" ht="15" customHeight="1">
      <c r="A233" s="483"/>
      <c r="B233" s="484" t="s">
        <v>114</v>
      </c>
      <c r="C233" s="485"/>
      <c r="D233" s="485"/>
      <c r="E233" s="485"/>
      <c r="F233" s="485"/>
      <c r="G233" s="485"/>
      <c r="H233" s="485"/>
      <c r="I233" s="485"/>
      <c r="J233" s="485"/>
      <c r="K233" s="485"/>
      <c r="L233" s="485"/>
      <c r="M233" s="485"/>
      <c r="N233" s="485"/>
      <c r="O233" s="485"/>
      <c r="P233" s="485"/>
      <c r="Q233" s="485"/>
      <c r="R233" s="485"/>
      <c r="S233" s="1042">
        <f t="shared" ref="S233:V233" si="1342">S224+S228</f>
        <v>218.59999999999997</v>
      </c>
      <c r="T233" s="946">
        <f t="shared" si="1342"/>
        <v>597.39999999999986</v>
      </c>
      <c r="U233" s="946">
        <f t="shared" si="1342"/>
        <v>815.1999999999997</v>
      </c>
      <c r="V233" s="946">
        <f t="shared" si="1342"/>
        <v>567.80000000000041</v>
      </c>
      <c r="W233" s="1042">
        <f>W224+W228</f>
        <v>234.77085343672107</v>
      </c>
      <c r="X233" s="946">
        <f>X224+X228</f>
        <v>445.83329713766125</v>
      </c>
      <c r="Y233" s="946">
        <f t="shared" ref="Y233:AD233" si="1343">Y224+Y228</f>
        <v>972.05865270631978</v>
      </c>
      <c r="Z233" s="946">
        <f t="shared" si="1343"/>
        <v>716.66146639220381</v>
      </c>
      <c r="AA233" s="946">
        <f t="shared" si="1343"/>
        <v>574.31423705874317</v>
      </c>
      <c r="AB233" s="946">
        <f t="shared" si="1343"/>
        <v>559.90762590669442</v>
      </c>
      <c r="AC233" s="946">
        <f t="shared" si="1343"/>
        <v>719.37026705015592</v>
      </c>
      <c r="AD233" s="946">
        <f t="shared" si="1343"/>
        <v>742.36617418000378</v>
      </c>
      <c r="AE233" s="946">
        <f t="shared" ref="AE233:AH233" si="1344">AE224+AE228</f>
        <v>393.27547612106866</v>
      </c>
      <c r="AF233" s="946">
        <f t="shared" si="1344"/>
        <v>501.87359852457848</v>
      </c>
      <c r="AG233" s="946">
        <f t="shared" si="1344"/>
        <v>587.49999999999977</v>
      </c>
      <c r="AH233" s="946">
        <f t="shared" si="1344"/>
        <v>426.1</v>
      </c>
      <c r="AI233" s="946">
        <f t="shared" ref="AI233:AL233" si="1345">AI224+AI228</f>
        <v>637.5999999999998</v>
      </c>
      <c r="AJ233" s="946">
        <f t="shared" si="1345"/>
        <v>624.96718079725497</v>
      </c>
      <c r="AK233" s="946">
        <f t="shared" si="1345"/>
        <v>423.47516199999967</v>
      </c>
      <c r="AL233" s="946">
        <f t="shared" si="1345"/>
        <v>554.70000000000005</v>
      </c>
      <c r="AM233" s="1042">
        <f t="shared" ref="AM233:AP233" si="1346">AM224+AM228</f>
        <v>730.69999999999982</v>
      </c>
      <c r="AN233" s="946">
        <f t="shared" si="1346"/>
        <v>827.23957905746397</v>
      </c>
      <c r="AO233" s="946">
        <f t="shared" si="1346"/>
        <v>776.40000000000032</v>
      </c>
      <c r="AP233" s="946">
        <f t="shared" si="1346"/>
        <v>446.80000000000035</v>
      </c>
      <c r="AQ233" s="946">
        <f t="shared" ref="AQ233:AS233" si="1347">AQ224+AQ228</f>
        <v>682.46488075021659</v>
      </c>
      <c r="AR233" s="946">
        <f t="shared" si="1347"/>
        <v>743.40740696868534</v>
      </c>
      <c r="AS233" s="946">
        <f t="shared" si="1347"/>
        <v>496.2</v>
      </c>
      <c r="AT233" s="946">
        <f>AT224+AT228</f>
        <v>927</v>
      </c>
      <c r="AU233" s="946">
        <f t="shared" ref="AU233:AX233" si="1348">AU224+AU228</f>
        <v>640.51414791402863</v>
      </c>
      <c r="AV233" s="946">
        <f t="shared" si="1348"/>
        <v>620.33242653597063</v>
      </c>
      <c r="AW233" s="946">
        <f t="shared" si="1348"/>
        <v>675.44126877586609</v>
      </c>
      <c r="AX233" s="946">
        <f t="shared" si="1348"/>
        <v>805.3607186285974</v>
      </c>
      <c r="AY233" s="904"/>
      <c r="AZ233" s="904"/>
      <c r="BA233" s="85"/>
      <c r="BB233" s="946">
        <v>666.20836538563503</v>
      </c>
      <c r="BC233" s="2198">
        <f>+AT233/BB233-1</f>
        <v>0.39145655948556812</v>
      </c>
      <c r="BD233" s="85"/>
      <c r="BE233" s="485">
        <f>1251.3+169.7</f>
        <v>1421</v>
      </c>
      <c r="BF233" s="485">
        <f>1004.1+247.6</f>
        <v>1251.7</v>
      </c>
      <c r="BG233" s="485">
        <v>1524.7</v>
      </c>
      <c r="BH233" s="462">
        <v>1480.5</v>
      </c>
      <c r="BI233" s="462">
        <v>1546.6</v>
      </c>
      <c r="BJ233" s="2045">
        <f>+SUM(S233:V233)</f>
        <v>2199</v>
      </c>
      <c r="BK233" s="485">
        <f>+SUM(W233:Z233)</f>
        <v>2369.3242696729058</v>
      </c>
      <c r="BL233" s="485">
        <f>+SUM(AA233:AD233)</f>
        <v>2595.9583041955975</v>
      </c>
      <c r="BM233" s="485">
        <f>+SUM(AE233:AH233)</f>
        <v>1908.7490746456469</v>
      </c>
      <c r="BN233" s="485">
        <f>+SUM(AI233:AL233)</f>
        <v>2240.7423427972544</v>
      </c>
      <c r="BO233" s="1040">
        <f>+SUM(AM233:AP233)</f>
        <v>2781.1395790574643</v>
      </c>
      <c r="BP233" s="485">
        <f>+SUM(AQ233:AT233)</f>
        <v>2849.0722877189019</v>
      </c>
      <c r="BQ233" s="485">
        <f>+SUM(AU233:AX233)</f>
        <v>2741.648561854463</v>
      </c>
      <c r="BR233" s="946">
        <f t="shared" ref="BR233:BU233" si="1349">BR224+BR228</f>
        <v>2820.6690472261889</v>
      </c>
      <c r="BS233" s="946">
        <f t="shared" si="1349"/>
        <v>2833.1043431893881</v>
      </c>
      <c r="BT233" s="946">
        <f t="shared" si="1349"/>
        <v>2922.8021918633185</v>
      </c>
      <c r="BU233" s="946">
        <f t="shared" si="1349"/>
        <v>3012.350764427345</v>
      </c>
    </row>
    <row r="234" spans="1:73" s="325" customFormat="1" ht="15" customHeight="1">
      <c r="B234" s="325" t="s">
        <v>316</v>
      </c>
      <c r="C234" s="462"/>
      <c r="D234" s="462"/>
      <c r="E234" s="462"/>
      <c r="F234" s="462"/>
      <c r="G234" s="471"/>
      <c r="H234" s="471"/>
      <c r="I234" s="471"/>
      <c r="J234" s="471"/>
      <c r="K234" s="471"/>
      <c r="L234" s="471"/>
      <c r="M234" s="471"/>
      <c r="N234" s="471"/>
      <c r="O234" s="471"/>
      <c r="P234" s="471"/>
      <c r="Q234" s="471"/>
      <c r="R234" s="471"/>
      <c r="S234" s="1034"/>
      <c r="T234" s="471"/>
      <c r="U234" s="471"/>
      <c r="V234" s="471"/>
      <c r="W234" s="1034">
        <f t="shared" ref="W234:Z234" si="1350">+W233/S233-1</f>
        <v>7.3974626883445138E-2</v>
      </c>
      <c r="X234" s="471">
        <f t="shared" si="1350"/>
        <v>-0.25371058396775803</v>
      </c>
      <c r="Y234" s="471">
        <f t="shared" si="1350"/>
        <v>0.19241738555731125</v>
      </c>
      <c r="Z234" s="471">
        <f t="shared" si="1350"/>
        <v>0.26217236067665239</v>
      </c>
      <c r="AA234" s="471">
        <f>+AA233/W233-1</f>
        <v>1.4462757137505609</v>
      </c>
      <c r="AB234" s="471">
        <f>+AB233/X233-1</f>
        <v>0.25586767408673405</v>
      </c>
      <c r="AC234" s="471">
        <f>+AC233/Y233-1</f>
        <v>-0.25995178886855352</v>
      </c>
      <c r="AD234" s="471">
        <f>+AD233/Z233-1</f>
        <v>3.5867294382662784E-2</v>
      </c>
      <c r="AE234" s="471">
        <f t="shared" ref="AE234:AH234" si="1351">+AE233/AA233-1</f>
        <v>-0.31522596734643915</v>
      </c>
      <c r="AF234" s="471">
        <f t="shared" si="1351"/>
        <v>-0.10364928909145987</v>
      </c>
      <c r="AG234" s="471">
        <f t="shared" si="1351"/>
        <v>-0.18331347998423997</v>
      </c>
      <c r="AH234" s="471">
        <f t="shared" si="1351"/>
        <v>-0.42602449462267356</v>
      </c>
      <c r="AI234" s="471">
        <f t="shared" ref="AI234" si="1352">+AI233/AE233-1</f>
        <v>0.62125542708316894</v>
      </c>
      <c r="AJ234" s="471">
        <f t="shared" ref="AJ234" si="1353">+AJ233/AF233-1</f>
        <v>0.24526809665730642</v>
      </c>
      <c r="AK234" s="471">
        <f t="shared" ref="AK234" si="1354">+AK233/AG233-1</f>
        <v>-0.27919121361702159</v>
      </c>
      <c r="AL234" s="471">
        <f t="shared" ref="AL234" si="1355">+AL233/AH233-1</f>
        <v>0.30180708753813668</v>
      </c>
      <c r="AM234" s="1034">
        <f t="shared" ref="AM234" si="1356">+AM233/AI233-1</f>
        <v>0.14601631116687597</v>
      </c>
      <c r="AN234" s="471">
        <f t="shared" ref="AN234" si="1357">+AN233/AJ233-1</f>
        <v>0.32365283246101839</v>
      </c>
      <c r="AO234" s="471">
        <f t="shared" ref="AO234" si="1358">+AO233/AK233-1</f>
        <v>0.83340150655636536</v>
      </c>
      <c r="AP234" s="471">
        <f t="shared" ref="AP234" si="1359">+AP233/AL233-1</f>
        <v>-0.1945195601225882</v>
      </c>
      <c r="AQ234" s="471">
        <f t="shared" ref="AQ234" si="1360">+AQ233/AM233-1</f>
        <v>-6.6012206445577148E-2</v>
      </c>
      <c r="AR234" s="471">
        <f t="shared" ref="AR234" si="1361">+AR233/AN233-1</f>
        <v>-0.10133965324083616</v>
      </c>
      <c r="AS234" s="471">
        <f t="shared" ref="AS234" si="1362">+AS233/AO233-1</f>
        <v>-0.36089644513137586</v>
      </c>
      <c r="AT234" s="471">
        <f t="shared" ref="AT234" si="1363">+AT233/AP233-1</f>
        <v>1.0747538048343763</v>
      </c>
      <c r="AU234" s="471">
        <f t="shared" ref="AU234" si="1364">+AU233/AQ233-1</f>
        <v>-6.1469438236986806E-2</v>
      </c>
      <c r="AV234" s="471">
        <f t="shared" ref="AV234" si="1365">+AV233/AR233-1</f>
        <v>-0.16555522487267738</v>
      </c>
      <c r="AW234" s="471">
        <f t="shared" ref="AW234" si="1366">+AW233/AS233-1</f>
        <v>0.36122786935885953</v>
      </c>
      <c r="AX234" s="471">
        <f t="shared" ref="AX234" si="1367">+AX233/AT233-1</f>
        <v>-0.13121821075663709</v>
      </c>
      <c r="AY234" s="471"/>
      <c r="AZ234" s="471"/>
      <c r="BA234" s="72"/>
      <c r="BB234" s="471">
        <v>0.49106617140920883</v>
      </c>
      <c r="BC234" s="2189"/>
      <c r="BD234" s="72"/>
      <c r="BE234" s="471"/>
      <c r="BF234" s="471"/>
      <c r="BG234" s="471"/>
      <c r="BH234" s="471"/>
      <c r="BI234" s="471"/>
      <c r="BJ234" s="2027"/>
      <c r="BK234" s="471"/>
      <c r="BL234" s="471">
        <f t="shared" ref="BL234:BQ234" si="1368">+BL233/BK233-1</f>
        <v>9.5653447450643636E-2</v>
      </c>
      <c r="BM234" s="471">
        <f t="shared" si="1368"/>
        <v>-0.26472275322730743</v>
      </c>
      <c r="BN234" s="471">
        <f t="shared" si="1368"/>
        <v>0.17393237935858119</v>
      </c>
      <c r="BO234" s="1034">
        <f t="shared" si="1368"/>
        <v>0.24116884210149725</v>
      </c>
      <c r="BP234" s="471">
        <f t="shared" si="1368"/>
        <v>2.442621333103312E-2</v>
      </c>
      <c r="BQ234" s="471">
        <f t="shared" si="1368"/>
        <v>-3.7704808799515321E-2</v>
      </c>
      <c r="BR234" s="471">
        <f t="shared" ref="BR234:BU234" si="1369">+BR233/BQ233-1</f>
        <v>2.8822251863775072E-2</v>
      </c>
      <c r="BS234" s="471">
        <f t="shared" si="1369"/>
        <v>4.4086334678037353E-3</v>
      </c>
      <c r="BT234" s="471">
        <f t="shared" si="1369"/>
        <v>3.1660623051021242E-2</v>
      </c>
      <c r="BU234" s="471">
        <f t="shared" si="1369"/>
        <v>3.0637917548206772E-2</v>
      </c>
    </row>
    <row r="235" spans="1:73" s="468" customFormat="1" ht="15" customHeight="1">
      <c r="B235" s="468" t="s">
        <v>30</v>
      </c>
      <c r="C235" s="902"/>
      <c r="D235" s="902"/>
      <c r="E235" s="902"/>
      <c r="F235" s="902"/>
      <c r="G235" s="902"/>
      <c r="H235" s="902"/>
      <c r="I235" s="902"/>
      <c r="J235" s="902"/>
      <c r="K235" s="902"/>
      <c r="L235" s="902"/>
      <c r="M235" s="902"/>
      <c r="N235" s="902"/>
      <c r="O235" s="902"/>
      <c r="P235" s="902"/>
      <c r="Q235" s="902"/>
      <c r="R235" s="902"/>
      <c r="S235" s="1037">
        <f t="shared" ref="S235:V235" si="1370">+S233/S$144</f>
        <v>5.3798636576181925E-2</v>
      </c>
      <c r="T235" s="902">
        <f t="shared" si="1370"/>
        <v>0.1253988245172124</v>
      </c>
      <c r="U235" s="902">
        <f t="shared" si="1370"/>
        <v>0.17352803439908035</v>
      </c>
      <c r="V235" s="902">
        <f t="shared" si="1370"/>
        <v>0.10825960951799886</v>
      </c>
      <c r="W235" s="1037">
        <f>+W233/W$144</f>
        <v>5.640411633873605E-2</v>
      </c>
      <c r="X235" s="902">
        <f t="shared" ref="X235:AD235" si="1371">+X233/X$144</f>
        <v>0.11213957218544188</v>
      </c>
      <c r="Y235" s="902">
        <f t="shared" si="1371"/>
        <v>0.15978345925214013</v>
      </c>
      <c r="Z235" s="902">
        <f t="shared" si="1371"/>
        <v>0.11338503724206622</v>
      </c>
      <c r="AA235" s="902">
        <f t="shared" si="1371"/>
        <v>0.11074533582574736</v>
      </c>
      <c r="AB235" s="902">
        <f t="shared" si="1371"/>
        <v>0.1011814203709443</v>
      </c>
      <c r="AC235" s="902">
        <f t="shared" si="1371"/>
        <v>0.12958124237596252</v>
      </c>
      <c r="AD235" s="902">
        <f t="shared" si="1371"/>
        <v>0.120861269260701</v>
      </c>
      <c r="AE235" s="902">
        <f t="shared" ref="AE235:AH235" si="1372">+AE233/AE$144</f>
        <v>8.276869959403739E-2</v>
      </c>
      <c r="AF235" s="902">
        <f t="shared" si="1372"/>
        <v>9.0346282362660388E-2</v>
      </c>
      <c r="AG235" s="902">
        <f t="shared" si="1372"/>
        <v>0.10168758113370831</v>
      </c>
      <c r="AH235" s="902">
        <f t="shared" si="1372"/>
        <v>7.169538295867546E-2</v>
      </c>
      <c r="AI235" s="902">
        <f t="shared" ref="AI235:AL235" si="1373">+AI233/AI$144</f>
        <v>0.13109361185928406</v>
      </c>
      <c r="AJ235" s="902">
        <f t="shared" si="1373"/>
        <v>0.11440136186417557</v>
      </c>
      <c r="AK235" s="902">
        <f t="shared" si="1373"/>
        <v>8.0938916299091265E-2</v>
      </c>
      <c r="AL235" s="902">
        <f t="shared" si="1373"/>
        <v>9.4301451837747796E-2</v>
      </c>
      <c r="AM235" s="1037">
        <f t="shared" ref="AM235:AP235" si="1374">+AM233/AM$144</f>
        <v>0.15531607363006414</v>
      </c>
      <c r="AN235" s="902">
        <f t="shared" si="1374"/>
        <v>0.13967878714638143</v>
      </c>
      <c r="AO235" s="902">
        <f t="shared" si="1374"/>
        <v>0.1299277424091235</v>
      </c>
      <c r="AP235" s="902">
        <f t="shared" si="1374"/>
        <v>6.3013003130905756E-2</v>
      </c>
      <c r="AQ235" s="902">
        <f t="shared" ref="AQ235:AT235" si="1375">+AQ233/AQ$144</f>
        <v>0.13269662790219661</v>
      </c>
      <c r="AR235" s="902">
        <f t="shared" si="1375"/>
        <v>0.13071129285239044</v>
      </c>
      <c r="AS235" s="902">
        <f t="shared" si="1375"/>
        <v>9.5533307662687708E-2</v>
      </c>
      <c r="AT235" s="902">
        <f t="shared" si="1375"/>
        <v>0.14968512837074116</v>
      </c>
      <c r="AU235" s="902">
        <f t="shared" ref="AU235:AX235" si="1376">+AU233/AU$144</f>
        <v>0.13712027555381467</v>
      </c>
      <c r="AV235" s="902">
        <f t="shared" si="1376"/>
        <v>0.11098774279987202</v>
      </c>
      <c r="AW235" s="902">
        <f t="shared" si="1376"/>
        <v>0.13318510228505795</v>
      </c>
      <c r="AX235" s="902">
        <f t="shared" si="1376"/>
        <v>0.12672665137991804</v>
      </c>
      <c r="AY235" s="902"/>
      <c r="AZ235" s="902"/>
      <c r="BA235" s="2257"/>
      <c r="BB235" s="902">
        <v>0.1049818148660274</v>
      </c>
      <c r="BC235" s="2200">
        <f>+AT235-BB235</f>
        <v>4.4703313504713765E-2</v>
      </c>
      <c r="BD235" s="2257"/>
      <c r="BE235" s="902">
        <f t="shared" ref="BE235:BI235" si="1377">+BE233/BE$144</f>
        <v>0.19066659510519537</v>
      </c>
      <c r="BF235" s="902">
        <f t="shared" si="1377"/>
        <v>0.17103465238303453</v>
      </c>
      <c r="BG235" s="902">
        <f t="shared" si="1377"/>
        <v>0.19844858602162385</v>
      </c>
      <c r="BH235" s="902">
        <f t="shared" si="1377"/>
        <v>0.17613579807090241</v>
      </c>
      <c r="BI235" s="902">
        <f t="shared" si="1377"/>
        <v>0.17177954994779748</v>
      </c>
      <c r="BJ235" s="2033">
        <f t="shared" ref="BJ235:BO235" si="1378">+BJ233/BJ$144</f>
        <v>0.11715565879413317</v>
      </c>
      <c r="BK235" s="902">
        <f t="shared" si="1378"/>
        <v>0.11533936334340555</v>
      </c>
      <c r="BL235" s="902">
        <f t="shared" si="1378"/>
        <v>0.11582170952178597</v>
      </c>
      <c r="BM235" s="902">
        <f t="shared" si="1378"/>
        <v>8.665418549092245E-2</v>
      </c>
      <c r="BN235" s="902">
        <f t="shared" si="1378"/>
        <v>0.1045080012283237</v>
      </c>
      <c r="BO235" s="1037">
        <f t="shared" si="1378"/>
        <v>0.11738098604030549</v>
      </c>
      <c r="BP235" s="902">
        <f t="shared" ref="BP235:BQ235" si="1379">+BP233/BP$144</f>
        <v>0.12823581382697519</v>
      </c>
      <c r="BQ235" s="902">
        <f t="shared" si="1379"/>
        <v>0.12641938635887429</v>
      </c>
      <c r="BR235" s="902">
        <f>+BR233/BR$144</f>
        <v>0.12449105765970608</v>
      </c>
      <c r="BS235" s="902">
        <f>+BS233/BS$144</f>
        <v>0.12037648577332677</v>
      </c>
      <c r="BT235" s="902">
        <f>+BT233/BT$144</f>
        <v>0.11959414211094643</v>
      </c>
      <c r="BU235" s="902">
        <f>+BU233/BU$144</f>
        <v>0.11901527491625179</v>
      </c>
    </row>
    <row r="236" spans="1:73" s="325" customFormat="1" ht="15" customHeight="1">
      <c r="C236" s="673" t="e">
        <f>+C235-#REF!</f>
        <v>#REF!</v>
      </c>
      <c r="D236" s="673" t="e">
        <f>+D235-#REF!</f>
        <v>#REF!</v>
      </c>
      <c r="E236" s="673">
        <f t="shared" ref="E236:AP236" si="1380">+E235-A235</f>
        <v>0</v>
      </c>
      <c r="F236" s="673" t="e">
        <f t="shared" si="1380"/>
        <v>#VALUE!</v>
      </c>
      <c r="G236" s="673">
        <f t="shared" si="1380"/>
        <v>0</v>
      </c>
      <c r="H236" s="673">
        <f t="shared" si="1380"/>
        <v>0</v>
      </c>
      <c r="I236" s="673">
        <f t="shared" si="1380"/>
        <v>0</v>
      </c>
      <c r="J236" s="673">
        <f t="shared" si="1380"/>
        <v>0</v>
      </c>
      <c r="K236" s="673">
        <f t="shared" si="1380"/>
        <v>0</v>
      </c>
      <c r="L236" s="673">
        <f t="shared" si="1380"/>
        <v>0</v>
      </c>
      <c r="M236" s="673">
        <f t="shared" si="1380"/>
        <v>0</v>
      </c>
      <c r="N236" s="673">
        <f t="shared" si="1380"/>
        <v>0</v>
      </c>
      <c r="O236" s="673">
        <f t="shared" si="1380"/>
        <v>0</v>
      </c>
      <c r="P236" s="673">
        <f t="shared" si="1380"/>
        <v>0</v>
      </c>
      <c r="Q236" s="673">
        <f t="shared" si="1380"/>
        <v>0</v>
      </c>
      <c r="R236" s="673">
        <f t="shared" si="1380"/>
        <v>0</v>
      </c>
      <c r="S236" s="1832">
        <f t="shared" si="1380"/>
        <v>5.3798636576181925E-2</v>
      </c>
      <c r="T236" s="1535">
        <f t="shared" si="1380"/>
        <v>0.1253988245172124</v>
      </c>
      <c r="U236" s="1535">
        <f t="shared" si="1380"/>
        <v>0.17352803439908035</v>
      </c>
      <c r="V236" s="1535">
        <f t="shared" si="1380"/>
        <v>0.10825960951799886</v>
      </c>
      <c r="W236" s="1832">
        <f t="shared" si="1380"/>
        <v>2.6054797625541248E-3</v>
      </c>
      <c r="X236" s="673">
        <f t="shared" si="1380"/>
        <v>-1.3259252331770527E-2</v>
      </c>
      <c r="Y236" s="673">
        <f t="shared" si="1380"/>
        <v>-1.3744575146940219E-2</v>
      </c>
      <c r="Z236" s="673">
        <f t="shared" si="1380"/>
        <v>5.1254277240673635E-3</v>
      </c>
      <c r="AA236" s="673">
        <f t="shared" si="1380"/>
        <v>5.4341219487011309E-2</v>
      </c>
      <c r="AB236" s="673">
        <f t="shared" si="1380"/>
        <v>-1.095815181449758E-2</v>
      </c>
      <c r="AC236" s="673">
        <f t="shared" si="1380"/>
        <v>-3.0202216876177607E-2</v>
      </c>
      <c r="AD236" s="673">
        <f t="shared" si="1380"/>
        <v>7.4762320186347736E-3</v>
      </c>
      <c r="AE236" s="673">
        <f t="shared" si="1380"/>
        <v>-2.797663623170997E-2</v>
      </c>
      <c r="AF236" s="673">
        <f t="shared" si="1380"/>
        <v>-1.0835138008283909E-2</v>
      </c>
      <c r="AG236" s="673">
        <f t="shared" si="1380"/>
        <v>-2.7893661242254217E-2</v>
      </c>
      <c r="AH236" s="673">
        <f t="shared" si="1380"/>
        <v>-4.9165886302025535E-2</v>
      </c>
      <c r="AI236" s="673">
        <f t="shared" si="1380"/>
        <v>4.8324912265246669E-2</v>
      </c>
      <c r="AJ236" s="673">
        <f t="shared" si="1380"/>
        <v>2.4055079501515184E-2</v>
      </c>
      <c r="AK236" s="673">
        <f t="shared" si="1380"/>
        <v>-2.0748664834617042E-2</v>
      </c>
      <c r="AL236" s="673">
        <f t="shared" si="1380"/>
        <v>2.2606068879072336E-2</v>
      </c>
      <c r="AM236" s="1832">
        <f t="shared" si="1380"/>
        <v>2.4222461770780079E-2</v>
      </c>
      <c r="AN236" s="673">
        <f t="shared" si="1380"/>
        <v>2.5277425282205862E-2</v>
      </c>
      <c r="AO236" s="673">
        <f t="shared" si="1380"/>
        <v>4.8988826110032233E-2</v>
      </c>
      <c r="AP236" s="673">
        <f t="shared" si="1380"/>
        <v>-3.128844870684204E-2</v>
      </c>
      <c r="AQ236" s="673">
        <f t="shared" ref="AQ236" si="1381">+AQ235-AM235</f>
        <v>-2.2619445727867532E-2</v>
      </c>
      <c r="AR236" s="673">
        <f t="shared" ref="AR236" si="1382">+AR235-AN235</f>
        <v>-8.9674942939909907E-3</v>
      </c>
      <c r="AS236" s="673">
        <f t="shared" ref="AS236" si="1383">+AS235-AO235</f>
        <v>-3.439443474643579E-2</v>
      </c>
      <c r="AT236" s="673">
        <f t="shared" ref="AT236" si="1384">+AT235-AP235</f>
        <v>8.6672125239835404E-2</v>
      </c>
      <c r="AU236" s="673">
        <f t="shared" ref="AU236" si="1385">+AU235-AQ235</f>
        <v>4.4236476516180678E-3</v>
      </c>
      <c r="AV236" s="673">
        <f t="shared" ref="AV236" si="1386">+AV235-AR235</f>
        <v>-1.9723550052518427E-2</v>
      </c>
      <c r="AW236" s="673">
        <f t="shared" ref="AW236" si="1387">+AW235-AS235</f>
        <v>3.7651794622370241E-2</v>
      </c>
      <c r="AX236" s="673">
        <f t="shared" ref="AX236" si="1388">+AX235-AT235</f>
        <v>-2.2958476990823123E-2</v>
      </c>
      <c r="AY236" s="673"/>
      <c r="AZ236" s="673"/>
      <c r="BA236" s="72"/>
      <c r="BB236" s="673">
        <v>4.1968811735121639E-2</v>
      </c>
      <c r="BC236" s="2189"/>
      <c r="BD236" s="72"/>
      <c r="BE236" s="337"/>
      <c r="BF236" s="673"/>
      <c r="BG236" s="673"/>
      <c r="BH236" s="673"/>
      <c r="BI236" s="673"/>
      <c r="BJ236" s="2039"/>
      <c r="BK236" s="673">
        <f>+BK235-BJ235</f>
        <v>-1.8162954507276174E-3</v>
      </c>
      <c r="BL236" s="673">
        <f t="shared" ref="BL236:BU236" si="1389">+BL235-BK235</f>
        <v>4.8234617838041616E-4</v>
      </c>
      <c r="BM236" s="673">
        <f t="shared" si="1389"/>
        <v>-2.916752403086352E-2</v>
      </c>
      <c r="BN236" s="673">
        <f t="shared" si="1389"/>
        <v>1.7853815737401246E-2</v>
      </c>
      <c r="BO236" s="1832">
        <f t="shared" si="1389"/>
        <v>1.2872984811981791E-2</v>
      </c>
      <c r="BP236" s="673">
        <f t="shared" si="1389"/>
        <v>1.0854827786669699E-2</v>
      </c>
      <c r="BQ236" s="673">
        <f t="shared" si="1389"/>
        <v>-1.8164274681009007E-3</v>
      </c>
      <c r="BR236" s="673">
        <f t="shared" si="1389"/>
        <v>-1.9283286991682025E-3</v>
      </c>
      <c r="BS236" s="673">
        <f t="shared" si="1389"/>
        <v>-4.1145718863793146E-3</v>
      </c>
      <c r="BT236" s="673">
        <f t="shared" si="1389"/>
        <v>-7.8234366238033592E-4</v>
      </c>
      <c r="BU236" s="673">
        <f t="shared" si="1389"/>
        <v>-5.7886719469464609E-4</v>
      </c>
    </row>
    <row r="237" spans="1:73" s="325" customFormat="1" ht="15" customHeight="1">
      <c r="C237" s="673"/>
      <c r="D237" s="673"/>
      <c r="E237" s="673"/>
      <c r="F237" s="673"/>
      <c r="G237" s="673"/>
      <c r="H237" s="673"/>
      <c r="I237" s="673"/>
      <c r="J237" s="673"/>
      <c r="K237" s="673"/>
      <c r="L237" s="673"/>
      <c r="M237" s="673"/>
      <c r="N237" s="673"/>
      <c r="O237" s="673"/>
      <c r="P237" s="673"/>
      <c r="Q237" s="673"/>
      <c r="R237" s="673"/>
      <c r="S237" s="1832"/>
      <c r="T237" s="1535"/>
      <c r="U237" s="1535"/>
      <c r="V237" s="1535"/>
      <c r="W237" s="1832"/>
      <c r="X237" s="673"/>
      <c r="Y237" s="673"/>
      <c r="Z237" s="673"/>
      <c r="AA237" s="673"/>
      <c r="AB237" s="673"/>
      <c r="AC237" s="673"/>
      <c r="AD237" s="673"/>
      <c r="AE237" s="673"/>
      <c r="AF237" s="673"/>
      <c r="AG237" s="673"/>
      <c r="AH237" s="673"/>
      <c r="AI237" s="673"/>
      <c r="AJ237" s="673"/>
      <c r="AK237" s="673"/>
      <c r="AL237" s="673"/>
      <c r="AM237" s="1832"/>
      <c r="AN237" s="673"/>
      <c r="AO237" s="673"/>
      <c r="AP237" s="673"/>
      <c r="AQ237" s="673"/>
      <c r="AR237" s="673"/>
      <c r="AS237" s="673"/>
      <c r="AT237" s="673"/>
      <c r="AU237" s="673"/>
      <c r="AV237" s="673"/>
      <c r="AW237" s="673"/>
      <c r="AX237" s="673"/>
      <c r="AY237" s="673"/>
      <c r="AZ237" s="673"/>
      <c r="BA237" s="72"/>
      <c r="BB237" s="673"/>
      <c r="BC237" s="2189"/>
      <c r="BD237" s="72"/>
      <c r="BE237" s="337"/>
      <c r="BF237" s="673"/>
      <c r="BG237" s="673"/>
      <c r="BH237" s="673"/>
      <c r="BI237" s="673"/>
      <c r="BJ237" s="2039"/>
      <c r="BK237" s="673"/>
      <c r="BL237" s="673"/>
      <c r="BM237" s="673"/>
      <c r="BN237" s="673"/>
      <c r="BO237" s="1832"/>
      <c r="BP237" s="673"/>
      <c r="BQ237" s="673"/>
      <c r="BR237" s="673"/>
      <c r="BS237" s="673"/>
      <c r="BT237" s="673"/>
      <c r="BU237" s="673"/>
    </row>
    <row r="238" spans="1:73" s="484" customFormat="1" ht="15" customHeight="1">
      <c r="A238" s="483"/>
      <c r="B238" s="484" t="s">
        <v>327</v>
      </c>
      <c r="C238" s="485"/>
      <c r="D238" s="485"/>
      <c r="E238" s="485"/>
      <c r="F238" s="485"/>
      <c r="G238" s="485"/>
      <c r="H238" s="485"/>
      <c r="I238" s="485"/>
      <c r="J238" s="485"/>
      <c r="K238" s="485"/>
      <c r="L238" s="485"/>
      <c r="M238" s="485"/>
      <c r="N238" s="485"/>
      <c r="O238" s="485"/>
      <c r="P238" s="485"/>
      <c r="Q238" s="485"/>
      <c r="R238" s="485"/>
      <c r="S238" s="1042">
        <f t="shared" ref="S238:AP238" si="1390">+S233-S217</f>
        <v>367.19999999999993</v>
      </c>
      <c r="T238" s="946">
        <f t="shared" si="1390"/>
        <v>538.39999999999986</v>
      </c>
      <c r="U238" s="946">
        <f t="shared" si="1390"/>
        <v>580.99999999999966</v>
      </c>
      <c r="V238" s="946">
        <f t="shared" si="1390"/>
        <v>577.00000000000045</v>
      </c>
      <c r="W238" s="1042">
        <f t="shared" si="1390"/>
        <v>232.06166068783273</v>
      </c>
      <c r="X238" s="946">
        <f t="shared" si="1390"/>
        <v>335.47594462462234</v>
      </c>
      <c r="Y238" s="946">
        <f t="shared" si="1390"/>
        <v>998.14746415957973</v>
      </c>
      <c r="Z238" s="946">
        <f t="shared" si="1390"/>
        <v>727.43479166011639</v>
      </c>
      <c r="AA238" s="946">
        <f t="shared" si="1390"/>
        <v>563.75138706554469</v>
      </c>
      <c r="AB238" s="946">
        <f t="shared" si="1390"/>
        <v>566.45638160075191</v>
      </c>
      <c r="AC238" s="946">
        <f t="shared" si="1390"/>
        <v>471.63994759521665</v>
      </c>
      <c r="AD238" s="946">
        <f t="shared" si="1390"/>
        <v>697.11835663502063</v>
      </c>
      <c r="AE238" s="946">
        <f t="shared" si="1390"/>
        <v>356.2739974606817</v>
      </c>
      <c r="AF238" s="946">
        <f t="shared" si="1390"/>
        <v>483.15836424730105</v>
      </c>
      <c r="AG238" s="946">
        <f t="shared" si="1390"/>
        <v>529.39999999999975</v>
      </c>
      <c r="AH238" s="946">
        <f t="shared" si="1390"/>
        <v>469.5</v>
      </c>
      <c r="AI238" s="946">
        <f t="shared" si="1390"/>
        <v>603.5999999999998</v>
      </c>
      <c r="AJ238" s="946">
        <f t="shared" si="1390"/>
        <v>629.46718079725497</v>
      </c>
      <c r="AK238" s="946">
        <f t="shared" si="1390"/>
        <v>459.07316199999968</v>
      </c>
      <c r="AL238" s="946">
        <f t="shared" si="1390"/>
        <v>436.50000000000006</v>
      </c>
      <c r="AM238" s="1042">
        <f t="shared" si="1390"/>
        <v>627.5999999999998</v>
      </c>
      <c r="AN238" s="946">
        <f t="shared" si="1390"/>
        <v>771.17743149355397</v>
      </c>
      <c r="AO238" s="946">
        <f t="shared" si="1390"/>
        <v>771.8000000000003</v>
      </c>
      <c r="AP238" s="946">
        <f t="shared" si="1390"/>
        <v>432.00000000000034</v>
      </c>
      <c r="AQ238" s="946">
        <f>+AQ233-AQ217</f>
        <v>661.76488075021655</v>
      </c>
      <c r="AR238" s="946">
        <f t="shared" ref="AR238:AT238" si="1391">+AR233-AR217</f>
        <v>722.20740696868529</v>
      </c>
      <c r="AS238" s="946">
        <f t="shared" si="1391"/>
        <v>484.2</v>
      </c>
      <c r="AT238" s="946">
        <f t="shared" si="1391"/>
        <v>875</v>
      </c>
      <c r="AU238" s="946">
        <f t="shared" ref="AU238:AX238" si="1392">+AU233-AU217</f>
        <v>640.51414791402863</v>
      </c>
      <c r="AV238" s="946">
        <f t="shared" si="1392"/>
        <v>620.33242653597063</v>
      </c>
      <c r="AW238" s="946">
        <f t="shared" si="1392"/>
        <v>675.44126877586609</v>
      </c>
      <c r="AX238" s="946">
        <f t="shared" si="1392"/>
        <v>805.3607186285974</v>
      </c>
      <c r="AY238" s="904"/>
      <c r="AZ238" s="904"/>
      <c r="BA238" s="85"/>
      <c r="BB238" s="946">
        <v>666.20836538563503</v>
      </c>
      <c r="BC238" s="2198">
        <f>+AT238/BB238-1</f>
        <v>0.31340290134829796</v>
      </c>
      <c r="BD238" s="85"/>
      <c r="BE238" s="485"/>
      <c r="BF238" s="485"/>
      <c r="BG238" s="485"/>
      <c r="BH238" s="462"/>
      <c r="BI238" s="904"/>
      <c r="BJ238" s="2144">
        <f>+BJ233-BI233</f>
        <v>652.40000000000009</v>
      </c>
      <c r="BK238" s="946">
        <f t="shared" ref="BK238:BU238" si="1393">+BK233-BK217</f>
        <v>2293.1198611321511</v>
      </c>
      <c r="BL238" s="946">
        <f t="shared" si="1393"/>
        <v>2298.9660728965341</v>
      </c>
      <c r="BM238" s="946">
        <f t="shared" si="1393"/>
        <v>1838.3323617079825</v>
      </c>
      <c r="BN238" s="946">
        <f t="shared" si="1393"/>
        <v>2128.6403427972546</v>
      </c>
      <c r="BO238" s="1042">
        <f t="shared" si="1393"/>
        <v>2602.5774314935543</v>
      </c>
      <c r="BP238" s="946">
        <f t="shared" ref="BP238:BQ238" si="1394">+BP233-BP217</f>
        <v>2743.1722877189018</v>
      </c>
      <c r="BQ238" s="946">
        <f t="shared" si="1394"/>
        <v>2741.648561854463</v>
      </c>
      <c r="BR238" s="946">
        <f t="shared" si="1393"/>
        <v>2820.6690472261889</v>
      </c>
      <c r="BS238" s="946">
        <f t="shared" si="1393"/>
        <v>2833.1043431893881</v>
      </c>
      <c r="BT238" s="946">
        <f t="shared" si="1393"/>
        <v>2922.8021918633185</v>
      </c>
      <c r="BU238" s="946">
        <f t="shared" si="1393"/>
        <v>3012.350764427345</v>
      </c>
    </row>
    <row r="239" spans="1:73" s="325" customFormat="1" ht="15" customHeight="1">
      <c r="B239" s="325" t="s">
        <v>316</v>
      </c>
      <c r="C239" s="462"/>
      <c r="D239" s="462"/>
      <c r="E239" s="462"/>
      <c r="F239" s="462"/>
      <c r="G239" s="471"/>
      <c r="H239" s="471"/>
      <c r="I239" s="471"/>
      <c r="J239" s="471"/>
      <c r="K239" s="471"/>
      <c r="L239" s="471"/>
      <c r="M239" s="471"/>
      <c r="N239" s="471"/>
      <c r="O239" s="471"/>
      <c r="P239" s="471"/>
      <c r="Q239" s="471"/>
      <c r="R239" s="471"/>
      <c r="S239" s="1034"/>
      <c r="T239" s="471"/>
      <c r="U239" s="471"/>
      <c r="V239" s="471"/>
      <c r="W239" s="1034">
        <f t="shared" ref="W239" si="1395">+W238/S238-1</f>
        <v>-0.36802379986973643</v>
      </c>
      <c r="X239" s="471">
        <f t="shared" ref="X239" si="1396">+X238/T238-1</f>
        <v>-0.37690203450107274</v>
      </c>
      <c r="Y239" s="471">
        <f t="shared" ref="Y239" si="1397">+Y238/U238-1</f>
        <v>0.7179818660233741</v>
      </c>
      <c r="Z239" s="471">
        <f t="shared" ref="Z239" si="1398">+Z238/V238-1</f>
        <v>0.26071887636068602</v>
      </c>
      <c r="AA239" s="471">
        <f>+AA238/W238-1</f>
        <v>1.429317214203246</v>
      </c>
      <c r="AB239" s="471">
        <f>+AB238/X238-1</f>
        <v>0.68851564673163956</v>
      </c>
      <c r="AC239" s="471">
        <f>+AC238/Y238-1</f>
        <v>-0.52748470087801302</v>
      </c>
      <c r="AD239" s="471">
        <f>+AD238/Z238-1</f>
        <v>-4.1675811182895206E-2</v>
      </c>
      <c r="AE239" s="471">
        <f t="shared" ref="AE239" si="1399">+AE238/AA238-1</f>
        <v>-0.3680299407950558</v>
      </c>
      <c r="AF239" s="471">
        <f t="shared" ref="AF239" si="1400">+AF238/AB238-1</f>
        <v>-0.14705107058386135</v>
      </c>
      <c r="AG239" s="471">
        <f t="shared" ref="AG239" si="1401">+AG238/AC238-1</f>
        <v>0.12246641256595892</v>
      </c>
      <c r="AH239" s="471">
        <f t="shared" ref="AH239" si="1402">+AH238/AD238-1</f>
        <v>-0.32651321611115058</v>
      </c>
      <c r="AI239" s="471">
        <f t="shared" ref="AI239" si="1403">+AI238/AE238-1</f>
        <v>0.69420166585862875</v>
      </c>
      <c r="AJ239" s="471">
        <f t="shared" ref="AJ239" si="1404">+AJ238/AF238-1</f>
        <v>0.30281751776745991</v>
      </c>
      <c r="AK239" s="471">
        <f t="shared" ref="AK239" si="1405">+AK238/AG238-1</f>
        <v>-0.13284253494522125</v>
      </c>
      <c r="AL239" s="471">
        <f t="shared" ref="AL239" si="1406">+AL238/AH238-1</f>
        <v>-7.028753993610215E-2</v>
      </c>
      <c r="AM239" s="1034">
        <f t="shared" ref="AM239" si="1407">+AM238/AI238-1</f>
        <v>3.9761431411530879E-2</v>
      </c>
      <c r="AN239" s="471">
        <f t="shared" ref="AN239" si="1408">+AN238/AJ238-1</f>
        <v>0.22512730610802478</v>
      </c>
      <c r="AO239" s="471">
        <f t="shared" ref="AO239" si="1409">+AO238/AK238-1</f>
        <v>0.68121350557190885</v>
      </c>
      <c r="AP239" s="471">
        <f t="shared" ref="AP239" si="1410">+AP238/AL238-1</f>
        <v>-1.0309278350514761E-2</v>
      </c>
      <c r="AQ239" s="471">
        <f t="shared" ref="AQ239" si="1411">+AQ238/AM238-1</f>
        <v>5.4437349825074532E-2</v>
      </c>
      <c r="AR239" s="471">
        <f t="shared" ref="AR239" si="1412">+AR238/AN238-1</f>
        <v>-6.3500334067125741E-2</v>
      </c>
      <c r="AS239" s="471">
        <f t="shared" ref="AS239" si="1413">+AS238/AO238-1</f>
        <v>-0.37263539777144361</v>
      </c>
      <c r="AT239" s="471">
        <f t="shared" ref="AT239" si="1414">+AT238/AP238-1</f>
        <v>1.0254629629629615</v>
      </c>
      <c r="AU239" s="471">
        <f t="shared" ref="AU239" si="1415">+AU238/AQ238-1</f>
        <v>-3.2112210022533727E-2</v>
      </c>
      <c r="AV239" s="471">
        <f t="shared" ref="AV239" si="1416">+AV238/AR238-1</f>
        <v>-0.14106055885014201</v>
      </c>
      <c r="AW239" s="471">
        <f t="shared" ref="AW239" si="1417">+AW238/AS238-1</f>
        <v>0.39496338037147072</v>
      </c>
      <c r="AX239" s="471">
        <f t="shared" ref="AX239" si="1418">+AX238/AT238-1</f>
        <v>-7.9587750138745861E-2</v>
      </c>
      <c r="AY239" s="471"/>
      <c r="AZ239" s="471"/>
      <c r="BA239" s="72"/>
      <c r="BB239" s="471">
        <v>0.54214899394822802</v>
      </c>
      <c r="BC239" s="2189"/>
      <c r="BD239" s="72"/>
      <c r="BE239" s="471"/>
      <c r="BF239" s="471"/>
      <c r="BG239" s="471"/>
      <c r="BH239" s="471"/>
      <c r="BI239" s="471"/>
      <c r="BJ239" s="2027">
        <f>+BJ238/BJ233</f>
        <v>0.29668030923146888</v>
      </c>
      <c r="BK239" s="471"/>
      <c r="BL239" s="471">
        <f t="shared" ref="BL239" si="1419">+BL238/BK238-1</f>
        <v>2.5494575593167923E-3</v>
      </c>
      <c r="BM239" s="471">
        <f t="shared" ref="BM239" si="1420">+BM238/BL238-1</f>
        <v>-0.20036559765677009</v>
      </c>
      <c r="BN239" s="471">
        <f t="shared" ref="BN239" si="1421">+BN238/BM238-1</f>
        <v>0.15791920282551564</v>
      </c>
      <c r="BO239" s="1034">
        <f t="shared" ref="BO239:BQ239" si="1422">+BO238/BN238-1</f>
        <v>0.22264779970931925</v>
      </c>
      <c r="BP239" s="471">
        <f t="shared" si="1422"/>
        <v>5.4021392226037968E-2</v>
      </c>
      <c r="BQ239" s="471">
        <f t="shared" si="1422"/>
        <v>-5.5546123415595172E-4</v>
      </c>
      <c r="BR239" s="471">
        <f t="shared" ref="BR239" si="1423">+BR238/BQ238-1</f>
        <v>2.8822251863775072E-2</v>
      </c>
      <c r="BS239" s="471">
        <f t="shared" ref="BS239" si="1424">+BS238/BR238-1</f>
        <v>4.4086334678037353E-3</v>
      </c>
      <c r="BT239" s="471">
        <f t="shared" ref="BT239" si="1425">+BT238/BS238-1</f>
        <v>3.1660623051021242E-2</v>
      </c>
      <c r="BU239" s="471">
        <f t="shared" ref="BU239" si="1426">+BU238/BT238-1</f>
        <v>3.0637917548206772E-2</v>
      </c>
    </row>
    <row r="240" spans="1:73" s="468" customFormat="1" ht="15" customHeight="1">
      <c r="B240" s="468" t="s">
        <v>30</v>
      </c>
      <c r="C240" s="902"/>
      <c r="D240" s="902"/>
      <c r="E240" s="902"/>
      <c r="F240" s="902"/>
      <c r="G240" s="902"/>
      <c r="H240" s="902"/>
      <c r="I240" s="902"/>
      <c r="J240" s="902"/>
      <c r="K240" s="902"/>
      <c r="L240" s="902"/>
      <c r="M240" s="902"/>
      <c r="N240" s="902"/>
      <c r="O240" s="902"/>
      <c r="P240" s="902"/>
      <c r="Q240" s="902"/>
      <c r="R240" s="902"/>
      <c r="S240" s="1037">
        <f t="shared" ref="S240:V240" si="1427">+S238/S$144</f>
        <v>9.0369896389634038E-2</v>
      </c>
      <c r="T240" s="902">
        <f t="shared" si="1427"/>
        <v>0.11301427371956337</v>
      </c>
      <c r="U240" s="902">
        <f t="shared" si="1427"/>
        <v>0.12367491166077731</v>
      </c>
      <c r="V240" s="902">
        <f t="shared" si="1427"/>
        <v>0.11001372788285549</v>
      </c>
      <c r="W240" s="1037">
        <f>+W238/W$144</f>
        <v>5.5753227947969324E-2</v>
      </c>
      <c r="X240" s="902">
        <f t="shared" ref="X240:AP240" si="1428">+X238/X$144</f>
        <v>8.4381604402903224E-2</v>
      </c>
      <c r="Y240" s="902">
        <f t="shared" si="1428"/>
        <v>0.16407184301393576</v>
      </c>
      <c r="Z240" s="902">
        <f t="shared" si="1428"/>
        <v>0.11508951549854703</v>
      </c>
      <c r="AA240" s="902">
        <f t="shared" si="1428"/>
        <v>0.10870849554861156</v>
      </c>
      <c r="AB240" s="902">
        <f t="shared" si="1428"/>
        <v>0.10236485201596615</v>
      </c>
      <c r="AC240" s="902">
        <f t="shared" si="1428"/>
        <v>8.4957209329949865E-2</v>
      </c>
      <c r="AD240" s="902">
        <f t="shared" si="1428"/>
        <v>0.11349467734155294</v>
      </c>
      <c r="AE240" s="902">
        <f t="shared" si="1428"/>
        <v>7.4981373768427173E-2</v>
      </c>
      <c r="AF240" s="902">
        <f t="shared" si="1428"/>
        <v>8.697720328484268E-2</v>
      </c>
      <c r="AG240" s="902">
        <f t="shared" si="1428"/>
        <v>9.1631328429251369E-2</v>
      </c>
      <c r="AH240" s="902">
        <f t="shared" si="1428"/>
        <v>7.8997846278099346E-2</v>
      </c>
      <c r="AI240" s="902">
        <f t="shared" si="1428"/>
        <v>0.12410304911898346</v>
      </c>
      <c r="AJ240" s="902">
        <f t="shared" si="1428"/>
        <v>0.11522509492441733</v>
      </c>
      <c r="AK240" s="902">
        <f t="shared" si="1428"/>
        <v>8.7742771167006892E-2</v>
      </c>
      <c r="AL240" s="902">
        <f t="shared" si="1428"/>
        <v>7.4206929380163891E-2</v>
      </c>
      <c r="AM240" s="1037">
        <f t="shared" si="1428"/>
        <v>0.13340135186838409</v>
      </c>
      <c r="AN240" s="902">
        <f t="shared" si="1428"/>
        <v>0.13021273526154473</v>
      </c>
      <c r="AO240" s="902">
        <f t="shared" si="1428"/>
        <v>0.12915794898423688</v>
      </c>
      <c r="AP240" s="902">
        <f t="shared" si="1428"/>
        <v>6.0925732660141639E-2</v>
      </c>
      <c r="AQ240" s="902">
        <f t="shared" ref="AQ240:AT240" si="1429">+AQ238/AQ$144</f>
        <v>0.12867177581815095</v>
      </c>
      <c r="AR240" s="902">
        <f t="shared" si="1429"/>
        <v>0.12698375478578705</v>
      </c>
      <c r="AS240" s="902">
        <f t="shared" si="1429"/>
        <v>9.3222949557181356E-2</v>
      </c>
      <c r="AT240" s="902">
        <f t="shared" si="1429"/>
        <v>0.14128855159050541</v>
      </c>
      <c r="AU240" s="902">
        <f t="shared" ref="AU240:AX240" si="1430">+AU238/AU$144</f>
        <v>0.13712027555381467</v>
      </c>
      <c r="AV240" s="902">
        <f t="shared" si="1430"/>
        <v>0.11098774279987202</v>
      </c>
      <c r="AW240" s="902">
        <f t="shared" si="1430"/>
        <v>0.13318510228505795</v>
      </c>
      <c r="AX240" s="902">
        <f t="shared" si="1430"/>
        <v>0.12672665137991804</v>
      </c>
      <c r="AY240" s="902"/>
      <c r="AZ240" s="902"/>
      <c r="BA240" s="2257"/>
      <c r="BB240" s="902">
        <v>0.1049818148660274</v>
      </c>
      <c r="BC240" s="2200">
        <f>+AT240-BB240</f>
        <v>3.6306736724478011E-2</v>
      </c>
      <c r="BD240" s="2257"/>
      <c r="BE240" s="902"/>
      <c r="BF240" s="902"/>
      <c r="BG240" s="902"/>
      <c r="BH240" s="902"/>
      <c r="BI240" s="902"/>
      <c r="BJ240" s="2033">
        <f>+BJ238/BJ$161</f>
        <v>6.6799774740183296E-2</v>
      </c>
      <c r="BK240" s="902">
        <f>+BK238/BK$144</f>
        <v>0.11162971157578794</v>
      </c>
      <c r="BL240" s="902">
        <f>+BL238/BL$144</f>
        <v>0.10257105449849351</v>
      </c>
      <c r="BM240" s="902">
        <f>+BM238/BM$144</f>
        <v>8.3457378228189799E-2</v>
      </c>
      <c r="BN240" s="902">
        <f>+BN238/BN$144</f>
        <v>9.9279575036728504E-2</v>
      </c>
      <c r="BO240" s="1037">
        <f>+BO238/BO$144</f>
        <v>0.1098445786235912</v>
      </c>
      <c r="BP240" s="902">
        <f t="shared" ref="BP240:BQ240" si="1431">+BP238/BP$144</f>
        <v>0.12346928938924336</v>
      </c>
      <c r="BQ240" s="902">
        <f t="shared" si="1431"/>
        <v>0.12641938635887429</v>
      </c>
      <c r="BR240" s="902">
        <f>+BR238/BR$144</f>
        <v>0.12449105765970608</v>
      </c>
      <c r="BS240" s="902">
        <f>+BS238/BS$144</f>
        <v>0.12037648577332677</v>
      </c>
      <c r="BT240" s="902">
        <f>+BT238/BT$144</f>
        <v>0.11959414211094643</v>
      </c>
      <c r="BU240" s="902">
        <f>+BU238/BU$144</f>
        <v>0.11901527491625179</v>
      </c>
    </row>
    <row r="241" spans="1:73" s="325" customFormat="1" ht="15" customHeight="1">
      <c r="C241" s="673" t="e">
        <f>+C240-#REF!</f>
        <v>#REF!</v>
      </c>
      <c r="D241" s="673" t="e">
        <f>+D240-#REF!</f>
        <v>#REF!</v>
      </c>
      <c r="E241" s="673">
        <f t="shared" ref="E241" si="1432">+E240-A240</f>
        <v>0</v>
      </c>
      <c r="F241" s="673" t="e">
        <f t="shared" ref="F241" si="1433">+F240-B240</f>
        <v>#VALUE!</v>
      </c>
      <c r="G241" s="673">
        <f t="shared" ref="G241" si="1434">+G240-C240</f>
        <v>0</v>
      </c>
      <c r="H241" s="673">
        <f t="shared" ref="H241" si="1435">+H240-D240</f>
        <v>0</v>
      </c>
      <c r="I241" s="673">
        <f t="shared" ref="I241" si="1436">+I240-E240</f>
        <v>0</v>
      </c>
      <c r="J241" s="673">
        <f t="shared" ref="J241" si="1437">+J240-F240</f>
        <v>0</v>
      </c>
      <c r="K241" s="673">
        <f t="shared" ref="K241" si="1438">+K240-G240</f>
        <v>0</v>
      </c>
      <c r="L241" s="673">
        <f t="shared" ref="L241" si="1439">+L240-H240</f>
        <v>0</v>
      </c>
      <c r="M241" s="673">
        <f t="shared" ref="M241" si="1440">+M240-I240</f>
        <v>0</v>
      </c>
      <c r="N241" s="673">
        <f t="shared" ref="N241" si="1441">+N240-J240</f>
        <v>0</v>
      </c>
      <c r="O241" s="673">
        <f t="shared" ref="O241" si="1442">+O240-K240</f>
        <v>0</v>
      </c>
      <c r="P241" s="673">
        <f t="shared" ref="P241" si="1443">+P240-L240</f>
        <v>0</v>
      </c>
      <c r="Q241" s="673">
        <f t="shared" ref="Q241" si="1444">+Q240-M240</f>
        <v>0</v>
      </c>
      <c r="R241" s="673">
        <f t="shared" ref="R241" si="1445">+R240-N240</f>
        <v>0</v>
      </c>
      <c r="S241" s="1832">
        <f t="shared" ref="S241" si="1446">+S240-O240</f>
        <v>9.0369896389634038E-2</v>
      </c>
      <c r="T241" s="1535">
        <f t="shared" ref="T241" si="1447">+T240-P240</f>
        <v>0.11301427371956337</v>
      </c>
      <c r="U241" s="1535">
        <f t="shared" ref="U241" si="1448">+U240-Q240</f>
        <v>0.12367491166077731</v>
      </c>
      <c r="V241" s="1535">
        <f t="shared" ref="V241" si="1449">+V240-R240</f>
        <v>0.11001372788285549</v>
      </c>
      <c r="W241" s="1832">
        <f t="shared" ref="W241" si="1450">+W240-S240</f>
        <v>-3.4616668441664715E-2</v>
      </c>
      <c r="X241" s="673">
        <f t="shared" ref="X241" si="1451">+X240-T240</f>
        <v>-2.8632669316660142E-2</v>
      </c>
      <c r="Y241" s="673">
        <f t="shared" ref="Y241" si="1452">+Y240-U240</f>
        <v>4.0396931353158458E-2</v>
      </c>
      <c r="Z241" s="673">
        <f t="shared" ref="Z241" si="1453">+Z240-V240</f>
        <v>5.0757876156915377E-3</v>
      </c>
      <c r="AA241" s="673">
        <f t="shared" ref="AA241" si="1454">+AA240-W240</f>
        <v>5.2955267600642238E-2</v>
      </c>
      <c r="AB241" s="673">
        <f t="shared" ref="AB241" si="1455">+AB240-X240</f>
        <v>1.7983247613062928E-2</v>
      </c>
      <c r="AC241" s="673">
        <f t="shared" ref="AC241" si="1456">+AC240-Y240</f>
        <v>-7.9114633683985899E-2</v>
      </c>
      <c r="AD241" s="673">
        <f t="shared" ref="AD241" si="1457">+AD240-Z240</f>
        <v>-1.5948381569940856E-3</v>
      </c>
      <c r="AE241" s="673">
        <f t="shared" ref="AE241" si="1458">+AE240-AA240</f>
        <v>-3.3727121780184388E-2</v>
      </c>
      <c r="AF241" s="673">
        <f t="shared" ref="AF241" si="1459">+AF240-AB240</f>
        <v>-1.5387648731123471E-2</v>
      </c>
      <c r="AG241" s="673">
        <f t="shared" ref="AG241" si="1460">+AG240-AC240</f>
        <v>6.6741190993015037E-3</v>
      </c>
      <c r="AH241" s="673">
        <f t="shared" ref="AH241" si="1461">+AH240-AD240</f>
        <v>-3.4496831063453595E-2</v>
      </c>
      <c r="AI241" s="673">
        <f t="shared" ref="AI241" si="1462">+AI240-AE240</f>
        <v>4.9121675350556282E-2</v>
      </c>
      <c r="AJ241" s="673">
        <f t="shared" ref="AJ241" si="1463">+AJ240-AF240</f>
        <v>2.8247891639574654E-2</v>
      </c>
      <c r="AK241" s="673">
        <f t="shared" ref="AK241" si="1464">+AK240-AG240</f>
        <v>-3.888557262244477E-3</v>
      </c>
      <c r="AL241" s="673">
        <f t="shared" ref="AL241" si="1465">+AL240-AH240</f>
        <v>-4.7909168979354544E-3</v>
      </c>
      <c r="AM241" s="1832">
        <f t="shared" ref="AM241" si="1466">+AM240-AI240</f>
        <v>9.2983027494006332E-3</v>
      </c>
      <c r="AN241" s="673">
        <f t="shared" ref="AN241" si="1467">+AN240-AJ240</f>
        <v>1.4987640337127392E-2</v>
      </c>
      <c r="AO241" s="673">
        <f t="shared" ref="AO241" si="1468">+AO240-AK240</f>
        <v>4.1415177817229989E-2</v>
      </c>
      <c r="AP241" s="673">
        <f t="shared" ref="AP241" si="1469">+AP240-AL240</f>
        <v>-1.3281196720022252E-2</v>
      </c>
      <c r="AQ241" s="673">
        <f t="shared" ref="AQ241" si="1470">+AQ240-AM240</f>
        <v>-4.7295760502331363E-3</v>
      </c>
      <c r="AR241" s="673">
        <f t="shared" ref="AR241" si="1471">+AR240-AN240</f>
        <v>-3.2289804757576757E-3</v>
      </c>
      <c r="AS241" s="673">
        <f t="shared" ref="AS241" si="1472">+AS240-AO240</f>
        <v>-3.5934999427055525E-2</v>
      </c>
      <c r="AT241" s="673">
        <f t="shared" ref="AT241" si="1473">+AT240-AP240</f>
        <v>8.0362818930363761E-2</v>
      </c>
      <c r="AU241" s="673">
        <f t="shared" ref="AU241" si="1474">+AU240-AQ240</f>
        <v>8.4484997356637226E-3</v>
      </c>
      <c r="AV241" s="673">
        <f t="shared" ref="AV241" si="1475">+AV240-AR240</f>
        <v>-1.5996011985915035E-2</v>
      </c>
      <c r="AW241" s="673">
        <f t="shared" ref="AW241" si="1476">+AW240-AS240</f>
        <v>3.9962152727876593E-2</v>
      </c>
      <c r="AX241" s="673">
        <f t="shared" ref="AX241" si="1477">+AX240-AT240</f>
        <v>-1.456190021058737E-2</v>
      </c>
      <c r="AY241" s="673"/>
      <c r="AZ241" s="673"/>
      <c r="BA241" s="72"/>
      <c r="BB241" s="673">
        <v>4.4056082205885756E-2</v>
      </c>
      <c r="BC241" s="2189"/>
      <c r="BD241" s="72"/>
      <c r="BE241" s="337"/>
      <c r="BF241" s="673"/>
      <c r="BG241" s="673"/>
      <c r="BH241" s="673"/>
      <c r="BI241" s="673"/>
      <c r="BJ241" s="2039"/>
      <c r="BK241" s="673">
        <f>+BK240-BJ240</f>
        <v>4.4829936835604642E-2</v>
      </c>
      <c r="BL241" s="673">
        <f t="shared" ref="BL241" si="1478">+BL240-BK240</f>
        <v>-9.0586570772944325E-3</v>
      </c>
      <c r="BM241" s="673">
        <f t="shared" ref="BM241" si="1479">+BM240-BL240</f>
        <v>-1.9113676270303706E-2</v>
      </c>
      <c r="BN241" s="673">
        <f t="shared" ref="BN241" si="1480">+BN240-BM240</f>
        <v>1.5822196808538705E-2</v>
      </c>
      <c r="BO241" s="1832">
        <f t="shared" ref="BO241:BQ241" si="1481">+BO240-BN240</f>
        <v>1.0565003586862701E-2</v>
      </c>
      <c r="BP241" s="673">
        <f t="shared" si="1481"/>
        <v>1.3624710765652151E-2</v>
      </c>
      <c r="BQ241" s="673">
        <f t="shared" si="1481"/>
        <v>2.9500969696309304E-3</v>
      </c>
      <c r="BR241" s="673">
        <f t="shared" ref="BR241" si="1482">+BR240-BQ240</f>
        <v>-1.9283286991682025E-3</v>
      </c>
      <c r="BS241" s="673">
        <f t="shared" ref="BS241" si="1483">+BS240-BR240</f>
        <v>-4.1145718863793146E-3</v>
      </c>
      <c r="BT241" s="673">
        <f t="shared" ref="BT241" si="1484">+BT240-BS240</f>
        <v>-7.8234366238033592E-4</v>
      </c>
      <c r="BU241" s="673">
        <f t="shared" ref="BU241" si="1485">+BU240-BT240</f>
        <v>-5.7886719469464609E-4</v>
      </c>
    </row>
    <row r="242" spans="1:73" s="325" customFormat="1" ht="15" customHeight="1">
      <c r="C242" s="673"/>
      <c r="D242" s="673"/>
      <c r="E242" s="673"/>
      <c r="F242" s="673"/>
      <c r="G242" s="673"/>
      <c r="H242" s="673"/>
      <c r="I242" s="673"/>
      <c r="J242" s="673"/>
      <c r="K242" s="673"/>
      <c r="L242" s="673"/>
      <c r="M242" s="673"/>
      <c r="N242" s="673"/>
      <c r="O242" s="673"/>
      <c r="P242" s="673"/>
      <c r="Q242" s="673"/>
      <c r="R242" s="673"/>
      <c r="S242" s="673"/>
      <c r="T242" s="1535"/>
      <c r="U242" s="1535"/>
      <c r="V242" s="1535"/>
      <c r="W242" s="673"/>
      <c r="X242" s="673"/>
      <c r="Y242" s="673"/>
      <c r="Z242" s="673"/>
      <c r="AA242" s="673"/>
      <c r="AB242" s="673"/>
      <c r="AC242" s="673"/>
      <c r="AD242" s="673"/>
      <c r="AE242" s="673"/>
      <c r="AF242" s="673"/>
      <c r="AG242" s="673"/>
      <c r="AH242" s="673"/>
      <c r="AI242" s="673"/>
      <c r="AJ242" s="673"/>
      <c r="AK242" s="673"/>
      <c r="AL242" s="673"/>
      <c r="AM242" s="1832"/>
      <c r="AN242" s="673"/>
      <c r="AO242" s="673"/>
      <c r="AP242" s="673"/>
      <c r="AQ242" s="673"/>
      <c r="AR242" s="673"/>
      <c r="AS242" s="2337">
        <f>+AS243*2+AR243+AQ243</f>
        <v>2781.7941330770354</v>
      </c>
      <c r="AT242" s="2337"/>
      <c r="AU242" s="673"/>
      <c r="AV242" s="673"/>
      <c r="AW242" s="673"/>
      <c r="AX242" s="673"/>
      <c r="AY242" s="673"/>
      <c r="AZ242" s="673"/>
      <c r="BA242" s="72"/>
      <c r="BB242" s="673"/>
      <c r="BC242" s="2189"/>
      <c r="BD242" s="72"/>
      <c r="BE242" s="337"/>
      <c r="BF242" s="673"/>
      <c r="BG242" s="673"/>
      <c r="BH242" s="673"/>
      <c r="BI242" s="673"/>
      <c r="BJ242" s="2039"/>
      <c r="BK242" s="673"/>
      <c r="BL242" s="673"/>
      <c r="BM242" s="673"/>
      <c r="BN242" s="673"/>
      <c r="BO242" s="1832"/>
      <c r="BP242" s="673">
        <f>+AS242/BP$144</f>
        <v>0.1252076460439161</v>
      </c>
      <c r="BQ242" s="673">
        <f>+AT242/BQ$144</f>
        <v>0</v>
      </c>
      <c r="BR242" s="673"/>
      <c r="BS242" s="673"/>
      <c r="BT242" s="673"/>
      <c r="BU242" s="673"/>
    </row>
    <row r="243" spans="1:73" s="484" customFormat="1" ht="15" customHeight="1">
      <c r="A243" s="483"/>
      <c r="B243" s="484" t="s">
        <v>328</v>
      </c>
      <c r="C243" s="485"/>
      <c r="D243" s="485"/>
      <c r="E243" s="485"/>
      <c r="F243" s="485"/>
      <c r="G243" s="485"/>
      <c r="H243" s="485"/>
      <c r="I243" s="485"/>
      <c r="J243" s="485"/>
      <c r="K243" s="485"/>
      <c r="L243" s="485"/>
      <c r="M243" s="485"/>
      <c r="N243" s="485"/>
      <c r="O243" s="485"/>
      <c r="P243" s="485"/>
      <c r="Q243" s="485"/>
      <c r="R243" s="485"/>
      <c r="S243" s="946">
        <f t="shared" ref="S243:AL243" si="1486">+S238-S218</f>
        <v>367.19999999999993</v>
      </c>
      <c r="T243" s="946">
        <f t="shared" si="1486"/>
        <v>538.39999999999986</v>
      </c>
      <c r="U243" s="946">
        <f t="shared" si="1486"/>
        <v>580.99999999999966</v>
      </c>
      <c r="V243" s="946">
        <f t="shared" si="1486"/>
        <v>577.00000000000045</v>
      </c>
      <c r="W243" s="946">
        <f t="shared" si="1486"/>
        <v>242.59999999999988</v>
      </c>
      <c r="X243" s="946">
        <f t="shared" si="1486"/>
        <v>359.79999999999995</v>
      </c>
      <c r="Y243" s="946">
        <f t="shared" si="1486"/>
        <v>1028.8000000000004</v>
      </c>
      <c r="Z243" s="946">
        <f t="shared" si="1486"/>
        <v>784.9000000000002</v>
      </c>
      <c r="AA243" s="946">
        <f t="shared" si="1486"/>
        <v>619.69999999999993</v>
      </c>
      <c r="AB243" s="946">
        <f t="shared" si="1486"/>
        <v>604.30000000000007</v>
      </c>
      <c r="AC243" s="946">
        <f t="shared" si="1486"/>
        <v>523.29999999999984</v>
      </c>
      <c r="AD243" s="946">
        <f t="shared" si="1486"/>
        <v>739.69999999999993</v>
      </c>
      <c r="AE243" s="946">
        <f t="shared" si="1486"/>
        <v>391.5</v>
      </c>
      <c r="AF243" s="946">
        <f t="shared" si="1486"/>
        <v>583.09999999999968</v>
      </c>
      <c r="AG243" s="946">
        <f t="shared" si="1486"/>
        <v>593.49999999999977</v>
      </c>
      <c r="AH243" s="946">
        <f t="shared" si="1486"/>
        <v>526.4</v>
      </c>
      <c r="AI243" s="946">
        <f t="shared" si="1486"/>
        <v>629.69999999999982</v>
      </c>
      <c r="AJ243" s="946">
        <f t="shared" si="1486"/>
        <v>728.16718079725501</v>
      </c>
      <c r="AK243" s="946">
        <f t="shared" si="1486"/>
        <v>665.53616199999965</v>
      </c>
      <c r="AL243" s="946">
        <f t="shared" si="1486"/>
        <v>603.5</v>
      </c>
      <c r="AM243" s="1042">
        <f>+AM238-AM218</f>
        <v>669.69999999999982</v>
      </c>
      <c r="AN243" s="946">
        <f t="shared" ref="AN243:AP243" si="1487">+AN238-AN218</f>
        <v>837.66307449263809</v>
      </c>
      <c r="AO243" s="946">
        <f t="shared" si="1487"/>
        <v>892.90000000000032</v>
      </c>
      <c r="AP243" s="946">
        <f t="shared" si="1487"/>
        <v>689.20000000000027</v>
      </c>
      <c r="AQ243" s="946">
        <f>+AQ238-AQ218</f>
        <v>787.48672610834979</v>
      </c>
      <c r="AR243" s="946">
        <f>+AR238-AR218</f>
        <v>809.90740696868534</v>
      </c>
      <c r="AS243" s="946">
        <f>+AS238-AS218</f>
        <v>592.20000000000005</v>
      </c>
      <c r="AT243" s="946">
        <f>+AT238-AT218</f>
        <v>980</v>
      </c>
      <c r="AU243" s="946">
        <f t="shared" ref="AU243:AX243" si="1488">+AU238-AU218</f>
        <v>640.51414791402863</v>
      </c>
      <c r="AV243" s="946">
        <f t="shared" si="1488"/>
        <v>620.33242653597063</v>
      </c>
      <c r="AW243" s="946">
        <f t="shared" si="1488"/>
        <v>675.44126877586609</v>
      </c>
      <c r="AX243" s="946">
        <f t="shared" si="1488"/>
        <v>805.3607186285974</v>
      </c>
      <c r="AY243" s="904"/>
      <c r="AZ243" s="904"/>
      <c r="BA243" s="85"/>
      <c r="BB243" s="946">
        <v>766.20836538563503</v>
      </c>
      <c r="BC243" s="2198">
        <f>+AT243/BB243-1</f>
        <v>0.27902545087296593</v>
      </c>
      <c r="BD243" s="85"/>
      <c r="BE243" s="485"/>
      <c r="BF243" s="485"/>
      <c r="BG243" s="485"/>
      <c r="BH243" s="462"/>
      <c r="BI243" s="904"/>
      <c r="BJ243" s="946">
        <f t="shared" ref="BJ243:BU243" si="1489">+BJ238-BJ218</f>
        <v>652.40000000000009</v>
      </c>
      <c r="BK243" s="946">
        <f t="shared" si="1489"/>
        <v>2416.1000000000004</v>
      </c>
      <c r="BL243" s="946">
        <f t="shared" si="1489"/>
        <v>2487</v>
      </c>
      <c r="BM243" s="946">
        <f t="shared" si="1489"/>
        <v>2094.4999999999995</v>
      </c>
      <c r="BN243" s="946">
        <f t="shared" si="1489"/>
        <v>2626.9033427972545</v>
      </c>
      <c r="BO243" s="1042">
        <f t="shared" si="1489"/>
        <v>3089.4630744926385</v>
      </c>
      <c r="BP243" s="946">
        <f>+BP238-BP218</f>
        <v>3169.5941330770352</v>
      </c>
      <c r="BQ243" s="946">
        <f t="shared" ref="BQ243" si="1490">+BQ238-BQ218</f>
        <v>2741.648561854463</v>
      </c>
      <c r="BR243" s="946">
        <f t="shared" si="1489"/>
        <v>2820.6690472261889</v>
      </c>
      <c r="BS243" s="946">
        <f t="shared" si="1489"/>
        <v>2883.1043431893881</v>
      </c>
      <c r="BT243" s="946">
        <f t="shared" si="1489"/>
        <v>2972.8021918633185</v>
      </c>
      <c r="BU243" s="946">
        <f t="shared" si="1489"/>
        <v>3062.350764427345</v>
      </c>
    </row>
    <row r="244" spans="1:73" s="326" customFormat="1" ht="15" customHeight="1">
      <c r="C244" s="462"/>
      <c r="D244" s="462"/>
      <c r="E244" s="462"/>
      <c r="F244" s="462"/>
      <c r="G244" s="462"/>
      <c r="H244" s="462"/>
      <c r="I244" s="462"/>
      <c r="J244" s="462"/>
      <c r="K244" s="462"/>
      <c r="L244" s="462"/>
      <c r="M244" s="462"/>
      <c r="N244" s="462"/>
      <c r="O244" s="462"/>
      <c r="P244" s="462"/>
      <c r="Q244" s="462"/>
      <c r="R244" s="462"/>
      <c r="S244" s="471" t="e">
        <f t="shared" ref="S244" si="1491">+S243/O243-1</f>
        <v>#DIV/0!</v>
      </c>
      <c r="T244" s="471" t="e">
        <f t="shared" ref="T244" si="1492">+T243/P243-1</f>
        <v>#DIV/0!</v>
      </c>
      <c r="U244" s="471" t="e">
        <f t="shared" ref="U244" si="1493">+U243/Q243-1</f>
        <v>#DIV/0!</v>
      </c>
      <c r="V244" s="471" t="e">
        <f t="shared" ref="V244" si="1494">+V243/R243-1</f>
        <v>#DIV/0!</v>
      </c>
      <c r="W244" s="471">
        <f t="shared" ref="W244" si="1495">+W243/S243-1</f>
        <v>-0.33932461873638364</v>
      </c>
      <c r="X244" s="471">
        <f t="shared" ref="X244" si="1496">+X243/T243-1</f>
        <v>-0.33172362555720647</v>
      </c>
      <c r="Y244" s="471">
        <f t="shared" ref="Y244" si="1497">+Y243/U243-1</f>
        <v>0.77074010327022546</v>
      </c>
      <c r="Z244" s="471">
        <f t="shared" ref="Z244" si="1498">+Z243/V243-1</f>
        <v>0.3603119584055452</v>
      </c>
      <c r="AA244" s="471">
        <f t="shared" ref="AA244" si="1499">+AA243/W243-1</f>
        <v>1.5544105523495477</v>
      </c>
      <c r="AB244" s="471">
        <f t="shared" ref="AB244" si="1500">+AB243/X243-1</f>
        <v>0.67954419121734344</v>
      </c>
      <c r="AC244" s="471">
        <f t="shared" ref="AC244" si="1501">+AC243/Y243-1</f>
        <v>-0.49134914463452606</v>
      </c>
      <c r="AD244" s="471">
        <f t="shared" ref="AD244" si="1502">+AD243/Z243-1</f>
        <v>-5.758695375207068E-2</v>
      </c>
      <c r="AE244" s="471">
        <f t="shared" ref="AE244" si="1503">+AE243/AA243-1</f>
        <v>-0.36824269807971588</v>
      </c>
      <c r="AF244" s="471">
        <f t="shared" ref="AF244" si="1504">+AF243/AB243-1</f>
        <v>-3.5081912957141137E-2</v>
      </c>
      <c r="AG244" s="471">
        <f t="shared" ref="AG244" si="1505">+AG243/AC243-1</f>
        <v>0.13414867188992918</v>
      </c>
      <c r="AH244" s="471">
        <f t="shared" ref="AH244" si="1506">+AH243/AD243-1</f>
        <v>-0.28836014600513715</v>
      </c>
      <c r="AI244" s="471">
        <f t="shared" ref="AI244" si="1507">+AI243/AE243-1</f>
        <v>0.6084291187739459</v>
      </c>
      <c r="AJ244" s="471">
        <f t="shared" ref="AJ244" si="1508">+AJ243/AF243-1</f>
        <v>0.24878611009647633</v>
      </c>
      <c r="AK244" s="471">
        <f t="shared" ref="AK244" si="1509">+AK243/AG243-1</f>
        <v>0.12137516764953649</v>
      </c>
      <c r="AL244" s="471">
        <f t="shared" ref="AL244" si="1510">+AL243/AH243-1</f>
        <v>0.14646656534954405</v>
      </c>
      <c r="AM244" s="1034">
        <f t="shared" ref="AM244" si="1511">+AM243/AI243-1</f>
        <v>6.3522312212164644E-2</v>
      </c>
      <c r="AN244" s="471">
        <f t="shared" ref="AN244" si="1512">+AN243/AJ243-1</f>
        <v>0.15037191538280847</v>
      </c>
      <c r="AO244" s="471">
        <f t="shared" ref="AO244" si="1513">+AO243/AK243-1</f>
        <v>0.34162507010400556</v>
      </c>
      <c r="AP244" s="471">
        <f t="shared" ref="AP244" si="1514">+AP243/AL243-1</f>
        <v>0.14200497100248599</v>
      </c>
      <c r="AQ244" s="471">
        <f t="shared" ref="AQ244" si="1515">+AQ243/AM243-1</f>
        <v>0.17587983590913847</v>
      </c>
      <c r="AR244" s="471">
        <f t="shared" ref="AR244" si="1516">+AR243/AN243-1</f>
        <v>-3.3134643711929201E-2</v>
      </c>
      <c r="AS244" s="471">
        <f t="shared" ref="AS244" si="1517">+AS243/AO243-1</f>
        <v>-0.33676783514391329</v>
      </c>
      <c r="AT244" s="471">
        <f t="shared" ref="AT244" si="1518">+AT243/AP243-1</f>
        <v>0.42193847939640117</v>
      </c>
      <c r="AU244" s="471">
        <f t="shared" ref="AU244" si="1519">+AU243/AQ243-1</f>
        <v>-0.18663499119615545</v>
      </c>
      <c r="AV244" s="471">
        <f t="shared" ref="AV244" si="1520">+AV243/AR243-1</f>
        <v>-0.23406994281266591</v>
      </c>
      <c r="AW244" s="471">
        <f t="shared" ref="AW244" si="1521">+AW243/AS243-1</f>
        <v>0.14056276389035127</v>
      </c>
      <c r="AX244" s="471">
        <f t="shared" ref="AX244" si="1522">+AX243/AT243-1</f>
        <v>-0.17820334833816587</v>
      </c>
      <c r="AY244" s="471"/>
      <c r="AZ244" s="471"/>
      <c r="BA244" s="85"/>
      <c r="BB244" s="471">
        <v>0.11173587548699171</v>
      </c>
      <c r="BC244" s="2197"/>
      <c r="BD244" s="85"/>
      <c r="BE244" s="462"/>
      <c r="BF244" s="462"/>
      <c r="BG244" s="462"/>
      <c r="BH244" s="462"/>
      <c r="BI244" s="904"/>
      <c r="BJ244" s="2144"/>
      <c r="BK244" s="471"/>
      <c r="BL244" s="471">
        <f t="shared" ref="BL244:BM244" si="1523">+BL243/BK243-1</f>
        <v>2.934481188692506E-2</v>
      </c>
      <c r="BM244" s="471">
        <f t="shared" si="1523"/>
        <v>-0.15782066747084855</v>
      </c>
      <c r="BN244" s="471">
        <f t="shared" ref="BN244" si="1524">+BN243/BM243-1</f>
        <v>0.25419114003211041</v>
      </c>
      <c r="BO244" s="1034">
        <f t="shared" ref="BO244:BQ244" si="1525">+BO243/BN243-1</f>
        <v>0.17608555448516339</v>
      </c>
      <c r="BP244" s="471">
        <f t="shared" si="1525"/>
        <v>2.5936888272262593E-2</v>
      </c>
      <c r="BQ244" s="471">
        <f t="shared" si="1525"/>
        <v>-0.13501588949722199</v>
      </c>
      <c r="BR244" s="471">
        <f t="shared" ref="BR244" si="1526">+BR243/BQ243-1</f>
        <v>2.8822251863775072E-2</v>
      </c>
      <c r="BS244" s="471">
        <f t="shared" ref="BS244" si="1527">+BS243/BR243-1</f>
        <v>2.2134924345200035E-2</v>
      </c>
      <c r="BT244" s="471">
        <f t="shared" ref="BT244" si="1528">+BT243/BS243-1</f>
        <v>3.1111551299147111E-2</v>
      </c>
      <c r="BU244" s="471">
        <f t="shared" ref="BU244" si="1529">+BU243/BT243-1</f>
        <v>3.0122613878960536E-2</v>
      </c>
    </row>
    <row r="245" spans="1:73" s="325" customFormat="1" ht="15" customHeight="1">
      <c r="S245" s="902">
        <f t="shared" ref="S245:AP245" si="1530">+S243/S$144</f>
        <v>9.0369896389634038E-2</v>
      </c>
      <c r="T245" s="902">
        <f t="shared" si="1530"/>
        <v>0.11301427371956337</v>
      </c>
      <c r="U245" s="902">
        <f t="shared" si="1530"/>
        <v>0.12367491166077731</v>
      </c>
      <c r="V245" s="902">
        <f t="shared" si="1530"/>
        <v>0.11001372788285549</v>
      </c>
      <c r="W245" s="902">
        <f t="shared" si="1530"/>
        <v>5.8285082766739514E-2</v>
      </c>
      <c r="X245" s="902">
        <f t="shared" si="1530"/>
        <v>9.0499786201172119E-2</v>
      </c>
      <c r="Y245" s="902">
        <f t="shared" si="1530"/>
        <v>0.16911039516076012</v>
      </c>
      <c r="Z245" s="902">
        <f t="shared" si="1530"/>
        <v>0.12418124861563778</v>
      </c>
      <c r="AA245" s="902">
        <f t="shared" si="1530"/>
        <v>0.11949709790007521</v>
      </c>
      <c r="AB245" s="902">
        <f t="shared" si="1530"/>
        <v>0.10920360698989827</v>
      </c>
      <c r="AC245" s="902">
        <f t="shared" si="1530"/>
        <v>9.4262811852652409E-2</v>
      </c>
      <c r="AD245" s="902">
        <f t="shared" si="1530"/>
        <v>0.12042720153688356</v>
      </c>
      <c r="AE245" s="902">
        <f t="shared" si="1530"/>
        <v>8.2395033147427132E-2</v>
      </c>
      <c r="AF245" s="902">
        <f t="shared" si="1530"/>
        <v>0.10496849684968491</v>
      </c>
      <c r="AG245" s="902">
        <f t="shared" si="1530"/>
        <v>0.10272609260060576</v>
      </c>
      <c r="AH245" s="902">
        <f t="shared" si="1530"/>
        <v>8.8571813164625118E-2</v>
      </c>
      <c r="AI245" s="902">
        <f t="shared" si="1530"/>
        <v>0.12946933404609656</v>
      </c>
      <c r="AJ245" s="902">
        <f t="shared" si="1530"/>
        <v>0.13329230671238668</v>
      </c>
      <c r="AK245" s="902">
        <f t="shared" si="1530"/>
        <v>0.12720409729753279</v>
      </c>
      <c r="AL245" s="902">
        <f t="shared" si="1530"/>
        <v>0.10259766753935602</v>
      </c>
      <c r="AM245" s="1037">
        <f t="shared" ref="AM245" si="1531">+AM243/AM$144</f>
        <v>0.14235004038600513</v>
      </c>
      <c r="AN245" s="902">
        <f t="shared" si="1530"/>
        <v>0.14143878659160844</v>
      </c>
      <c r="AO245" s="902">
        <f t="shared" si="1530"/>
        <v>0.14942359762636059</v>
      </c>
      <c r="AP245" s="902">
        <f t="shared" si="1530"/>
        <v>9.7199108679096299E-2</v>
      </c>
      <c r="AQ245" s="902">
        <f t="shared" ref="AQ245:AT245" si="1532">+AQ243/AQ$144</f>
        <v>0.15311679182296964</v>
      </c>
      <c r="AR245" s="902">
        <f t="shared" si="1532"/>
        <v>0.14240380612734913</v>
      </c>
      <c r="AS245" s="902">
        <f t="shared" si="1532"/>
        <v>0.11401617250673855</v>
      </c>
      <c r="AT245" s="902">
        <f t="shared" si="1532"/>
        <v>0.15824317778136607</v>
      </c>
      <c r="AU245" s="902">
        <f t="shared" ref="AU245:AX245" si="1533">+AU243/AU$144</f>
        <v>0.13712027555381467</v>
      </c>
      <c r="AV245" s="902">
        <f t="shared" si="1533"/>
        <v>0.11098774279987202</v>
      </c>
      <c r="AW245" s="902">
        <f t="shared" si="1533"/>
        <v>0.13318510228505795</v>
      </c>
      <c r="AX245" s="902">
        <f t="shared" si="1533"/>
        <v>0.12672665137991804</v>
      </c>
      <c r="AY245" s="902"/>
      <c r="AZ245" s="902"/>
      <c r="BA245" s="72"/>
      <c r="BB245" s="902">
        <v>0.12073992003561028</v>
      </c>
      <c r="BC245" s="2189"/>
      <c r="BD245" s="72"/>
      <c r="BI245" s="1315"/>
      <c r="BJ245" s="2040"/>
      <c r="BK245" s="902"/>
      <c r="BL245" s="902">
        <f>+BL243/BL$144</f>
        <v>0.11096040761330277</v>
      </c>
      <c r="BM245" s="902">
        <f>+BM243/BM$144</f>
        <v>9.5086983366020172E-2</v>
      </c>
      <c r="BN245" s="902">
        <f>+BN243/BN$144</f>
        <v>0.12251851207177512</v>
      </c>
      <c r="BO245" s="1037">
        <f>+BO243/BO$144</f>
        <v>0.13039411065515841</v>
      </c>
      <c r="BP245" s="902">
        <f t="shared" ref="BP245:BQ245" si="1534">+BP243/BP$144</f>
        <v>0.14266239747878295</v>
      </c>
      <c r="BQ245" s="902">
        <f t="shared" si="1534"/>
        <v>0.12641938635887429</v>
      </c>
      <c r="BR245" s="902">
        <f>+BR243/BR$144</f>
        <v>0.12449105765970608</v>
      </c>
      <c r="BS245" s="902">
        <f>+BS243/BS$144</f>
        <v>0.12250094839791567</v>
      </c>
      <c r="BT245" s="902">
        <f>+BT243/BT$144</f>
        <v>0.12164002367015493</v>
      </c>
      <c r="BU245" s="902">
        <f>+BU243/BU$144</f>
        <v>0.12099073003790785</v>
      </c>
    </row>
    <row r="246" spans="1:73" s="326" customFormat="1" ht="15" customHeight="1">
      <c r="B246" s="325"/>
      <c r="C246" s="337"/>
      <c r="D246" s="337"/>
      <c r="E246" s="337"/>
      <c r="F246" s="337"/>
      <c r="G246" s="464"/>
      <c r="H246" s="464"/>
      <c r="I246" s="464"/>
      <c r="J246" s="464"/>
      <c r="K246" s="464"/>
      <c r="L246" s="464"/>
      <c r="M246" s="464"/>
      <c r="N246" s="464"/>
      <c r="O246" s="464"/>
      <c r="P246" s="464"/>
      <c r="Q246" s="464"/>
      <c r="R246" s="464"/>
      <c r="S246" s="673">
        <f t="shared" ref="S246" si="1535">+S245-O245</f>
        <v>9.0369896389634038E-2</v>
      </c>
      <c r="T246" s="673">
        <f t="shared" ref="T246" si="1536">+T245-P245</f>
        <v>0.11301427371956337</v>
      </c>
      <c r="U246" s="673">
        <f t="shared" ref="U246" si="1537">+U245-Q245</f>
        <v>0.12367491166077731</v>
      </c>
      <c r="V246" s="673">
        <f t="shared" ref="V246" si="1538">+V245-R245</f>
        <v>0.11001372788285549</v>
      </c>
      <c r="W246" s="673">
        <f t="shared" ref="W246" si="1539">+W245-S245</f>
        <v>-3.2084813622894524E-2</v>
      </c>
      <c r="X246" s="673">
        <f t="shared" ref="X246" si="1540">+X245-T245</f>
        <v>-2.2514487518391246E-2</v>
      </c>
      <c r="Y246" s="673">
        <f t="shared" ref="Y246" si="1541">+Y245-U245</f>
        <v>4.5435483499982818E-2</v>
      </c>
      <c r="Z246" s="673">
        <f t="shared" ref="Z246" si="1542">+Z245-V245</f>
        <v>1.4167520732782296E-2</v>
      </c>
      <c r="AA246" s="673">
        <f t="shared" ref="AA246" si="1543">+AA245-W245</f>
        <v>6.1212015133335691E-2</v>
      </c>
      <c r="AB246" s="673">
        <f t="shared" ref="AB246" si="1544">+AB245-X245</f>
        <v>1.870382078872615E-2</v>
      </c>
      <c r="AC246" s="673">
        <f t="shared" ref="AC246" si="1545">+AC245-Y245</f>
        <v>-7.4847583308107715E-2</v>
      </c>
      <c r="AD246" s="673">
        <f t="shared" ref="AD246" si="1546">+AD245-Z245</f>
        <v>-3.7540470787542218E-3</v>
      </c>
      <c r="AE246" s="673">
        <f t="shared" ref="AE246" si="1547">+AE245-AA245</f>
        <v>-3.7102064752648073E-2</v>
      </c>
      <c r="AF246" s="673">
        <f t="shared" ref="AF246" si="1548">+AF245-AB245</f>
        <v>-4.2351101402133551E-3</v>
      </c>
      <c r="AG246" s="673">
        <f t="shared" ref="AG246" si="1549">+AG245-AC245</f>
        <v>8.4632807479533556E-3</v>
      </c>
      <c r="AH246" s="673">
        <f t="shared" ref="AH246" si="1550">+AH245-AD245</f>
        <v>-3.1855388372258445E-2</v>
      </c>
      <c r="AI246" s="673">
        <f t="shared" ref="AI246" si="1551">+AI245-AE245</f>
        <v>4.707430089866943E-2</v>
      </c>
      <c r="AJ246" s="673">
        <f t="shared" ref="AJ246" si="1552">+AJ245-AF245</f>
        <v>2.8323809862701763E-2</v>
      </c>
      <c r="AK246" s="673">
        <f t="shared" ref="AK246" si="1553">+AK245-AG245</f>
        <v>2.4478004696927028E-2</v>
      </c>
      <c r="AL246" s="673">
        <f t="shared" ref="AL246" si="1554">+AL245-AH245</f>
        <v>1.4025854374730903E-2</v>
      </c>
      <c r="AM246" s="1832">
        <f t="shared" ref="AM246" si="1555">+AM245-AI245</f>
        <v>1.2880706339908565E-2</v>
      </c>
      <c r="AN246" s="673">
        <f t="shared" ref="AN246" si="1556">+AN245-AJ245</f>
        <v>8.146479879221763E-3</v>
      </c>
      <c r="AO246" s="673">
        <f t="shared" ref="AO246" si="1557">+AO245-AK245</f>
        <v>2.2219500328827801E-2</v>
      </c>
      <c r="AP246" s="673">
        <f t="shared" ref="AP246" si="1558">+AP245-AL245</f>
        <v>-5.3985588602597223E-3</v>
      </c>
      <c r="AQ246" s="673">
        <f t="shared" ref="AQ246" si="1559">+AQ245-AM245</f>
        <v>1.0766751436964511E-2</v>
      </c>
      <c r="AR246" s="673">
        <f t="shared" ref="AR246" si="1560">+AR245-AN245</f>
        <v>9.6501953574068544E-4</v>
      </c>
      <c r="AS246" s="673">
        <f t="shared" ref="AS246" si="1561">+AS245-AO245</f>
        <v>-3.5407425119622041E-2</v>
      </c>
      <c r="AT246" s="673">
        <f t="shared" ref="AT246" si="1562">+AT245-AP245</f>
        <v>6.1044069102269768E-2</v>
      </c>
      <c r="AU246" s="673">
        <f t="shared" ref="AU246" si="1563">+AU245-AQ245</f>
        <v>-1.5996516269154964E-2</v>
      </c>
      <c r="AV246" s="673">
        <f t="shared" ref="AV246" si="1564">+AV245-AR245</f>
        <v>-3.1416063327477109E-2</v>
      </c>
      <c r="AW246" s="673">
        <f t="shared" ref="AW246" si="1565">+AW245-AS245</f>
        <v>1.9168929778319396E-2</v>
      </c>
      <c r="AX246" s="673">
        <f t="shared" ref="AX246" si="1566">+AX245-AT245</f>
        <v>-3.1516526401448031E-2</v>
      </c>
      <c r="AY246" s="673"/>
      <c r="AZ246" s="673"/>
      <c r="BA246" s="85"/>
      <c r="BB246" s="673">
        <v>2.354081135651398E-2</v>
      </c>
      <c r="BC246" s="2197"/>
      <c r="BD246" s="85"/>
      <c r="BE246" s="464"/>
      <c r="BF246" s="464"/>
      <c r="BG246" s="464"/>
      <c r="BH246" s="464"/>
      <c r="BI246" s="464"/>
      <c r="BJ246" s="2028"/>
      <c r="BK246" s="673"/>
      <c r="BL246" s="673">
        <f t="shared" ref="BL246" si="1567">+BL245-BK245</f>
        <v>0.11096040761330277</v>
      </c>
      <c r="BM246" s="673">
        <f t="shared" ref="BM246" si="1568">+BM245-BL245</f>
        <v>-1.5873424247282594E-2</v>
      </c>
      <c r="BN246" s="673">
        <f t="shared" ref="BN246" si="1569">+BN245-BM245</f>
        <v>2.7431528705754951E-2</v>
      </c>
      <c r="BO246" s="1832">
        <f t="shared" ref="BO246:BQ246" si="1570">+BO245-BN245</f>
        <v>7.8755985833832837E-3</v>
      </c>
      <c r="BP246" s="673">
        <f t="shared" si="1570"/>
        <v>1.2268286823624547E-2</v>
      </c>
      <c r="BQ246" s="673">
        <f t="shared" si="1570"/>
        <v>-1.6243011119908668E-2</v>
      </c>
      <c r="BR246" s="673">
        <f t="shared" ref="BR246" si="1571">+BR245-BQ245</f>
        <v>-1.9283286991682025E-3</v>
      </c>
      <c r="BS246" s="673">
        <f t="shared" ref="BS246" si="1572">+BS245-BR245</f>
        <v>-1.9901092617904126E-3</v>
      </c>
      <c r="BT246" s="673">
        <f t="shared" ref="BT246" si="1573">+BT245-BS245</f>
        <v>-8.6092472776073958E-4</v>
      </c>
      <c r="BU246" s="673">
        <f t="shared" ref="BU246" si="1574">+BU245-BT245</f>
        <v>-6.4929363224708325E-4</v>
      </c>
    </row>
    <row r="247" spans="1:73" s="1505" customFormat="1" ht="27" hidden="1" customHeight="1">
      <c r="B247" s="1505" t="s">
        <v>329</v>
      </c>
      <c r="C247" s="1506"/>
      <c r="D247" s="1506"/>
      <c r="E247" s="1506"/>
      <c r="F247" s="1506"/>
      <c r="G247" s="1506"/>
      <c r="H247" s="1506"/>
      <c r="I247" s="1506"/>
      <c r="J247" s="1506"/>
      <c r="K247" s="1506"/>
      <c r="L247" s="1506"/>
      <c r="M247" s="1506"/>
      <c r="N247" s="1506"/>
      <c r="O247" s="1506"/>
      <c r="P247" s="1506"/>
      <c r="Q247" s="1506"/>
      <c r="R247" s="1506"/>
      <c r="S247" s="1963"/>
      <c r="T247" s="1506"/>
      <c r="U247" s="1507"/>
      <c r="V247" s="1507"/>
      <c r="W247" s="1833"/>
      <c r="X247" s="1507"/>
      <c r="Y247" s="1507"/>
      <c r="Z247" s="1507"/>
      <c r="AA247" s="1507"/>
      <c r="AB247" s="1507"/>
      <c r="AC247" s="1507"/>
      <c r="AD247" s="1507"/>
      <c r="AE247" s="1507"/>
      <c r="AF247" s="1507"/>
      <c r="AG247" s="1507"/>
      <c r="AH247" s="1507"/>
      <c r="AI247" s="1507"/>
      <c r="AJ247" s="1507"/>
      <c r="AK247" s="1507"/>
      <c r="AL247" s="1507"/>
      <c r="AM247" s="1832">
        <f t="shared" ref="AM247" si="1575">+AM246-AI246</f>
        <v>-3.4193594558760865E-2</v>
      </c>
      <c r="AN247" s="1507"/>
      <c r="AO247" s="1507"/>
      <c r="AP247" s="1507"/>
      <c r="AQ247" s="673"/>
      <c r="AR247" s="1507"/>
      <c r="AS247" s="1507"/>
      <c r="AT247" s="1507"/>
      <c r="AU247" s="1507"/>
      <c r="AV247" s="1507"/>
      <c r="AW247" s="1507"/>
      <c r="AX247" s="1507"/>
      <c r="AY247" s="1507"/>
      <c r="AZ247" s="1507"/>
      <c r="BA247" s="2258"/>
      <c r="BB247" s="1507"/>
      <c r="BC247" s="2201"/>
      <c r="BD247" s="2258"/>
      <c r="BE247" s="1506"/>
      <c r="BF247" s="1507"/>
      <c r="BG247" s="1507"/>
      <c r="BH247" s="1507"/>
      <c r="BI247" s="1507"/>
      <c r="BJ247" s="2041"/>
      <c r="BK247" s="1507"/>
      <c r="BL247" s="1507"/>
      <c r="BM247" s="1507"/>
      <c r="BN247" s="1507"/>
      <c r="BO247" s="1833"/>
      <c r="BP247" s="1507"/>
      <c r="BQ247" s="1507"/>
      <c r="BR247" s="1507"/>
      <c r="BS247" s="1507"/>
      <c r="BT247" s="1507"/>
      <c r="BU247" s="1507"/>
    </row>
    <row r="248" spans="1:73" s="1310" customFormat="1" ht="11.25" hidden="1" customHeight="1">
      <c r="B248" s="1310" t="s">
        <v>330</v>
      </c>
      <c r="C248" s="1508"/>
      <c r="D248" s="1508"/>
      <c r="E248" s="1508"/>
      <c r="F248" s="1508"/>
      <c r="G248" s="1508"/>
      <c r="H248" s="1508"/>
      <c r="I248" s="1508"/>
      <c r="J248" s="1508"/>
      <c r="K248" s="1508"/>
      <c r="L248" s="1508"/>
      <c r="M248" s="1508"/>
      <c r="N248" s="1508"/>
      <c r="O248" s="1508"/>
      <c r="P248" s="1508"/>
      <c r="Q248" s="1508"/>
      <c r="R248" s="1508"/>
      <c r="S248" s="1964"/>
      <c r="T248" s="1508"/>
      <c r="U248" s="1311"/>
      <c r="V248" s="1311"/>
      <c r="W248" s="1834">
        <v>3271.6950000000002</v>
      </c>
      <c r="X248" s="1509">
        <v>3722.779</v>
      </c>
      <c r="Y248" s="1509">
        <v>5061.5940000000001</v>
      </c>
      <c r="Z248" s="1509">
        <f>18345.397-Y248-X248-W248</f>
        <v>6289.3289999999997</v>
      </c>
      <c r="AA248" s="1509">
        <v>4541.95</v>
      </c>
      <c r="AB248" s="1509">
        <v>4742.4170000000004</v>
      </c>
      <c r="AC248" s="1509">
        <v>5003.348</v>
      </c>
      <c r="AD248" s="1509">
        <f>20735.341-AC248-AB248-AA248</f>
        <v>6447.6260000000011</v>
      </c>
      <c r="AE248" s="1509">
        <v>4279.4979999999996</v>
      </c>
      <c r="AF248" s="1509">
        <v>4820.6760000000004</v>
      </c>
      <c r="AG248" s="1509">
        <v>4978.5780000000004</v>
      </c>
      <c r="AH248" s="1509">
        <f>20207.176-AG248-AF248-AE248</f>
        <v>6128.4239999999991</v>
      </c>
      <c r="AI248" s="1509">
        <v>3908.2179999999998</v>
      </c>
      <c r="AJ248" s="1509">
        <v>4564.0339999999997</v>
      </c>
      <c r="AK248" s="1509">
        <v>4623.5780000000004</v>
      </c>
      <c r="AL248" s="1311"/>
      <c r="AM248" s="1964"/>
      <c r="AN248" s="1311"/>
      <c r="AO248" s="1311"/>
      <c r="AP248" s="1311"/>
      <c r="AQ248" s="1311"/>
      <c r="AR248" s="1311"/>
      <c r="AS248" s="1311"/>
      <c r="AT248" s="1311"/>
      <c r="AU248" s="1311"/>
      <c r="AV248" s="1311"/>
      <c r="AW248" s="1311"/>
      <c r="AX248" s="1311"/>
      <c r="AY248" s="1311"/>
      <c r="AZ248" s="1311"/>
      <c r="BA248" s="2253"/>
      <c r="BB248" s="1311"/>
      <c r="BC248" s="2191"/>
      <c r="BD248" s="2253"/>
      <c r="BE248" s="1508"/>
      <c r="BF248" s="1311"/>
      <c r="BG248" s="1311"/>
      <c r="BH248" s="1508"/>
      <c r="BI248" s="1508"/>
      <c r="BJ248" s="2042"/>
      <c r="BK248" s="1312">
        <f>+SUM(W248:Z248)</f>
        <v>18345.396999999997</v>
      </c>
      <c r="BL248" s="1312">
        <f>+SUM(AA248:AD248)</f>
        <v>20735.341</v>
      </c>
      <c r="BM248" s="1312">
        <f>+SUM(AE248:AH248)</f>
        <v>20207.175999999999</v>
      </c>
      <c r="BN248" s="1312">
        <f>+SUM(AI248:AL248)</f>
        <v>13095.830000000002</v>
      </c>
      <c r="BO248" s="2467">
        <f>+SUM(AM248:AP248)</f>
        <v>0</v>
      </c>
      <c r="BP248" s="1312">
        <f>+SUM(AQ248:AT248)</f>
        <v>0</v>
      </c>
      <c r="BQ248" s="1312">
        <f>+SUM(AU248:AX248)</f>
        <v>0</v>
      </c>
      <c r="BR248" s="1311"/>
      <c r="BS248" s="1311"/>
      <c r="BT248" s="1311"/>
      <c r="BU248" s="1311"/>
    </row>
    <row r="249" spans="1:73" s="326" customFormat="1" ht="11.25" hidden="1" customHeight="1">
      <c r="B249" s="325" t="s">
        <v>108</v>
      </c>
      <c r="C249" s="467"/>
      <c r="D249" s="467"/>
      <c r="E249" s="467"/>
      <c r="F249" s="467"/>
      <c r="G249" s="467"/>
      <c r="H249" s="467"/>
      <c r="I249" s="467"/>
      <c r="J249" s="467"/>
      <c r="K249" s="467"/>
      <c r="L249" s="467"/>
      <c r="M249" s="467"/>
      <c r="N249" s="467"/>
      <c r="O249" s="467"/>
      <c r="P249" s="467"/>
      <c r="Q249" s="467"/>
      <c r="R249" s="467"/>
      <c r="S249" s="1965"/>
      <c r="T249" s="467"/>
      <c r="U249" s="338"/>
      <c r="V249" s="338"/>
      <c r="W249" s="1835"/>
      <c r="X249" s="1510"/>
      <c r="Y249" s="1510"/>
      <c r="Z249" s="1510"/>
      <c r="AA249" s="464">
        <f t="shared" ref="AA249" si="1576">+AA248/W248-1</f>
        <v>0.38825593461493191</v>
      </c>
      <c r="AB249" s="464">
        <f t="shared" ref="AB249" si="1577">+AB248/X248-1</f>
        <v>0.2738916277329384</v>
      </c>
      <c r="AC249" s="464">
        <f t="shared" ref="AC249" si="1578">+AC248/Y248-1</f>
        <v>-1.1507442121987732E-2</v>
      </c>
      <c r="AD249" s="464">
        <f t="shared" ref="AD249" si="1579">+AD248/Z248-1</f>
        <v>2.516913966497869E-2</v>
      </c>
      <c r="AE249" s="464">
        <f t="shared" ref="AE249" si="1580">+AE248/AA248-1</f>
        <v>-5.7783991457413753E-2</v>
      </c>
      <c r="AF249" s="464">
        <f t="shared" ref="AF249" si="1581">+AF248/AB248-1</f>
        <v>1.6501922964597959E-2</v>
      </c>
      <c r="AG249" s="464">
        <f t="shared" ref="AG249" si="1582">+AG248/AC248-1</f>
        <v>-4.9506850213096865E-3</v>
      </c>
      <c r="AH249" s="464">
        <f t="shared" ref="AH249" si="1583">+AH248/AD248-1</f>
        <v>-4.9506903781330047E-2</v>
      </c>
      <c r="AI249" s="464">
        <f t="shared" ref="AI249:AK249" si="1584">+AI248/AE248-1</f>
        <v>-8.6757839354055011E-2</v>
      </c>
      <c r="AJ249" s="464">
        <f t="shared" si="1584"/>
        <v>-5.3237761674918782E-2</v>
      </c>
      <c r="AK249" s="464">
        <f t="shared" si="1584"/>
        <v>-7.1305501289725681E-2</v>
      </c>
      <c r="AL249" s="338"/>
      <c r="AM249" s="1818"/>
      <c r="AN249" s="338"/>
      <c r="AO249" s="338"/>
      <c r="AP249" s="338"/>
      <c r="AQ249" s="338"/>
      <c r="AR249" s="338"/>
      <c r="AS249" s="338"/>
      <c r="AT249" s="338"/>
      <c r="AU249" s="338"/>
      <c r="AV249" s="338"/>
      <c r="AW249" s="338"/>
      <c r="AX249" s="338"/>
      <c r="AY249" s="338"/>
      <c r="AZ249" s="338"/>
      <c r="BA249" s="85"/>
      <c r="BB249" s="338"/>
      <c r="BC249" s="2197"/>
      <c r="BD249" s="85"/>
      <c r="BE249" s="467"/>
      <c r="BF249" s="338"/>
      <c r="BG249" s="338"/>
      <c r="BH249" s="338"/>
      <c r="BI249" s="338"/>
      <c r="BJ249" s="2043"/>
      <c r="BK249" s="900"/>
      <c r="BL249" s="900">
        <f>+BL248/BK248-1</f>
        <v>0.13027485859259436</v>
      </c>
      <c r="BM249" s="900">
        <f t="shared" ref="BM249:BQ249" si="1585">+BM248/BL248-1</f>
        <v>-2.5471729642642549E-2</v>
      </c>
      <c r="BN249" s="900">
        <f t="shared" si="1585"/>
        <v>-0.3519218123304314</v>
      </c>
      <c r="BO249" s="2468">
        <f t="shared" si="1585"/>
        <v>-1</v>
      </c>
      <c r="BP249" s="900" t="e">
        <f t="shared" si="1585"/>
        <v>#DIV/0!</v>
      </c>
      <c r="BQ249" s="900" t="e">
        <f t="shared" si="1585"/>
        <v>#DIV/0!</v>
      </c>
      <c r="BR249" s="338"/>
      <c r="BS249" s="338"/>
      <c r="BT249" s="338"/>
      <c r="BU249" s="338"/>
    </row>
    <row r="250" spans="1:73" s="326" customFormat="1" ht="11.25" hidden="1" customHeight="1">
      <c r="B250" s="325"/>
      <c r="C250" s="467"/>
      <c r="D250" s="467"/>
      <c r="E250" s="467"/>
      <c r="F250" s="467"/>
      <c r="G250" s="467"/>
      <c r="H250" s="467"/>
      <c r="I250" s="467"/>
      <c r="J250" s="467"/>
      <c r="K250" s="467"/>
      <c r="L250" s="467"/>
      <c r="M250" s="467"/>
      <c r="N250" s="467"/>
      <c r="O250" s="467"/>
      <c r="P250" s="467"/>
      <c r="Q250" s="467"/>
      <c r="R250" s="467"/>
      <c r="S250" s="1965"/>
      <c r="T250" s="467"/>
      <c r="U250" s="338"/>
      <c r="V250" s="338"/>
      <c r="W250" s="1835"/>
      <c r="X250" s="1510"/>
      <c r="Y250" s="1510"/>
      <c r="Z250" s="1510"/>
      <c r="AA250" s="1510"/>
      <c r="AB250" s="1510"/>
      <c r="AC250" s="1510"/>
      <c r="AD250" s="1510"/>
      <c r="AE250" s="464"/>
      <c r="AF250" s="338"/>
      <c r="AG250" s="338"/>
      <c r="AH250" s="338"/>
      <c r="AI250" s="338"/>
      <c r="AJ250" s="338"/>
      <c r="AK250" s="338"/>
      <c r="AL250" s="338"/>
      <c r="AM250" s="1818"/>
      <c r="AN250" s="338"/>
      <c r="AO250" s="338"/>
      <c r="AP250" s="338"/>
      <c r="AQ250" s="338"/>
      <c r="AR250" s="338"/>
      <c r="AS250" s="338"/>
      <c r="AT250" s="338"/>
      <c r="AU250" s="338"/>
      <c r="AV250" s="338"/>
      <c r="AW250" s="338"/>
      <c r="AX250" s="338"/>
      <c r="AY250" s="338"/>
      <c r="AZ250" s="338"/>
      <c r="BA250" s="85"/>
      <c r="BB250" s="338"/>
      <c r="BC250" s="2197"/>
      <c r="BD250" s="85"/>
      <c r="BE250" s="467"/>
      <c r="BF250" s="338"/>
      <c r="BG250" s="338"/>
      <c r="BH250" s="338"/>
      <c r="BI250" s="338"/>
      <c r="BJ250" s="2043"/>
      <c r="BK250" s="338"/>
      <c r="BL250" s="338"/>
      <c r="BM250" s="338"/>
      <c r="BN250" s="338"/>
      <c r="BO250" s="1818"/>
      <c r="BP250" s="338"/>
      <c r="BQ250" s="338"/>
      <c r="BR250" s="338"/>
      <c r="BS250" s="338"/>
      <c r="BT250" s="338"/>
      <c r="BU250" s="338"/>
    </row>
    <row r="251" spans="1:73" s="326" customFormat="1" ht="11.25" hidden="1" customHeight="1">
      <c r="B251" s="325"/>
      <c r="C251" s="467"/>
      <c r="D251" s="467"/>
      <c r="E251" s="467"/>
      <c r="F251" s="467"/>
      <c r="G251" s="467"/>
      <c r="H251" s="467"/>
      <c r="I251" s="467"/>
      <c r="J251" s="467"/>
      <c r="K251" s="467"/>
      <c r="L251" s="467"/>
      <c r="M251" s="467"/>
      <c r="N251" s="467"/>
      <c r="O251" s="467"/>
      <c r="P251" s="467"/>
      <c r="Q251" s="467"/>
      <c r="R251" s="467"/>
      <c r="S251" s="1965"/>
      <c r="T251" s="467"/>
      <c r="U251" s="338"/>
      <c r="V251" s="338"/>
      <c r="W251" s="1835"/>
      <c r="X251" s="1510"/>
      <c r="Y251" s="1510"/>
      <c r="Z251" s="1510"/>
      <c r="AA251" s="1510"/>
      <c r="AB251" s="1510"/>
      <c r="AC251" s="1510"/>
      <c r="AD251" s="1510"/>
      <c r="AE251" s="338"/>
      <c r="AF251" s="338"/>
      <c r="AG251" s="338"/>
      <c r="AH251" s="338"/>
      <c r="AI251" s="338"/>
      <c r="AJ251" s="338"/>
      <c r="AK251" s="338"/>
      <c r="AL251" s="338"/>
      <c r="AM251" s="1818"/>
      <c r="AN251" s="338"/>
      <c r="AO251" s="338"/>
      <c r="AP251" s="338"/>
      <c r="AQ251" s="338"/>
      <c r="AR251" s="338"/>
      <c r="AS251" s="338"/>
      <c r="AT251" s="338"/>
      <c r="AU251" s="338"/>
      <c r="AV251" s="338"/>
      <c r="AW251" s="338"/>
      <c r="AX251" s="338"/>
      <c r="AY251" s="338"/>
      <c r="AZ251" s="338"/>
      <c r="BA251" s="85"/>
      <c r="BB251" s="338"/>
      <c r="BC251" s="2197"/>
      <c r="BD251" s="85"/>
      <c r="BE251" s="467"/>
      <c r="BF251" s="338"/>
      <c r="BG251" s="338"/>
      <c r="BH251" s="338"/>
      <c r="BI251" s="338"/>
      <c r="BJ251" s="2043"/>
      <c r="BK251" s="338"/>
      <c r="BL251" s="338"/>
      <c r="BM251" s="338"/>
      <c r="BN251" s="338"/>
      <c r="BO251" s="1818"/>
      <c r="BP251" s="338"/>
      <c r="BQ251" s="338"/>
      <c r="BR251" s="338"/>
      <c r="BS251" s="338"/>
      <c r="BT251" s="338"/>
      <c r="BU251" s="338"/>
    </row>
    <row r="252" spans="1:73" s="326" customFormat="1" ht="15" hidden="1" customHeight="1">
      <c r="B252" s="326" t="s">
        <v>275</v>
      </c>
      <c r="C252" s="818"/>
      <c r="D252" s="818"/>
      <c r="E252" s="818"/>
      <c r="F252" s="818"/>
      <c r="G252" s="818"/>
      <c r="H252" s="818"/>
      <c r="I252" s="818"/>
      <c r="J252" s="818"/>
      <c r="K252" s="818"/>
      <c r="L252" s="818"/>
      <c r="M252" s="818"/>
      <c r="N252" s="818"/>
      <c r="O252" s="818"/>
      <c r="P252" s="818"/>
      <c r="Q252" s="818"/>
      <c r="R252" s="818"/>
      <c r="S252" s="1836"/>
      <c r="T252" s="818"/>
      <c r="U252" s="818"/>
      <c r="V252" s="818"/>
      <c r="W252" s="1836">
        <v>-898.65</v>
      </c>
      <c r="X252" s="818">
        <v>-1000.47</v>
      </c>
      <c r="Y252" s="818">
        <v>-1351.499</v>
      </c>
      <c r="Z252" s="818">
        <f>-4930.806-Y252-X252-W252</f>
        <v>-1680.1869999999994</v>
      </c>
      <c r="AA252" s="818">
        <v>-1167.896</v>
      </c>
      <c r="AB252" s="818">
        <v>-1291.8040000000001</v>
      </c>
      <c r="AC252" s="818">
        <v>-1333.9760000000001</v>
      </c>
      <c r="AD252" s="818">
        <f>-5564.466-AC252-AB252-AA252</f>
        <v>-1770.7899999999997</v>
      </c>
      <c r="AE252" s="818">
        <v>-1192.451</v>
      </c>
      <c r="AF252" s="818">
        <v>-1438.0170000000001</v>
      </c>
      <c r="AG252" s="818">
        <v>-1410.9349999999999</v>
      </c>
      <c r="AH252" s="818">
        <f>-5930.941-AG252-AF252-AE252</f>
        <v>-1889.5379999999996</v>
      </c>
      <c r="AI252" s="818">
        <v>-1161.1210000000001</v>
      </c>
      <c r="AJ252" s="818">
        <v>-1394.614</v>
      </c>
      <c r="AK252" s="818">
        <v>-1440.0340000000001</v>
      </c>
      <c r="AL252" s="665"/>
      <c r="AM252" s="1845"/>
      <c r="AN252" s="665"/>
      <c r="AO252" s="665"/>
      <c r="AP252" s="665"/>
      <c r="AQ252" s="665"/>
      <c r="AR252" s="665"/>
      <c r="AS252" s="665"/>
      <c r="AT252" s="665"/>
      <c r="AU252" s="665"/>
      <c r="AV252" s="665"/>
      <c r="AW252" s="665"/>
      <c r="AX252" s="665"/>
      <c r="AY252" s="665"/>
      <c r="AZ252" s="665"/>
      <c r="BA252" s="983"/>
      <c r="BB252" s="665"/>
      <c r="BC252" s="2202"/>
      <c r="BD252" s="85"/>
      <c r="BE252" s="664"/>
      <c r="BF252" s="664"/>
      <c r="BG252" s="664"/>
      <c r="BH252" s="664"/>
      <c r="BI252" s="664"/>
      <c r="BJ252" s="2044"/>
      <c r="BK252" s="664">
        <f>+SUM(W252:Z252)</f>
        <v>-4930.8059999999987</v>
      </c>
      <c r="BL252" s="664">
        <f>+SUM(AA252:AD252)</f>
        <v>-5564.4659999999994</v>
      </c>
      <c r="BM252" s="664">
        <f>+SUM(AE252:AH252)</f>
        <v>-5930.9409999999989</v>
      </c>
      <c r="BN252" s="664">
        <f>+SUM(AI252:AL252)</f>
        <v>-3995.7690000000002</v>
      </c>
      <c r="BO252" s="1840">
        <f>+SUM(AM252:AP252)</f>
        <v>0</v>
      </c>
      <c r="BP252" s="664">
        <f>+SUM(AQ252:AT252)</f>
        <v>0</v>
      </c>
      <c r="BQ252" s="664">
        <f>+SUM(AU252:AX252)</f>
        <v>0</v>
      </c>
      <c r="BR252" s="1513" t="e">
        <f t="shared" ref="BR252:BU252" si="1586">+BR254-BR340</f>
        <v>#DIV/0!</v>
      </c>
      <c r="BS252" s="1513" t="e">
        <f t="shared" si="1586"/>
        <v>#DIV/0!</v>
      </c>
      <c r="BT252" s="1513" t="e">
        <f t="shared" si="1586"/>
        <v>#DIV/0!</v>
      </c>
      <c r="BU252" s="1513" t="e">
        <f t="shared" si="1586"/>
        <v>#DIV/0!</v>
      </c>
    </row>
    <row r="253" spans="1:73" s="326" customFormat="1" ht="15" hidden="1" customHeight="1">
      <c r="B253" s="325" t="s">
        <v>316</v>
      </c>
      <c r="C253" s="464"/>
      <c r="D253" s="464"/>
      <c r="E253" s="464"/>
      <c r="F253" s="464"/>
      <c r="G253" s="464"/>
      <c r="H253" s="464"/>
      <c r="I253" s="464"/>
      <c r="J253" s="464"/>
      <c r="K253" s="464"/>
      <c r="L253" s="464"/>
      <c r="M253" s="464"/>
      <c r="N253" s="464"/>
      <c r="O253" s="464"/>
      <c r="P253" s="464"/>
      <c r="Q253" s="464"/>
      <c r="R253" s="464"/>
      <c r="S253" s="1823"/>
      <c r="T253" s="464"/>
      <c r="U253" s="464"/>
      <c r="V253" s="464"/>
      <c r="W253" s="1823" t="e">
        <f t="shared" ref="W253" si="1587">+W252/S252-1</f>
        <v>#DIV/0!</v>
      </c>
      <c r="X253" s="464" t="e">
        <f t="shared" ref="X253" si="1588">+X252/T252-1</f>
        <v>#DIV/0!</v>
      </c>
      <c r="Y253" s="464" t="e">
        <f t="shared" ref="Y253" si="1589">+Y252/U252-1</f>
        <v>#DIV/0!</v>
      </c>
      <c r="Z253" s="464" t="e">
        <f t="shared" ref="Z253" si="1590">+Z252/V252-1</f>
        <v>#DIV/0!</v>
      </c>
      <c r="AA253" s="464">
        <f t="shared" ref="AA253" si="1591">+AA252/W252-1</f>
        <v>0.29961163968174476</v>
      </c>
      <c r="AB253" s="464">
        <f t="shared" ref="AB253" si="1592">+AB252/X252-1</f>
        <v>0.29119713734544761</v>
      </c>
      <c r="AC253" s="464">
        <f t="shared" ref="AC253:AD253" si="1593">+AC252/Y252-1</f>
        <v>-1.2965603378174873E-2</v>
      </c>
      <c r="AD253" s="464">
        <f t="shared" si="1593"/>
        <v>5.3924354848597478E-2</v>
      </c>
      <c r="AE253" s="464">
        <f t="shared" ref="AE253" si="1594">+AE252/AA252-1</f>
        <v>2.1024988526375799E-2</v>
      </c>
      <c r="AF253" s="464">
        <f t="shared" ref="AF253" si="1595">+AF252/AB252-1</f>
        <v>0.11318512715551265</v>
      </c>
      <c r="AG253" s="464">
        <f t="shared" ref="AG253" si="1596">+AG252/AC252-1</f>
        <v>5.769144272460669E-2</v>
      </c>
      <c r="AH253" s="464">
        <f t="shared" ref="AH253" si="1597">+AH252/AD252-1</f>
        <v>6.7059335099023398E-2</v>
      </c>
      <c r="AI253" s="464">
        <f t="shared" ref="AI253:AK253" si="1598">+AI252/AE252-1</f>
        <v>-2.6273616274379297E-2</v>
      </c>
      <c r="AJ253" s="464">
        <f t="shared" si="1598"/>
        <v>-3.0182536089628953E-2</v>
      </c>
      <c r="AK253" s="464">
        <f t="shared" si="1598"/>
        <v>2.0623912511915865E-2</v>
      </c>
      <c r="AL253" s="464"/>
      <c r="AM253" s="1823"/>
      <c r="AN253" s="464"/>
      <c r="AO253" s="464"/>
      <c r="AP253" s="464"/>
      <c r="AQ253" s="464"/>
      <c r="AR253" s="464"/>
      <c r="AS253" s="464"/>
      <c r="AT253" s="464"/>
      <c r="AU253" s="464"/>
      <c r="AV253" s="464"/>
      <c r="AW253" s="464"/>
      <c r="AX253" s="464"/>
      <c r="AY253" s="464"/>
      <c r="AZ253" s="464"/>
      <c r="BA253" s="85"/>
      <c r="BB253" s="464"/>
      <c r="BC253" s="2197"/>
      <c r="BD253" s="85"/>
      <c r="BE253" s="464"/>
      <c r="BF253" s="464"/>
      <c r="BG253" s="464"/>
      <c r="BH253" s="464"/>
      <c r="BI253" s="464"/>
      <c r="BJ253" s="2028"/>
      <c r="BK253" s="464" t="e">
        <f>+BK252/BJ252-1</f>
        <v>#DIV/0!</v>
      </c>
      <c r="BL253" s="464">
        <f t="shared" ref="BL253" si="1599">+BL252/BK252-1</f>
        <v>0.12851043014063035</v>
      </c>
      <c r="BM253" s="464">
        <f t="shared" ref="BM253" si="1600">+BM252/BL252-1</f>
        <v>6.5859868673831423E-2</v>
      </c>
      <c r="BN253" s="464">
        <f t="shared" ref="BN253:BQ253" si="1601">+BN252/BM252-1</f>
        <v>-0.32628414276925011</v>
      </c>
      <c r="BO253" s="1823">
        <f t="shared" si="1601"/>
        <v>-1</v>
      </c>
      <c r="BP253" s="464" t="e">
        <f t="shared" si="1601"/>
        <v>#DIV/0!</v>
      </c>
      <c r="BQ253" s="464" t="e">
        <f t="shared" si="1601"/>
        <v>#DIV/0!</v>
      </c>
      <c r="BR253" s="1514" t="e">
        <f t="shared" ref="BR253" si="1602">+BR252/BQ252-1</f>
        <v>#DIV/0!</v>
      </c>
      <c r="BS253" s="1514" t="e">
        <f t="shared" ref="BS253" si="1603">+BS252/BR252-1</f>
        <v>#DIV/0!</v>
      </c>
      <c r="BT253" s="1514" t="e">
        <f t="shared" ref="BT253" si="1604">+BT252/BS252-1</f>
        <v>#DIV/0!</v>
      </c>
      <c r="BU253" s="1514" t="e">
        <f t="shared" ref="BU253" si="1605">+BU252/BT252-1</f>
        <v>#DIV/0!</v>
      </c>
    </row>
    <row r="254" spans="1:73" s="326" customFormat="1" ht="15" hidden="1" customHeight="1">
      <c r="B254" s="326" t="s">
        <v>15</v>
      </c>
      <c r="C254" s="462"/>
      <c r="D254" s="462"/>
      <c r="E254" s="462"/>
      <c r="F254" s="462"/>
      <c r="G254" s="462"/>
      <c r="H254" s="462"/>
      <c r="I254" s="462"/>
      <c r="J254" s="462"/>
      <c r="K254" s="462"/>
      <c r="L254" s="462"/>
      <c r="M254" s="462"/>
      <c r="N254" s="462"/>
      <c r="O254" s="462"/>
      <c r="P254" s="462"/>
      <c r="Q254" s="462"/>
      <c r="R254" s="462"/>
      <c r="S254" s="1039"/>
      <c r="T254" s="462"/>
      <c r="U254" s="462"/>
      <c r="V254" s="462"/>
      <c r="W254" s="1039">
        <f t="shared" ref="W254:AC254" si="1606">+W252+W248</f>
        <v>2373.0450000000001</v>
      </c>
      <c r="X254" s="462">
        <f t="shared" si="1606"/>
        <v>2722.3090000000002</v>
      </c>
      <c r="Y254" s="462">
        <f t="shared" si="1606"/>
        <v>3710.0950000000003</v>
      </c>
      <c r="Z254" s="462">
        <f t="shared" si="1606"/>
        <v>4609.1419999999998</v>
      </c>
      <c r="AA254" s="462">
        <f t="shared" si="1606"/>
        <v>3374.0540000000001</v>
      </c>
      <c r="AB254" s="462">
        <f t="shared" si="1606"/>
        <v>3450.6130000000003</v>
      </c>
      <c r="AC254" s="462">
        <f t="shared" si="1606"/>
        <v>3669.3719999999998</v>
      </c>
      <c r="AD254" s="462">
        <f t="shared" ref="AD254" si="1607">+AD252+AD248</f>
        <v>4676.8360000000011</v>
      </c>
      <c r="AE254" s="462">
        <f>+AE252+AE248</f>
        <v>3087.0469999999996</v>
      </c>
      <c r="AF254" s="462">
        <f t="shared" ref="AF254:AI254" si="1608">+AF252+AF248</f>
        <v>3382.6590000000006</v>
      </c>
      <c r="AG254" s="462">
        <f t="shared" si="1608"/>
        <v>3567.6430000000005</v>
      </c>
      <c r="AH254" s="462">
        <f t="shared" si="1608"/>
        <v>4238.8859999999995</v>
      </c>
      <c r="AI254" s="462">
        <f t="shared" si="1608"/>
        <v>2747.0969999999998</v>
      </c>
      <c r="AJ254" s="462">
        <f t="shared" ref="AJ254:AK254" si="1609">+AJ252+AJ248</f>
        <v>3169.4199999999996</v>
      </c>
      <c r="AK254" s="462">
        <f t="shared" si="1609"/>
        <v>3183.5440000000003</v>
      </c>
      <c r="AL254" s="470"/>
      <c r="AM254" s="1844"/>
      <c r="AN254" s="470"/>
      <c r="AO254" s="470"/>
      <c r="AP254" s="470"/>
      <c r="AQ254" s="470"/>
      <c r="AR254" s="470"/>
      <c r="AS254" s="470"/>
      <c r="AT254" s="470"/>
      <c r="AU254" s="470"/>
      <c r="AV254" s="470"/>
      <c r="AW254" s="470"/>
      <c r="AX254" s="470"/>
      <c r="AY254" s="470"/>
      <c r="AZ254" s="470"/>
      <c r="BA254" s="85"/>
      <c r="BB254" s="470"/>
      <c r="BC254" s="2197"/>
      <c r="BD254" s="85"/>
      <c r="BE254" s="462"/>
      <c r="BF254" s="462"/>
      <c r="BG254" s="462"/>
      <c r="BH254" s="462"/>
      <c r="BI254" s="462"/>
      <c r="BJ254" s="2045"/>
      <c r="BK254" s="462">
        <f>+SUM(W254:Z254)</f>
        <v>13414.591</v>
      </c>
      <c r="BL254" s="462">
        <f>+SUM(AA254:AD254)</f>
        <v>15170.875000000002</v>
      </c>
      <c r="BM254" s="462">
        <f>+SUM(AE254:AH254)</f>
        <v>14276.235000000001</v>
      </c>
      <c r="BN254" s="462">
        <f>+SUM(AI254:AL254)</f>
        <v>9100.0609999999997</v>
      </c>
      <c r="BO254" s="1039">
        <f>+SUM(AM254:AP254)</f>
        <v>0</v>
      </c>
      <c r="BP254" s="462">
        <f>+SUM(AQ254:AT254)</f>
        <v>0</v>
      </c>
      <c r="BQ254" s="462">
        <f>+SUM(AU254:AX254)</f>
        <v>0</v>
      </c>
      <c r="BR254" s="1515" t="e">
        <f>+BR256*BR$364</f>
        <v>#DIV/0!</v>
      </c>
      <c r="BS254" s="1515" t="e">
        <f>+BS256*BS$364</f>
        <v>#DIV/0!</v>
      </c>
      <c r="BT254" s="1515" t="e">
        <f>+BT256*BT$364</f>
        <v>#DIV/0!</v>
      </c>
      <c r="BU254" s="1515" t="e">
        <f>+BU256*BU$364</f>
        <v>#DIV/0!</v>
      </c>
    </row>
    <row r="255" spans="1:73" s="326" customFormat="1" ht="15" hidden="1" customHeight="1">
      <c r="B255" s="325" t="s">
        <v>316</v>
      </c>
      <c r="C255" s="464"/>
      <c r="D255" s="464"/>
      <c r="E255" s="464"/>
      <c r="F255" s="464"/>
      <c r="G255" s="464"/>
      <c r="H255" s="464"/>
      <c r="I255" s="464"/>
      <c r="J255" s="464"/>
      <c r="K255" s="464"/>
      <c r="L255" s="464"/>
      <c r="M255" s="464"/>
      <c r="N255" s="464"/>
      <c r="O255" s="464"/>
      <c r="P255" s="464"/>
      <c r="Q255" s="464"/>
      <c r="R255" s="464"/>
      <c r="S255" s="1823"/>
      <c r="T255" s="464"/>
      <c r="U255" s="464"/>
      <c r="V255" s="464"/>
      <c r="W255" s="1823" t="e">
        <f t="shared" ref="W255" si="1610">+W254/S254-1</f>
        <v>#DIV/0!</v>
      </c>
      <c r="X255" s="464" t="e">
        <f t="shared" ref="X255" si="1611">+X254/T254-1</f>
        <v>#DIV/0!</v>
      </c>
      <c r="Y255" s="464" t="e">
        <f t="shared" ref="Y255" si="1612">+Y254/U254-1</f>
        <v>#DIV/0!</v>
      </c>
      <c r="Z255" s="464" t="e">
        <f t="shared" ref="Z255" si="1613">+Z254/V254-1</f>
        <v>#DIV/0!</v>
      </c>
      <c r="AA255" s="464">
        <f t="shared" ref="AA255" si="1614">+AA254/W254-1</f>
        <v>0.42182470201787159</v>
      </c>
      <c r="AB255" s="464">
        <f t="shared" ref="AB255" si="1615">+AB254/X254-1</f>
        <v>0.26753171664201236</v>
      </c>
      <c r="AC255" s="464">
        <f t="shared" ref="AC255:AD255" si="1616">+AC254/Y254-1</f>
        <v>-1.0976268801742406E-2</v>
      </c>
      <c r="AD255" s="464">
        <f t="shared" si="1616"/>
        <v>1.4686898342468391E-2</v>
      </c>
      <c r="AE255" s="464">
        <f t="shared" ref="AE255" si="1617">+AE254/AA254-1</f>
        <v>-8.506295394205321E-2</v>
      </c>
      <c r="AF255" s="464">
        <f t="shared" ref="AF255" si="1618">+AF254/AB254-1</f>
        <v>-1.9693312463611501E-2</v>
      </c>
      <c r="AG255" s="464">
        <f t="shared" ref="AG255" si="1619">+AG254/AC254-1</f>
        <v>-2.7723817590584843E-2</v>
      </c>
      <c r="AH255" s="464">
        <f t="shared" ref="AH255" si="1620">+AH254/AD254-1</f>
        <v>-9.3642368473044968E-2</v>
      </c>
      <c r="AI255" s="464">
        <f t="shared" ref="AI255:AK255" si="1621">+AI254/AE254-1</f>
        <v>-0.11012142024400662</v>
      </c>
      <c r="AJ255" s="464">
        <f t="shared" si="1621"/>
        <v>-6.3038869717580437E-2</v>
      </c>
      <c r="AK255" s="464">
        <f t="shared" si="1621"/>
        <v>-0.10766183724100198</v>
      </c>
      <c r="AL255" s="464"/>
      <c r="AM255" s="1823"/>
      <c r="AN255" s="464"/>
      <c r="AO255" s="464"/>
      <c r="AP255" s="464"/>
      <c r="AQ255" s="464"/>
      <c r="AR255" s="464"/>
      <c r="AS255" s="464"/>
      <c r="AT255" s="464"/>
      <c r="AU255" s="464"/>
      <c r="AV255" s="464"/>
      <c r="AW255" s="464"/>
      <c r="AX255" s="464"/>
      <c r="AY255" s="464"/>
      <c r="AZ255" s="464"/>
      <c r="BA255" s="85"/>
      <c r="BB255" s="464"/>
      <c r="BC255" s="2197"/>
      <c r="BD255" s="85"/>
      <c r="BE255" s="464"/>
      <c r="BF255" s="464"/>
      <c r="BG255" s="464"/>
      <c r="BH255" s="464"/>
      <c r="BI255" s="464"/>
      <c r="BJ255" s="2028"/>
      <c r="BK255" s="464" t="e">
        <f>+BK254/BJ254-1</f>
        <v>#DIV/0!</v>
      </c>
      <c r="BL255" s="464">
        <f t="shared" ref="BL255" si="1622">+BL254/BK254-1</f>
        <v>0.13092341018820486</v>
      </c>
      <c r="BM255" s="464">
        <f t="shared" ref="BM255" si="1623">+BM254/BL254-1</f>
        <v>-5.8970889945372362E-2</v>
      </c>
      <c r="BN255" s="464">
        <f t="shared" ref="BN255:BQ255" si="1624">+BN254/BM254-1</f>
        <v>-0.36257276515832082</v>
      </c>
      <c r="BO255" s="1823">
        <f t="shared" si="1624"/>
        <v>-1</v>
      </c>
      <c r="BP255" s="464" t="e">
        <f t="shared" si="1624"/>
        <v>#DIV/0!</v>
      </c>
      <c r="BQ255" s="464" t="e">
        <f t="shared" si="1624"/>
        <v>#DIV/0!</v>
      </c>
      <c r="BR255" s="1514" t="e">
        <f t="shared" ref="BR255" si="1625">+BR254/BQ254-1</f>
        <v>#DIV/0!</v>
      </c>
      <c r="BS255" s="1514" t="e">
        <f t="shared" ref="BS255" si="1626">+BS254/BR254-1</f>
        <v>#DIV/0!</v>
      </c>
      <c r="BT255" s="1514" t="e">
        <f t="shared" ref="BT255" si="1627">+BT254/BS254-1</f>
        <v>#DIV/0!</v>
      </c>
      <c r="BU255" s="1514" t="e">
        <f t="shared" ref="BU255" si="1628">+BU254/BT254-1</f>
        <v>#DIV/0!</v>
      </c>
    </row>
    <row r="256" spans="1:73" s="468" customFormat="1" ht="15" hidden="1" customHeight="1">
      <c r="B256" s="468" t="s">
        <v>317</v>
      </c>
      <c r="C256" s="469"/>
      <c r="D256" s="469"/>
      <c r="E256" s="469"/>
      <c r="F256" s="469"/>
      <c r="G256" s="469"/>
      <c r="H256" s="469"/>
      <c r="I256" s="469"/>
      <c r="J256" s="469"/>
      <c r="K256" s="469"/>
      <c r="L256" s="469"/>
      <c r="M256" s="469"/>
      <c r="N256" s="469"/>
      <c r="O256" s="469"/>
      <c r="P256" s="469"/>
      <c r="Q256" s="469"/>
      <c r="R256" s="469"/>
      <c r="S256" s="1837"/>
      <c r="T256" s="469"/>
      <c r="U256" s="469"/>
      <c r="V256" s="469"/>
      <c r="W256" s="1837">
        <f t="shared" ref="W256:AC256" si="1629">+W254/W$248</f>
        <v>0.72532586319935077</v>
      </c>
      <c r="X256" s="469">
        <f t="shared" si="1629"/>
        <v>0.73125721403285027</v>
      </c>
      <c r="Y256" s="469">
        <f t="shared" si="1629"/>
        <v>0.73298944956865375</v>
      </c>
      <c r="Z256" s="469">
        <f t="shared" si="1629"/>
        <v>0.73285115152983726</v>
      </c>
      <c r="AA256" s="469">
        <f t="shared" si="1629"/>
        <v>0.74286462862867275</v>
      </c>
      <c r="AB256" s="469">
        <f t="shared" si="1629"/>
        <v>0.72760640829349255</v>
      </c>
      <c r="AC256" s="469">
        <f t="shared" si="1629"/>
        <v>0.73338332652455918</v>
      </c>
      <c r="AD256" s="469">
        <f t="shared" ref="AD256" si="1630">+AD254/AD$248</f>
        <v>0.72535782937782067</v>
      </c>
      <c r="AE256" s="469">
        <f>+AE254/AE$248</f>
        <v>0.72135727134350802</v>
      </c>
      <c r="AF256" s="469">
        <f t="shared" ref="AF256:AI256" si="1631">+AF254/AF$248</f>
        <v>0.70169806060394857</v>
      </c>
      <c r="AG256" s="469">
        <f t="shared" si="1631"/>
        <v>0.71659879588107289</v>
      </c>
      <c r="AH256" s="469">
        <f t="shared" si="1631"/>
        <v>0.69167635920752224</v>
      </c>
      <c r="AI256" s="469">
        <f t="shared" si="1631"/>
        <v>0.70290270399450594</v>
      </c>
      <c r="AJ256" s="469">
        <f t="shared" ref="AJ256:AK256" si="1632">+AJ254/AJ$248</f>
        <v>0.69443391526005283</v>
      </c>
      <c r="AK256" s="469">
        <f t="shared" si="1632"/>
        <v>0.68854553767666515</v>
      </c>
      <c r="AL256" s="642"/>
      <c r="AM256" s="2406"/>
      <c r="AN256" s="642"/>
      <c r="AO256" s="642"/>
      <c r="AP256" s="642"/>
      <c r="AQ256" s="642"/>
      <c r="AR256" s="642"/>
      <c r="AS256" s="642"/>
      <c r="AT256" s="642"/>
      <c r="AU256" s="642"/>
      <c r="AV256" s="642"/>
      <c r="AW256" s="642"/>
      <c r="AX256" s="642"/>
      <c r="AY256" s="642"/>
      <c r="AZ256" s="642"/>
      <c r="BA256" s="2257"/>
      <c r="BB256" s="642"/>
      <c r="BC256" s="2200"/>
      <c r="BD256" s="2257"/>
      <c r="BE256" s="469"/>
      <c r="BF256" s="469"/>
      <c r="BG256" s="469"/>
      <c r="BH256" s="469"/>
      <c r="BI256" s="469"/>
      <c r="BJ256" s="2046"/>
      <c r="BK256" s="469">
        <f>+BK254/BK$248</f>
        <v>0.7312238050776444</v>
      </c>
      <c r="BL256" s="469">
        <f t="shared" ref="BL256:BO256" si="1633">+BL254/BL$248</f>
        <v>0.73164338122049699</v>
      </c>
      <c r="BM256" s="469">
        <f t="shared" si="1633"/>
        <v>0.70649332692504885</v>
      </c>
      <c r="BN256" s="469">
        <f t="shared" si="1633"/>
        <v>0.69488234040912245</v>
      </c>
      <c r="BO256" s="1837" t="e">
        <f t="shared" si="1633"/>
        <v>#DIV/0!</v>
      </c>
      <c r="BP256" s="469" t="e">
        <f t="shared" ref="BP256:BQ256" si="1634">+BP254/BP$248</f>
        <v>#DIV/0!</v>
      </c>
      <c r="BQ256" s="469" t="e">
        <f t="shared" si="1634"/>
        <v>#DIV/0!</v>
      </c>
      <c r="BR256" s="1516" t="e">
        <f t="shared" ref="BR256" si="1635">+BQ256+BR257</f>
        <v>#DIV/0!</v>
      </c>
      <c r="BS256" s="1516" t="e">
        <f t="shared" ref="BS256" si="1636">+BR256+BS257</f>
        <v>#DIV/0!</v>
      </c>
      <c r="BT256" s="1516" t="e">
        <f t="shared" ref="BT256" si="1637">+BS256+BT257</f>
        <v>#DIV/0!</v>
      </c>
      <c r="BU256" s="1516" t="e">
        <f t="shared" ref="BU256" si="1638">+BT256+BU257</f>
        <v>#DIV/0!</v>
      </c>
    </row>
    <row r="257" spans="1:73" s="326" customFormat="1" ht="15" hidden="1" customHeight="1">
      <c r="B257" s="325"/>
      <c r="C257" s="467"/>
      <c r="D257" s="467"/>
      <c r="E257" s="467"/>
      <c r="F257" s="467"/>
      <c r="G257" s="467"/>
      <c r="H257" s="467"/>
      <c r="I257" s="467"/>
      <c r="J257" s="643"/>
      <c r="K257" s="643"/>
      <c r="L257" s="643"/>
      <c r="M257" s="643"/>
      <c r="N257" s="643"/>
      <c r="O257" s="643"/>
      <c r="P257" s="643"/>
      <c r="Q257" s="643"/>
      <c r="R257" s="643"/>
      <c r="S257" s="1041"/>
      <c r="T257" s="643"/>
      <c r="U257" s="643"/>
      <c r="V257" s="643"/>
      <c r="W257" s="1041">
        <f t="shared" ref="W257:AK257" si="1639">+W256-S256</f>
        <v>0.72532586319935077</v>
      </c>
      <c r="X257" s="643">
        <f t="shared" si="1639"/>
        <v>0.73125721403285027</v>
      </c>
      <c r="Y257" s="643">
        <f t="shared" si="1639"/>
        <v>0.73298944956865375</v>
      </c>
      <c r="Z257" s="643">
        <f t="shared" si="1639"/>
        <v>0.73285115152983726</v>
      </c>
      <c r="AA257" s="643">
        <f t="shared" si="1639"/>
        <v>1.7538765429321979E-2</v>
      </c>
      <c r="AB257" s="643">
        <f t="shared" si="1639"/>
        <v>-3.6508057393577209E-3</v>
      </c>
      <c r="AC257" s="643">
        <f t="shared" si="1639"/>
        <v>3.938769559054256E-4</v>
      </c>
      <c r="AD257" s="643">
        <f t="shared" si="1639"/>
        <v>-7.4933221520165905E-3</v>
      </c>
      <c r="AE257" s="643">
        <f t="shared" si="1639"/>
        <v>-2.150735728516473E-2</v>
      </c>
      <c r="AF257" s="643">
        <f t="shared" si="1639"/>
        <v>-2.5908347689543976E-2</v>
      </c>
      <c r="AG257" s="643">
        <f t="shared" si="1639"/>
        <v>-1.6784530643486284E-2</v>
      </c>
      <c r="AH257" s="643">
        <f t="shared" si="1639"/>
        <v>-3.3681470170298433E-2</v>
      </c>
      <c r="AI257" s="643">
        <f t="shared" si="1639"/>
        <v>-1.8454567349002082E-2</v>
      </c>
      <c r="AJ257" s="643">
        <f t="shared" si="1639"/>
        <v>-7.2641453438957448E-3</v>
      </c>
      <c r="AK257" s="643">
        <f t="shared" si="1639"/>
        <v>-2.8053258204407738E-2</v>
      </c>
      <c r="AL257" s="578"/>
      <c r="AM257" s="1838"/>
      <c r="AN257" s="578"/>
      <c r="AO257" s="578"/>
      <c r="AP257" s="578"/>
      <c r="AQ257" s="578"/>
      <c r="AR257" s="578"/>
      <c r="AS257" s="578"/>
      <c r="AT257" s="578"/>
      <c r="AU257" s="578"/>
      <c r="AV257" s="578"/>
      <c r="AW257" s="578"/>
      <c r="AX257" s="578"/>
      <c r="AY257" s="578"/>
      <c r="AZ257" s="578"/>
      <c r="BA257" s="85"/>
      <c r="BB257" s="578"/>
      <c r="BC257" s="2197"/>
      <c r="BD257" s="85"/>
      <c r="BE257" s="643"/>
      <c r="BF257" s="643"/>
      <c r="BG257" s="643"/>
      <c r="BH257" s="643"/>
      <c r="BI257" s="643"/>
      <c r="BJ257" s="2037"/>
      <c r="BK257" s="643">
        <f>+BK256-BJ256</f>
        <v>0.7312238050776444</v>
      </c>
      <c r="BL257" s="643">
        <f t="shared" ref="BL257" si="1640">+BL256-BK256</f>
        <v>4.195761428525957E-4</v>
      </c>
      <c r="BM257" s="643">
        <f t="shared" ref="BM257" si="1641">+BM256-BL256</f>
        <v>-2.5150054295448143E-2</v>
      </c>
      <c r="BN257" s="643">
        <f t="shared" ref="BN257:BQ257" si="1642">+BN256-BM256</f>
        <v>-1.1610986515926403E-2</v>
      </c>
      <c r="BO257" s="1041" t="e">
        <f t="shared" si="1642"/>
        <v>#DIV/0!</v>
      </c>
      <c r="BP257" s="643" t="e">
        <f t="shared" si="1642"/>
        <v>#DIV/0!</v>
      </c>
      <c r="BQ257" s="643" t="e">
        <f t="shared" si="1642"/>
        <v>#DIV/0!</v>
      </c>
      <c r="BR257" s="1517">
        <v>3.0000000000000001E-3</v>
      </c>
      <c r="BS257" s="1517">
        <v>3.0000000000000001E-3</v>
      </c>
      <c r="BT257" s="1517">
        <v>3.0000000000000001E-3</v>
      </c>
      <c r="BU257" s="1517">
        <v>3.0000000000000001E-3</v>
      </c>
    </row>
    <row r="258" spans="1:73" s="326" customFormat="1" ht="15" hidden="1" customHeight="1">
      <c r="B258" s="325"/>
      <c r="C258" s="467"/>
      <c r="D258" s="467"/>
      <c r="E258" s="467"/>
      <c r="F258" s="467"/>
      <c r="G258" s="467"/>
      <c r="H258" s="467"/>
      <c r="I258" s="467"/>
      <c r="J258" s="643"/>
      <c r="K258" s="643"/>
      <c r="L258" s="643"/>
      <c r="M258" s="643"/>
      <c r="N258" s="643"/>
      <c r="O258" s="643"/>
      <c r="P258" s="643"/>
      <c r="Q258" s="643"/>
      <c r="R258" s="643"/>
      <c r="S258" s="1041"/>
      <c r="T258" s="643"/>
      <c r="U258" s="578"/>
      <c r="V258" s="578"/>
      <c r="W258" s="1838"/>
      <c r="X258" s="578"/>
      <c r="Y258" s="578"/>
      <c r="Z258" s="578"/>
      <c r="AA258" s="578"/>
      <c r="AB258" s="578"/>
      <c r="AC258" s="578"/>
      <c r="AD258" s="578"/>
      <c r="AE258" s="578"/>
      <c r="AF258" s="578"/>
      <c r="AG258" s="578"/>
      <c r="AH258" s="578"/>
      <c r="AI258" s="578"/>
      <c r="AJ258" s="578"/>
      <c r="AK258" s="578"/>
      <c r="AL258" s="578"/>
      <c r="AM258" s="1838"/>
      <c r="AN258" s="578"/>
      <c r="AO258" s="578"/>
      <c r="AP258" s="578"/>
      <c r="AQ258" s="578"/>
      <c r="AR258" s="578"/>
      <c r="AS258" s="578"/>
      <c r="AT258" s="578"/>
      <c r="AU258" s="578"/>
      <c r="AV258" s="578"/>
      <c r="AW258" s="578"/>
      <c r="AX258" s="578"/>
      <c r="AY258" s="578"/>
      <c r="AZ258" s="578"/>
      <c r="BA258" s="85"/>
      <c r="BB258" s="578"/>
      <c r="BC258" s="2197"/>
      <c r="BD258" s="85"/>
      <c r="BE258" s="337"/>
      <c r="BF258" s="337"/>
      <c r="BG258" s="337"/>
      <c r="BH258" s="337"/>
      <c r="BI258" s="337"/>
      <c r="BJ258" s="2022"/>
      <c r="BK258" s="337"/>
      <c r="BL258" s="337"/>
      <c r="BM258" s="337"/>
      <c r="BN258" s="337"/>
      <c r="BO258" s="1966"/>
      <c r="BP258" s="337"/>
      <c r="BQ258" s="337"/>
      <c r="BR258" s="1518"/>
      <c r="BS258" s="1518"/>
      <c r="BT258" s="1518"/>
      <c r="BU258" s="1518"/>
    </row>
    <row r="259" spans="1:73" s="326" customFormat="1" ht="15" hidden="1" customHeight="1">
      <c r="B259" s="326" t="s">
        <v>16</v>
      </c>
      <c r="C259" s="818"/>
      <c r="D259" s="818"/>
      <c r="E259" s="818"/>
      <c r="F259" s="818"/>
      <c r="G259" s="818"/>
      <c r="H259" s="818"/>
      <c r="I259" s="818"/>
      <c r="J259" s="818"/>
      <c r="K259" s="818"/>
      <c r="L259" s="818"/>
      <c r="M259" s="818"/>
      <c r="N259" s="818"/>
      <c r="O259" s="818"/>
      <c r="P259" s="818"/>
      <c r="Q259" s="818"/>
      <c r="R259" s="818"/>
      <c r="S259" s="1836"/>
      <c r="T259" s="818"/>
      <c r="U259" s="818"/>
      <c r="V259" s="818"/>
      <c r="W259" s="1836">
        <v>-1593.2660000000001</v>
      </c>
      <c r="X259" s="818">
        <v>-1556.0509999999999</v>
      </c>
      <c r="Y259" s="818">
        <v>-2210.9789999999998</v>
      </c>
      <c r="Z259" s="818">
        <f>-8229.169-Y259-X259-W259</f>
        <v>-2868.873000000001</v>
      </c>
      <c r="AA259" s="818">
        <v>-2023.6790000000001</v>
      </c>
      <c r="AB259" s="818">
        <v>-2073.739</v>
      </c>
      <c r="AC259" s="818">
        <v>-2172.9079999999999</v>
      </c>
      <c r="AD259" s="818">
        <f>-9046.925-AC259-AB259-AA259</f>
        <v>-2776.5990000000002</v>
      </c>
      <c r="AE259" s="818">
        <v>-1922.21</v>
      </c>
      <c r="AF259" s="818">
        <v>-2045.6590000000001</v>
      </c>
      <c r="AG259" s="818">
        <v>-2306.5590000000002</v>
      </c>
      <c r="AH259" s="818">
        <f>-8730.12-AG259-AF259-AE259</f>
        <v>-2455.692</v>
      </c>
      <c r="AI259" s="818">
        <v>-1579.7149999999999</v>
      </c>
      <c r="AJ259" s="818">
        <v>-1946.135</v>
      </c>
      <c r="AK259" s="818">
        <v>-1941.8409999999999</v>
      </c>
      <c r="AL259" s="665"/>
      <c r="AM259" s="1845"/>
      <c r="AN259" s="665"/>
      <c r="AO259" s="665"/>
      <c r="AP259" s="665"/>
      <c r="AQ259" s="665"/>
      <c r="AR259" s="665"/>
      <c r="AS259" s="665"/>
      <c r="AT259" s="665"/>
      <c r="AU259" s="665"/>
      <c r="AV259" s="665"/>
      <c r="AW259" s="665"/>
      <c r="AX259" s="665"/>
      <c r="AY259" s="665"/>
      <c r="AZ259" s="665"/>
      <c r="BA259" s="85"/>
      <c r="BB259" s="665"/>
      <c r="BC259" s="2197"/>
      <c r="BD259" s="85"/>
      <c r="BE259" s="664"/>
      <c r="BF259" s="664"/>
      <c r="BG259" s="664"/>
      <c r="BH259" s="664"/>
      <c r="BI259" s="664"/>
      <c r="BJ259" s="2044"/>
      <c r="BK259" s="664">
        <f>+SUM(W259:Z259)</f>
        <v>-8229.1690000000017</v>
      </c>
      <c r="BL259" s="664">
        <f>+SUM(AA259:AD259)</f>
        <v>-9046.9249999999993</v>
      </c>
      <c r="BM259" s="664">
        <f>+SUM(AE259:AH259)</f>
        <v>-8730.119999999999</v>
      </c>
      <c r="BN259" s="664">
        <f>+SUM(AI259:AL259)</f>
        <v>-5467.6909999999998</v>
      </c>
      <c r="BO259" s="1840">
        <f>+SUM(AM259:AP259)</f>
        <v>0</v>
      </c>
      <c r="BP259" s="664">
        <f>+SUM(AQ259:AT259)</f>
        <v>0</v>
      </c>
      <c r="BQ259" s="664">
        <f>+SUM(AU259:AX259)</f>
        <v>0</v>
      </c>
      <c r="BR259" s="1513">
        <f>+BR261*BR$364</f>
        <v>0</v>
      </c>
      <c r="BS259" s="1513">
        <f>+BS261*BS$364</f>
        <v>0</v>
      </c>
      <c r="BT259" s="1513">
        <f>+BT261*BT$364</f>
        <v>0</v>
      </c>
      <c r="BU259" s="1513">
        <f>+BU261*BU$364</f>
        <v>0</v>
      </c>
    </row>
    <row r="260" spans="1:73" s="326" customFormat="1" ht="15" hidden="1" customHeight="1">
      <c r="B260" s="325" t="s">
        <v>316</v>
      </c>
      <c r="C260" s="463"/>
      <c r="D260" s="463"/>
      <c r="E260" s="463"/>
      <c r="F260" s="463"/>
      <c r="G260" s="464"/>
      <c r="H260" s="464"/>
      <c r="I260" s="464"/>
      <c r="J260" s="464"/>
      <c r="K260" s="464"/>
      <c r="L260" s="464"/>
      <c r="M260" s="464"/>
      <c r="N260" s="464"/>
      <c r="O260" s="464"/>
      <c r="P260" s="464"/>
      <c r="Q260" s="464"/>
      <c r="R260" s="464"/>
      <c r="S260" s="1823"/>
      <c r="T260" s="464"/>
      <c r="U260" s="464"/>
      <c r="V260" s="464"/>
      <c r="W260" s="1823" t="e">
        <f t="shared" ref="W260" si="1643">+W259/S259-1</f>
        <v>#DIV/0!</v>
      </c>
      <c r="X260" s="464" t="e">
        <f t="shared" ref="X260" si="1644">+X259/T259-1</f>
        <v>#DIV/0!</v>
      </c>
      <c r="Y260" s="464" t="e">
        <f t="shared" ref="Y260" si="1645">+Y259/U259-1</f>
        <v>#DIV/0!</v>
      </c>
      <c r="Z260" s="464" t="e">
        <f t="shared" ref="Z260" si="1646">+Z259/V259-1</f>
        <v>#DIV/0!</v>
      </c>
      <c r="AA260" s="464">
        <f t="shared" ref="AA260" si="1647">+AA259/W259-1</f>
        <v>0.2701450981819733</v>
      </c>
      <c r="AB260" s="464">
        <f t="shared" ref="AB260" si="1648">+AB259/X259-1</f>
        <v>0.33269346570260239</v>
      </c>
      <c r="AC260" s="464">
        <f t="shared" ref="AC260:AD260" si="1649">+AC259/Y259-1</f>
        <v>-1.7219069018746813E-2</v>
      </c>
      <c r="AD260" s="464">
        <f t="shared" si="1649"/>
        <v>-3.2163849706836389E-2</v>
      </c>
      <c r="AE260" s="464">
        <f t="shared" ref="AE260" si="1650">+AE259/AA259-1</f>
        <v>-5.0140857319762699E-2</v>
      </c>
      <c r="AF260" s="464">
        <f t="shared" ref="AF260" si="1651">+AF259/AB259-1</f>
        <v>-1.3540758986545498E-2</v>
      </c>
      <c r="AG260" s="464">
        <f t="shared" ref="AG260" si="1652">+AG259/AC259-1</f>
        <v>6.1507896330631695E-2</v>
      </c>
      <c r="AH260" s="464">
        <f t="shared" ref="AH260" si="1653">+AH259/AD259-1</f>
        <v>-0.11557556564703797</v>
      </c>
      <c r="AI260" s="464">
        <f t="shared" ref="AI260:AK260" si="1654">+AI259/AE259-1</f>
        <v>-0.1781777225173109</v>
      </c>
      <c r="AJ260" s="464">
        <f t="shared" si="1654"/>
        <v>-4.865131480857765E-2</v>
      </c>
      <c r="AK260" s="464">
        <f t="shared" si="1654"/>
        <v>-0.15812212044001484</v>
      </c>
      <c r="AL260" s="464"/>
      <c r="AM260" s="1823"/>
      <c r="AN260" s="464"/>
      <c r="AO260" s="464"/>
      <c r="AP260" s="464"/>
      <c r="AQ260" s="464"/>
      <c r="AR260" s="464"/>
      <c r="AS260" s="464"/>
      <c r="AT260" s="464"/>
      <c r="AU260" s="464"/>
      <c r="AV260" s="464"/>
      <c r="AW260" s="464"/>
      <c r="AX260" s="464"/>
      <c r="AY260" s="464"/>
      <c r="AZ260" s="464"/>
      <c r="BA260" s="85"/>
      <c r="BB260" s="464"/>
      <c r="BC260" s="2197"/>
      <c r="BD260" s="85"/>
      <c r="BE260" s="464"/>
      <c r="BF260" s="464"/>
      <c r="BG260" s="464"/>
      <c r="BH260" s="464"/>
      <c r="BI260" s="464"/>
      <c r="BJ260" s="2028"/>
      <c r="BK260" s="464" t="e">
        <f>+BK259/BJ259-1</f>
        <v>#DIV/0!</v>
      </c>
      <c r="BL260" s="464">
        <f t="shared" ref="BL260" si="1655">+BL259/BK259-1</f>
        <v>9.9372852836051573E-2</v>
      </c>
      <c r="BM260" s="464">
        <f t="shared" ref="BM260" si="1656">+BM259/BL259-1</f>
        <v>-3.5017975721032268E-2</v>
      </c>
      <c r="BN260" s="464">
        <f t="shared" ref="BN260:BQ260" si="1657">+BN259/BM259-1</f>
        <v>-0.37369807058780402</v>
      </c>
      <c r="BO260" s="1823">
        <f t="shared" si="1657"/>
        <v>-1</v>
      </c>
      <c r="BP260" s="464" t="e">
        <f t="shared" si="1657"/>
        <v>#DIV/0!</v>
      </c>
      <c r="BQ260" s="464" t="e">
        <f t="shared" si="1657"/>
        <v>#DIV/0!</v>
      </c>
      <c r="BR260" s="1514" t="e">
        <f t="shared" ref="BR260" si="1658">+BR259/BQ259-1</f>
        <v>#DIV/0!</v>
      </c>
      <c r="BS260" s="1514" t="e">
        <f t="shared" ref="BS260" si="1659">+BS259/BR259-1</f>
        <v>#DIV/0!</v>
      </c>
      <c r="BT260" s="1514" t="e">
        <f t="shared" ref="BT260" si="1660">+BT259/BS259-1</f>
        <v>#DIV/0!</v>
      </c>
      <c r="BU260" s="1514" t="e">
        <f t="shared" ref="BU260" si="1661">+BU259/BT259-1</f>
        <v>#DIV/0!</v>
      </c>
    </row>
    <row r="261" spans="1:73" s="326" customFormat="1" ht="15" hidden="1" customHeight="1">
      <c r="B261" s="325" t="s">
        <v>318</v>
      </c>
      <c r="C261" s="463"/>
      <c r="D261" s="463"/>
      <c r="E261" s="463"/>
      <c r="F261" s="463"/>
      <c r="G261" s="472"/>
      <c r="H261" s="472"/>
      <c r="I261" s="472"/>
      <c r="J261" s="472"/>
      <c r="K261" s="472"/>
      <c r="L261" s="472"/>
      <c r="M261" s="472"/>
      <c r="N261" s="472"/>
      <c r="O261" s="472"/>
      <c r="P261" s="472"/>
      <c r="Q261" s="472"/>
      <c r="R261" s="472"/>
      <c r="S261" s="1839"/>
      <c r="T261" s="472"/>
      <c r="U261" s="472"/>
      <c r="V261" s="472"/>
      <c r="W261" s="1839">
        <f t="shared" ref="W261:AH261" si="1662">+W259/W$364</f>
        <v>-2.2399353296780546</v>
      </c>
      <c r="X261" s="472">
        <f t="shared" si="1662"/>
        <v>-2.3458229739598062</v>
      </c>
      <c r="Y261" s="472">
        <f t="shared" si="1662"/>
        <v>-1.9760291357583337</v>
      </c>
      <c r="Z261" s="472">
        <f t="shared" si="1662"/>
        <v>-2.4401403419239611</v>
      </c>
      <c r="AA261" s="472">
        <f t="shared" si="1662"/>
        <v>-1.7737566833201857</v>
      </c>
      <c r="AB261" s="472">
        <f t="shared" si="1662"/>
        <v>-1.8635325305535586</v>
      </c>
      <c r="AC261" s="472">
        <f t="shared" si="1662"/>
        <v>-1.6655263753744909</v>
      </c>
      <c r="AD261" s="472">
        <f t="shared" si="1662"/>
        <v>-1.9294575446917732</v>
      </c>
      <c r="AE261" s="472">
        <f t="shared" si="1662"/>
        <v>-1.8453658297282067</v>
      </c>
      <c r="AF261" s="472">
        <f t="shared" si="1662"/>
        <v>-1.6896129464096927</v>
      </c>
      <c r="AG261" s="472">
        <f t="shared" si="1662"/>
        <v>-1.7626813549421316</v>
      </c>
      <c r="AH261" s="472">
        <f t="shared" si="1662"/>
        <v>-2.0963874663047619</v>
      </c>
      <c r="AI261" s="472">
        <f t="shared" ref="AI261:AK261" si="1663">+AE261</f>
        <v>-1.8453658297282067</v>
      </c>
      <c r="AJ261" s="472">
        <f t="shared" si="1663"/>
        <v>-1.6896129464096927</v>
      </c>
      <c r="AK261" s="472">
        <f t="shared" si="1663"/>
        <v>-1.7626813549421316</v>
      </c>
      <c r="AL261" s="475"/>
      <c r="AM261" s="2407"/>
      <c r="AN261" s="475"/>
      <c r="AO261" s="475"/>
      <c r="AP261" s="475"/>
      <c r="AQ261" s="475"/>
      <c r="AR261" s="475"/>
      <c r="AS261" s="475"/>
      <c r="AT261" s="475"/>
      <c r="AU261" s="475"/>
      <c r="AV261" s="475"/>
      <c r="AW261" s="475"/>
      <c r="AX261" s="475"/>
      <c r="AY261" s="475"/>
      <c r="AZ261" s="475"/>
      <c r="BA261" s="85"/>
      <c r="BB261" s="475"/>
      <c r="BC261" s="2197"/>
      <c r="BD261" s="85"/>
      <c r="BE261" s="472"/>
      <c r="BF261" s="472"/>
      <c r="BG261" s="472"/>
      <c r="BH261" s="472"/>
      <c r="BI261" s="472"/>
      <c r="BJ261" s="2047"/>
      <c r="BK261" s="472">
        <f t="shared" ref="BK261:BP261" si="1664">+BK259/BK$364</f>
        <v>-2.2427519093660133</v>
      </c>
      <c r="BL261" s="472">
        <f t="shared" si="1664"/>
        <v>-1.8103284707858347</v>
      </c>
      <c r="BM261" s="472">
        <f t="shared" si="1664"/>
        <v>-1.8447897455773972</v>
      </c>
      <c r="BN261" s="472">
        <f t="shared" si="1664"/>
        <v>-1.1374857400548901</v>
      </c>
      <c r="BO261" s="1839">
        <f t="shared" si="1664"/>
        <v>0</v>
      </c>
      <c r="BP261" s="472">
        <f t="shared" si="1664"/>
        <v>0</v>
      </c>
      <c r="BQ261" s="472">
        <f t="shared" ref="BQ261" si="1665">+BQ259/BQ$364</f>
        <v>0</v>
      </c>
      <c r="BR261" s="1519">
        <f t="shared" ref="BR261" si="1666">+BQ261</f>
        <v>0</v>
      </c>
      <c r="BS261" s="1519">
        <f t="shared" ref="BS261" si="1667">+BR261</f>
        <v>0</v>
      </c>
      <c r="BT261" s="1519">
        <f t="shared" ref="BT261" si="1668">+BS261</f>
        <v>0</v>
      </c>
      <c r="BU261" s="1519">
        <f t="shared" ref="BU261" si="1669">+BT261</f>
        <v>0</v>
      </c>
    </row>
    <row r="262" spans="1:73" s="326" customFormat="1" ht="15" hidden="1" customHeight="1">
      <c r="B262" s="326" t="s">
        <v>319</v>
      </c>
      <c r="C262" s="818"/>
      <c r="D262" s="818"/>
      <c r="E262" s="818"/>
      <c r="F262" s="818"/>
      <c r="G262" s="818"/>
      <c r="H262" s="818"/>
      <c r="I262" s="818"/>
      <c r="J262" s="818"/>
      <c r="K262" s="818"/>
      <c r="L262" s="818"/>
      <c r="M262" s="818"/>
      <c r="N262" s="818"/>
      <c r="O262" s="818"/>
      <c r="P262" s="818"/>
      <c r="Q262" s="818"/>
      <c r="R262" s="818"/>
      <c r="S262" s="1836"/>
      <c r="T262" s="818"/>
      <c r="U262" s="818"/>
      <c r="V262" s="818"/>
      <c r="W262" s="1836">
        <v>-544.73099999999999</v>
      </c>
      <c r="X262" s="818">
        <v>-679.80700000000002</v>
      </c>
      <c r="Y262" s="818">
        <v>-665.40499999999997</v>
      </c>
      <c r="Z262" s="818">
        <f>-2805.643-Y262-X262-W262</f>
        <v>-915.70000000000027</v>
      </c>
      <c r="AA262" s="818">
        <v>-744.80499999999995</v>
      </c>
      <c r="AB262" s="818">
        <v>-893.375</v>
      </c>
      <c r="AC262" s="818">
        <v>-920.04600000000005</v>
      </c>
      <c r="AD262" s="818">
        <f>-3464.24-AC262-AB262-AA262</f>
        <v>-906.01399999999956</v>
      </c>
      <c r="AE262" s="818">
        <v>-726.28399999999999</v>
      </c>
      <c r="AF262" s="818">
        <v>-859.721</v>
      </c>
      <c r="AG262" s="818">
        <v>-779.23199999999997</v>
      </c>
      <c r="AH262" s="818">
        <f>-3430.881-AG262-AF262-AE262</f>
        <v>-1065.6439999999998</v>
      </c>
      <c r="AI262" s="818">
        <v>-650.221</v>
      </c>
      <c r="AJ262" s="818">
        <v>-674.10900000000004</v>
      </c>
      <c r="AK262" s="818">
        <v>-628.06700000000001</v>
      </c>
      <c r="AL262" s="665"/>
      <c r="AM262" s="1845"/>
      <c r="AN262" s="665"/>
      <c r="AO262" s="665"/>
      <c r="AP262" s="665"/>
      <c r="AQ262" s="665"/>
      <c r="AR262" s="665"/>
      <c r="AS262" s="665"/>
      <c r="AT262" s="665"/>
      <c r="AU262" s="665"/>
      <c r="AV262" s="665"/>
      <c r="AW262" s="665"/>
      <c r="AX262" s="665"/>
      <c r="AY262" s="665"/>
      <c r="AZ262" s="665"/>
      <c r="BA262" s="983"/>
      <c r="BB262" s="665"/>
      <c r="BC262" s="2202"/>
      <c r="BD262" s="85"/>
      <c r="BE262" s="664"/>
      <c r="BF262" s="664"/>
      <c r="BG262" s="664"/>
      <c r="BH262" s="664"/>
      <c r="BI262" s="664"/>
      <c r="BJ262" s="2044"/>
      <c r="BK262" s="664">
        <f>+SUM(W262:Z262)</f>
        <v>-2805.643</v>
      </c>
      <c r="BL262" s="664">
        <f>+SUM(AA262:AD262)</f>
        <v>-3464.2399999999993</v>
      </c>
      <c r="BM262" s="664">
        <f>+SUM(AE262:AH262)</f>
        <v>-3430.8809999999999</v>
      </c>
      <c r="BN262" s="664">
        <f>+SUM(AI262:AL262)</f>
        <v>-1952.3969999999999</v>
      </c>
      <c r="BO262" s="1840">
        <f>+SUM(AM262:AP262)</f>
        <v>0</v>
      </c>
      <c r="BP262" s="664">
        <f>+SUM(AQ262:AT262)</f>
        <v>0</v>
      </c>
      <c r="BQ262" s="664">
        <f>+SUM(AU262:AX262)</f>
        <v>0</v>
      </c>
      <c r="BR262" s="1513">
        <f t="shared" ref="BR262" si="1670">+BQ262*(1+BR263)</f>
        <v>0</v>
      </c>
      <c r="BS262" s="1513">
        <f t="shared" ref="BS262" si="1671">+BR262*(1+BS263)</f>
        <v>0</v>
      </c>
      <c r="BT262" s="1513">
        <f t="shared" ref="BT262" si="1672">+BS262*(1+BT263)</f>
        <v>0</v>
      </c>
      <c r="BU262" s="1513">
        <f t="shared" ref="BU262" si="1673">+BT262*(1+BU263)</f>
        <v>0</v>
      </c>
    </row>
    <row r="263" spans="1:73" s="326" customFormat="1" ht="15" hidden="1" customHeight="1">
      <c r="B263" s="325" t="s">
        <v>316</v>
      </c>
      <c r="C263" s="463"/>
      <c r="D263" s="463"/>
      <c r="E263" s="463"/>
      <c r="F263" s="463"/>
      <c r="G263" s="464"/>
      <c r="H263" s="464"/>
      <c r="I263" s="464"/>
      <c r="J263" s="464"/>
      <c r="K263" s="464"/>
      <c r="L263" s="464"/>
      <c r="M263" s="464"/>
      <c r="N263" s="464"/>
      <c r="O263" s="464"/>
      <c r="P263" s="464"/>
      <c r="Q263" s="464"/>
      <c r="R263" s="464"/>
      <c r="S263" s="1823"/>
      <c r="T263" s="464"/>
      <c r="U263" s="464"/>
      <c r="V263" s="464"/>
      <c r="W263" s="1823" t="e">
        <f t="shared" ref="W263" si="1674">+W262/S262-1</f>
        <v>#DIV/0!</v>
      </c>
      <c r="X263" s="464" t="e">
        <f t="shared" ref="X263" si="1675">+X262/T262-1</f>
        <v>#DIV/0!</v>
      </c>
      <c r="Y263" s="464" t="e">
        <f t="shared" ref="Y263" si="1676">+Y262/U262-1</f>
        <v>#DIV/0!</v>
      </c>
      <c r="Z263" s="464" t="e">
        <f t="shared" ref="Z263" si="1677">+Z262/V262-1</f>
        <v>#DIV/0!</v>
      </c>
      <c r="AA263" s="464">
        <f t="shared" ref="AA263" si="1678">+AA262/W262-1</f>
        <v>0.367289542912006</v>
      </c>
      <c r="AB263" s="464">
        <f t="shared" ref="AB263" si="1679">+AB262/X262-1</f>
        <v>0.31415975416552055</v>
      </c>
      <c r="AC263" s="464">
        <f t="shared" ref="AC263:AD263" si="1680">+AC262/Y262-1</f>
        <v>0.38268573274922812</v>
      </c>
      <c r="AD263" s="464">
        <f t="shared" si="1680"/>
        <v>-1.0577700120127487E-2</v>
      </c>
      <c r="AE263" s="464">
        <f t="shared" ref="AE263" si="1681">+AE262/AA262-1</f>
        <v>-2.4866911473472864E-2</v>
      </c>
      <c r="AF263" s="464">
        <f t="shared" ref="AF263" si="1682">+AF262/AB262-1</f>
        <v>-3.7670631034000257E-2</v>
      </c>
      <c r="AG263" s="464">
        <f t="shared" ref="AG263" si="1683">+AG262/AC262-1</f>
        <v>-0.15305104310001894</v>
      </c>
      <c r="AH263" s="464">
        <f t="shared" ref="AH263" si="1684">+AH262/AD262-1</f>
        <v>0.17618933040769824</v>
      </c>
      <c r="AI263" s="464">
        <v>0.06</v>
      </c>
      <c r="AJ263" s="464">
        <v>0.06</v>
      </c>
      <c r="AK263" s="464">
        <v>0.06</v>
      </c>
      <c r="AL263" s="466"/>
      <c r="AM263" s="2408"/>
      <c r="AN263" s="466"/>
      <c r="AO263" s="466"/>
      <c r="AP263" s="466"/>
      <c r="AQ263" s="466"/>
      <c r="AR263" s="466"/>
      <c r="AS263" s="466"/>
      <c r="AT263" s="466"/>
      <c r="AU263" s="466"/>
      <c r="AV263" s="466"/>
      <c r="AW263" s="466"/>
      <c r="AX263" s="466"/>
      <c r="AY263" s="466"/>
      <c r="AZ263" s="466"/>
      <c r="BA263" s="85"/>
      <c r="BB263" s="466"/>
      <c r="BC263" s="2197"/>
      <c r="BD263" s="85"/>
      <c r="BE263" s="464"/>
      <c r="BF263" s="464"/>
      <c r="BG263" s="464"/>
      <c r="BH263" s="464"/>
      <c r="BI263" s="464"/>
      <c r="BJ263" s="2028"/>
      <c r="BK263" s="464" t="e">
        <f>+BK262/BJ262-1</f>
        <v>#DIV/0!</v>
      </c>
      <c r="BL263" s="464">
        <f t="shared" ref="BL263" si="1685">+BL262/BK262-1</f>
        <v>0.23474012908983766</v>
      </c>
      <c r="BM263" s="464">
        <f t="shared" ref="BM263" si="1686">+BM262/BL262-1</f>
        <v>-9.6295291319307141E-3</v>
      </c>
      <c r="BN263" s="464">
        <f t="shared" ref="BN263:BQ263" si="1687">+BN262/BM262-1</f>
        <v>-0.43093421194148096</v>
      </c>
      <c r="BO263" s="1823">
        <f t="shared" si="1687"/>
        <v>-1</v>
      </c>
      <c r="BP263" s="464" t="e">
        <f t="shared" si="1687"/>
        <v>#DIV/0!</v>
      </c>
      <c r="BQ263" s="464" t="e">
        <f t="shared" si="1687"/>
        <v>#DIV/0!</v>
      </c>
      <c r="BR263" s="1520">
        <v>0.06</v>
      </c>
      <c r="BS263" s="1520">
        <v>0.06</v>
      </c>
      <c r="BT263" s="1520">
        <v>0.06</v>
      </c>
      <c r="BU263" s="1520">
        <v>0.06</v>
      </c>
    </row>
    <row r="264" spans="1:73" s="326" customFormat="1" ht="15" hidden="1" customHeight="1">
      <c r="B264" s="325" t="s">
        <v>318</v>
      </c>
      <c r="C264" s="463"/>
      <c r="D264" s="463"/>
      <c r="E264" s="463"/>
      <c r="F264" s="463"/>
      <c r="G264" s="472"/>
      <c r="H264" s="472"/>
      <c r="I264" s="472"/>
      <c r="J264" s="472"/>
      <c r="K264" s="472"/>
      <c r="L264" s="472"/>
      <c r="M264" s="472"/>
      <c r="N264" s="472"/>
      <c r="O264" s="472"/>
      <c r="P264" s="472"/>
      <c r="Q264" s="472"/>
      <c r="R264" s="472"/>
      <c r="S264" s="1839"/>
      <c r="T264" s="472"/>
      <c r="U264" s="472"/>
      <c r="V264" s="472"/>
      <c r="W264" s="1839">
        <f t="shared" ref="W264:AK264" si="1688">+W262/W$364</f>
        <v>-0.76582454660480814</v>
      </c>
      <c r="X264" s="472">
        <f t="shared" si="1688"/>
        <v>-1.0248422953095331</v>
      </c>
      <c r="Y264" s="472">
        <f t="shared" si="1688"/>
        <v>-0.59469568326034494</v>
      </c>
      <c r="Z264" s="472">
        <f t="shared" si="1688"/>
        <v>-0.77885515012333095</v>
      </c>
      <c r="AA264" s="472">
        <f t="shared" si="1688"/>
        <v>-0.65282233324568317</v>
      </c>
      <c r="AB264" s="472">
        <f t="shared" si="1688"/>
        <v>-0.80281721782890014</v>
      </c>
      <c r="AC264" s="472">
        <f t="shared" si="1688"/>
        <v>-0.70521203822610024</v>
      </c>
      <c r="AD264" s="472">
        <f t="shared" si="1688"/>
        <v>-0.62958876953293264</v>
      </c>
      <c r="AE264" s="472">
        <f t="shared" si="1688"/>
        <v>-0.69724935167246083</v>
      </c>
      <c r="AF264" s="472">
        <f t="shared" si="1688"/>
        <v>-0.71008693623926922</v>
      </c>
      <c r="AG264" s="472">
        <f t="shared" si="1688"/>
        <v>-0.5954921237975126</v>
      </c>
      <c r="AH264" s="472">
        <f t="shared" si="1688"/>
        <v>-0.90972431605546267</v>
      </c>
      <c r="AI264" s="472">
        <f t="shared" si="1688"/>
        <v>-0.58503010447577086</v>
      </c>
      <c r="AJ264" s="472">
        <f t="shared" si="1688"/>
        <v>-0.42829278738399085</v>
      </c>
      <c r="AK264" s="472">
        <f t="shared" si="1688"/>
        <v>-0.49278361716401675</v>
      </c>
      <c r="AL264" s="472"/>
      <c r="AM264" s="1839"/>
      <c r="AN264" s="472"/>
      <c r="AO264" s="472"/>
      <c r="AP264" s="472"/>
      <c r="AQ264" s="472"/>
      <c r="AR264" s="472"/>
      <c r="AS264" s="472"/>
      <c r="AT264" s="472"/>
      <c r="AU264" s="472"/>
      <c r="AV264" s="472"/>
      <c r="AW264" s="472"/>
      <c r="AX264" s="472"/>
      <c r="AY264" s="472"/>
      <c r="AZ264" s="472"/>
      <c r="BA264" s="85"/>
      <c r="BB264" s="472"/>
      <c r="BC264" s="2197"/>
      <c r="BD264" s="85"/>
      <c r="BE264" s="472"/>
      <c r="BF264" s="472"/>
      <c r="BG264" s="472"/>
      <c r="BH264" s="472"/>
      <c r="BI264" s="472"/>
      <c r="BJ264" s="2047"/>
      <c r="BK264" s="472">
        <f>+BK262/BK$364</f>
        <v>-0.76464114362572799</v>
      </c>
      <c r="BL264" s="472">
        <f>+BL262/BL$364</f>
        <v>-0.6932092729446877</v>
      </c>
      <c r="BM264" s="472">
        <f>+BM262/BM$364</f>
        <v>-0.72499050266162735</v>
      </c>
      <c r="BN264" s="472">
        <f>+BN262/BN$364</f>
        <v>-0.40617213855463802</v>
      </c>
      <c r="BO264" s="1839">
        <f>+BO262/BO$364</f>
        <v>0</v>
      </c>
      <c r="BP264" s="472">
        <f t="shared" ref="BP264:BQ264" si="1689">+BP262/BP$364</f>
        <v>0</v>
      </c>
      <c r="BQ264" s="472">
        <f t="shared" si="1689"/>
        <v>0</v>
      </c>
      <c r="BR264" s="1521">
        <f>+BR262/BR$364</f>
        <v>0</v>
      </c>
      <c r="BS264" s="1521">
        <f>+BS262/BS$364</f>
        <v>0</v>
      </c>
      <c r="BT264" s="1521">
        <f>+BT262/BT$364</f>
        <v>0</v>
      </c>
      <c r="BU264" s="1521">
        <f>+BU262/BU$364</f>
        <v>0</v>
      </c>
    </row>
    <row r="265" spans="1:73" s="326" customFormat="1" ht="15" hidden="1" customHeight="1">
      <c r="B265" s="326" t="s">
        <v>20</v>
      </c>
      <c r="C265" s="818"/>
      <c r="D265" s="818"/>
      <c r="E265" s="818"/>
      <c r="F265" s="818"/>
      <c r="G265" s="818"/>
      <c r="H265" s="818"/>
      <c r="I265" s="818"/>
      <c r="J265" s="818"/>
      <c r="K265" s="818"/>
      <c r="L265" s="818"/>
      <c r="M265" s="818"/>
      <c r="N265" s="818"/>
      <c r="O265" s="818"/>
      <c r="P265" s="818"/>
      <c r="Q265" s="818"/>
      <c r="R265" s="818"/>
      <c r="S265" s="1836"/>
      <c r="T265" s="818"/>
      <c r="U265" s="818"/>
      <c r="V265" s="818"/>
      <c r="W265" s="1836">
        <f>-57.822-11.34</f>
        <v>-69.162000000000006</v>
      </c>
      <c r="X265" s="818">
        <f>-86.556+35.915</f>
        <v>-50.640999999999998</v>
      </c>
      <c r="Y265" s="818">
        <f>-32.325-65.032</f>
        <v>-97.356999999999999</v>
      </c>
      <c r="Z265" s="818">
        <f>-236.723-108.035-Y265-X265-W265</f>
        <v>-127.59800000000004</v>
      </c>
      <c r="AA265" s="818">
        <f>-124.647-19.066</f>
        <v>-143.71299999999999</v>
      </c>
      <c r="AB265" s="818">
        <f>-143.426-48.865</f>
        <v>-192.291</v>
      </c>
      <c r="AC265" s="818">
        <f>-112.446-26.895</f>
        <v>-139.34100000000001</v>
      </c>
      <c r="AD265" s="818">
        <f>-440.964-116.172-AC265-AB265-AA265</f>
        <v>-81.790999999999968</v>
      </c>
      <c r="AE265" s="818">
        <f>-69.736-26.115</f>
        <v>-95.850999999999999</v>
      </c>
      <c r="AF265" s="818">
        <f>-83.233-53.211</f>
        <v>-136.44400000000002</v>
      </c>
      <c r="AG265" s="818">
        <f>-66.045-73.595</f>
        <v>-139.63999999999999</v>
      </c>
      <c r="AH265" s="818">
        <f>-239.027-292-AG265-AF265-AE265</f>
        <v>-159.09200000000004</v>
      </c>
      <c r="AI265" s="818">
        <f>-139.855-31.576</f>
        <v>-171.43099999999998</v>
      </c>
      <c r="AJ265" s="818">
        <f>-41.287-108.22</f>
        <v>-149.50700000000001</v>
      </c>
      <c r="AK265" s="818">
        <v>-132.51</v>
      </c>
      <c r="AL265" s="665"/>
      <c r="AM265" s="1845"/>
      <c r="AN265" s="665"/>
      <c r="AO265" s="665"/>
      <c r="AP265" s="665"/>
      <c r="AQ265" s="665"/>
      <c r="AR265" s="665"/>
      <c r="AS265" s="665"/>
      <c r="AT265" s="665"/>
      <c r="AU265" s="665"/>
      <c r="AV265" s="665"/>
      <c r="AW265" s="665"/>
      <c r="AX265" s="665"/>
      <c r="AY265" s="665"/>
      <c r="AZ265" s="665"/>
      <c r="BA265" s="983"/>
      <c r="BB265" s="665"/>
      <c r="BC265" s="2202"/>
      <c r="BD265" s="85"/>
      <c r="BE265" s="664"/>
      <c r="BF265" s="664"/>
      <c r="BG265" s="664"/>
      <c r="BH265" s="664"/>
      <c r="BI265" s="664"/>
      <c r="BJ265" s="2044"/>
      <c r="BK265" s="664">
        <f>+SUM(W265:Z265)</f>
        <v>-344.75800000000004</v>
      </c>
      <c r="BL265" s="664">
        <f>+SUM(AA265:AD265)</f>
        <v>-557.13599999999997</v>
      </c>
      <c r="BM265" s="664">
        <f>+SUM(AE265:AH265)</f>
        <v>-531.02700000000004</v>
      </c>
      <c r="BN265" s="664">
        <f>+SUM(AI265:AL265)</f>
        <v>-453.44799999999998</v>
      </c>
      <c r="BO265" s="1840">
        <f>+SUM(AM265:AP265)</f>
        <v>0</v>
      </c>
      <c r="BP265" s="664">
        <f>+SUM(AQ265:AT265)</f>
        <v>0</v>
      </c>
      <c r="BQ265" s="664">
        <f>+SUM(AU265:AX265)</f>
        <v>0</v>
      </c>
      <c r="BR265" s="1513">
        <f>+BR266*BR$364</f>
        <v>0</v>
      </c>
      <c r="BS265" s="1513">
        <f>+BS266*BS$364</f>
        <v>0</v>
      </c>
      <c r="BT265" s="1513">
        <f>+BT266*BT$364</f>
        <v>0</v>
      </c>
      <c r="BU265" s="1513">
        <f>+BU266*BU$364</f>
        <v>0</v>
      </c>
    </row>
    <row r="266" spans="1:73" s="326" customFormat="1" ht="15" hidden="1" customHeight="1">
      <c r="B266" s="325" t="s">
        <v>318</v>
      </c>
      <c r="C266" s="463"/>
      <c r="D266" s="463"/>
      <c r="E266" s="463"/>
      <c r="F266" s="463"/>
      <c r="G266" s="472"/>
      <c r="H266" s="472"/>
      <c r="I266" s="472"/>
      <c r="J266" s="472"/>
      <c r="K266" s="472"/>
      <c r="L266" s="472"/>
      <c r="M266" s="472"/>
      <c r="N266" s="472"/>
      <c r="O266" s="472"/>
      <c r="P266" s="472"/>
      <c r="Q266" s="472"/>
      <c r="R266" s="472"/>
      <c r="S266" s="1839"/>
      <c r="T266" s="472"/>
      <c r="U266" s="472"/>
      <c r="V266" s="472"/>
      <c r="W266" s="1839">
        <f t="shared" ref="W266:AH266" si="1690">+W265/W$364</f>
        <v>-9.723323492197386E-2</v>
      </c>
      <c r="X266" s="472">
        <f t="shared" si="1690"/>
        <v>-7.634378386331718E-2</v>
      </c>
      <c r="Y266" s="472">
        <f t="shared" si="1690"/>
        <v>-8.7011350433461421E-2</v>
      </c>
      <c r="Z266" s="472">
        <f t="shared" si="1690"/>
        <v>-0.10852938674832018</v>
      </c>
      <c r="AA266" s="472">
        <f t="shared" si="1690"/>
        <v>-0.12596458935927773</v>
      </c>
      <c r="AB266" s="472">
        <f t="shared" si="1690"/>
        <v>-0.17279924514737599</v>
      </c>
      <c r="AC266" s="472">
        <f t="shared" si="1690"/>
        <v>-0.10680438871367631</v>
      </c>
      <c r="AD266" s="472">
        <f t="shared" si="1690"/>
        <v>-5.6836533484988197E-2</v>
      </c>
      <c r="AE266" s="472">
        <f t="shared" si="1690"/>
        <v>-9.2019165515359061E-2</v>
      </c>
      <c r="AF266" s="472">
        <f t="shared" si="1690"/>
        <v>-0.11269598151985454</v>
      </c>
      <c r="AG266" s="472">
        <f t="shared" si="1690"/>
        <v>-0.10671343087435405</v>
      </c>
      <c r="AH266" s="472">
        <f t="shared" si="1690"/>
        <v>-0.13581445669463321</v>
      </c>
      <c r="AI266" s="472">
        <f t="shared" ref="AI266:AK266" si="1691">+AH266</f>
        <v>-0.13581445669463321</v>
      </c>
      <c r="AJ266" s="472">
        <f t="shared" si="1691"/>
        <v>-0.13581445669463321</v>
      </c>
      <c r="AK266" s="472">
        <f t="shared" si="1691"/>
        <v>-0.13581445669463321</v>
      </c>
      <c r="AL266" s="475"/>
      <c r="AM266" s="2407"/>
      <c r="AN266" s="475"/>
      <c r="AO266" s="475"/>
      <c r="AP266" s="475"/>
      <c r="AQ266" s="475"/>
      <c r="AR266" s="475"/>
      <c r="AS266" s="475"/>
      <c r="AT266" s="475"/>
      <c r="AU266" s="475"/>
      <c r="AV266" s="475"/>
      <c r="AW266" s="475"/>
      <c r="AX266" s="475"/>
      <c r="AY266" s="475"/>
      <c r="AZ266" s="475"/>
      <c r="BA266" s="85"/>
      <c r="BB266" s="475"/>
      <c r="BC266" s="2197"/>
      <c r="BD266" s="85"/>
      <c r="BE266" s="472"/>
      <c r="BF266" s="472"/>
      <c r="BG266" s="472"/>
      <c r="BH266" s="472"/>
      <c r="BI266" s="472"/>
      <c r="BJ266" s="2047"/>
      <c r="BK266" s="472">
        <f t="shared" ref="BK266:BP266" si="1692">+BK265/BK$364</f>
        <v>-9.3959264024011169E-2</v>
      </c>
      <c r="BL266" s="472">
        <f t="shared" si="1692"/>
        <v>-0.11148530167982346</v>
      </c>
      <c r="BM266" s="472">
        <f t="shared" si="1692"/>
        <v>-0.11221302390170224</v>
      </c>
      <c r="BN266" s="472">
        <f t="shared" si="1692"/>
        <v>-9.4334269046368893E-2</v>
      </c>
      <c r="BO266" s="1839">
        <f t="shared" si="1692"/>
        <v>0</v>
      </c>
      <c r="BP266" s="472">
        <f t="shared" si="1692"/>
        <v>0</v>
      </c>
      <c r="BQ266" s="472">
        <f t="shared" ref="BQ266" si="1693">+BQ265/BQ$364</f>
        <v>0</v>
      </c>
      <c r="BR266" s="1519">
        <f t="shared" ref="BR266" si="1694">+BQ266</f>
        <v>0</v>
      </c>
      <c r="BS266" s="1519">
        <f t="shared" ref="BS266" si="1695">+BR266</f>
        <v>0</v>
      </c>
      <c r="BT266" s="1519">
        <f t="shared" ref="BT266" si="1696">+BS266</f>
        <v>0</v>
      </c>
      <c r="BU266" s="1519">
        <f t="shared" ref="BU266" si="1697">+BT266</f>
        <v>0</v>
      </c>
    </row>
    <row r="267" spans="1:73" s="326" customFormat="1" ht="15" hidden="1" customHeight="1">
      <c r="B267" s="326" t="s">
        <v>322</v>
      </c>
      <c r="C267" s="664"/>
      <c r="D267" s="664"/>
      <c r="E267" s="664"/>
      <c r="F267" s="664"/>
      <c r="G267" s="664"/>
      <c r="H267" s="664"/>
      <c r="I267" s="664"/>
      <c r="J267" s="664"/>
      <c r="K267" s="664"/>
      <c r="L267" s="664"/>
      <c r="M267" s="664"/>
      <c r="N267" s="664"/>
      <c r="O267" s="664"/>
      <c r="P267" s="664"/>
      <c r="Q267" s="664"/>
      <c r="R267" s="664"/>
      <c r="S267" s="1840"/>
      <c r="T267" s="664"/>
      <c r="U267" s="664"/>
      <c r="V267" s="664"/>
      <c r="W267" s="1840">
        <f t="shared" ref="W267:Z267" si="1698">+W259+W262+W265</f>
        <v>-2207.1590000000001</v>
      </c>
      <c r="X267" s="664">
        <f t="shared" si="1698"/>
        <v>-2286.4990000000003</v>
      </c>
      <c r="Y267" s="664">
        <f t="shared" si="1698"/>
        <v>-2973.741</v>
      </c>
      <c r="Z267" s="664">
        <f t="shared" si="1698"/>
        <v>-3912.1710000000012</v>
      </c>
      <c r="AA267" s="664">
        <f>+AA259+AA262+AA265</f>
        <v>-2912.1970000000001</v>
      </c>
      <c r="AB267" s="664">
        <f>+AB259+AB262+AB265</f>
        <v>-3159.4050000000002</v>
      </c>
      <c r="AC267" s="664">
        <f>+AC259+AC262+AC265</f>
        <v>-3232.2949999999996</v>
      </c>
      <c r="AD267" s="664">
        <f t="shared" ref="AD267" si="1699">+AD259+AD262+AD265</f>
        <v>-3764.404</v>
      </c>
      <c r="AE267" s="664">
        <f t="shared" ref="AE267:AI267" si="1700">+AE259+AE262+AE265</f>
        <v>-2744.3450000000003</v>
      </c>
      <c r="AF267" s="664">
        <f t="shared" si="1700"/>
        <v>-3041.8240000000001</v>
      </c>
      <c r="AG267" s="664">
        <f t="shared" si="1700"/>
        <v>-3225.431</v>
      </c>
      <c r="AH267" s="664">
        <f t="shared" si="1700"/>
        <v>-3680.4279999999999</v>
      </c>
      <c r="AI267" s="664">
        <f t="shared" si="1700"/>
        <v>-2401.3669999999997</v>
      </c>
      <c r="AJ267" s="664">
        <f t="shared" ref="AJ267:AK267" si="1701">+AJ259+AJ262+AJ265</f>
        <v>-2769.7510000000002</v>
      </c>
      <c r="AK267" s="664">
        <f t="shared" si="1701"/>
        <v>-2702.4179999999997</v>
      </c>
      <c r="AL267" s="665"/>
      <c r="AM267" s="1845"/>
      <c r="AN267" s="665"/>
      <c r="AO267" s="665"/>
      <c r="AP267" s="665"/>
      <c r="AQ267" s="665"/>
      <c r="AR267" s="665"/>
      <c r="AS267" s="665"/>
      <c r="AT267" s="665"/>
      <c r="AU267" s="665"/>
      <c r="AV267" s="665"/>
      <c r="AW267" s="665"/>
      <c r="AX267" s="665"/>
      <c r="AY267" s="665"/>
      <c r="AZ267" s="665"/>
      <c r="BA267" s="983"/>
      <c r="BB267" s="665"/>
      <c r="BC267" s="2202"/>
      <c r="BD267" s="85"/>
      <c r="BE267" s="664"/>
      <c r="BF267" s="664"/>
      <c r="BG267" s="664"/>
      <c r="BH267" s="664"/>
      <c r="BI267" s="664"/>
      <c r="BJ267" s="2044"/>
      <c r="BK267" s="664">
        <f>+SUM(W267:Z267)</f>
        <v>-11379.570000000002</v>
      </c>
      <c r="BL267" s="664">
        <f>+SUM(AA267:AD267)</f>
        <v>-13068.301000000001</v>
      </c>
      <c r="BM267" s="664">
        <f>+SUM(AE267:AH267)</f>
        <v>-12692.028</v>
      </c>
      <c r="BN267" s="664">
        <f>+SUM(AI267:AL267)</f>
        <v>-7873.5360000000001</v>
      </c>
      <c r="BO267" s="1840">
        <f>+SUM(AM267:AP267)</f>
        <v>0</v>
      </c>
      <c r="BP267" s="664">
        <f>+SUM(AQ267:AT267)</f>
        <v>0</v>
      </c>
      <c r="BQ267" s="664">
        <f>+SUM(AU267:AX267)</f>
        <v>0</v>
      </c>
      <c r="BR267" s="1513">
        <f t="shared" ref="BR267:BU267" si="1702">BR259+BR262+BR265</f>
        <v>0</v>
      </c>
      <c r="BS267" s="1513">
        <f t="shared" si="1702"/>
        <v>0</v>
      </c>
      <c r="BT267" s="1513">
        <f t="shared" si="1702"/>
        <v>0</v>
      </c>
      <c r="BU267" s="1513">
        <f t="shared" si="1702"/>
        <v>0</v>
      </c>
    </row>
    <row r="268" spans="1:73" s="326" customFormat="1" ht="15" hidden="1" customHeight="1">
      <c r="B268" s="325" t="s">
        <v>316</v>
      </c>
      <c r="C268" s="463"/>
      <c r="D268" s="463"/>
      <c r="E268" s="463"/>
      <c r="F268" s="463"/>
      <c r="G268" s="464"/>
      <c r="H268" s="464"/>
      <c r="I268" s="464"/>
      <c r="J268" s="464"/>
      <c r="K268" s="464"/>
      <c r="L268" s="464"/>
      <c r="M268" s="464"/>
      <c r="N268" s="464"/>
      <c r="O268" s="464"/>
      <c r="P268" s="464"/>
      <c r="Q268" s="464"/>
      <c r="R268" s="464"/>
      <c r="S268" s="1823"/>
      <c r="T268" s="464"/>
      <c r="U268" s="464"/>
      <c r="V268" s="464"/>
      <c r="W268" s="1823" t="e">
        <f t="shared" ref="W268" si="1703">+W267/S267-1</f>
        <v>#DIV/0!</v>
      </c>
      <c r="X268" s="464" t="e">
        <f t="shared" ref="X268" si="1704">+X267/T267-1</f>
        <v>#DIV/0!</v>
      </c>
      <c r="Y268" s="464" t="e">
        <f t="shared" ref="Y268" si="1705">+Y267/U267-1</f>
        <v>#DIV/0!</v>
      </c>
      <c r="Z268" s="464" t="e">
        <f t="shared" ref="Z268" si="1706">+Z267/V267-1</f>
        <v>#DIV/0!</v>
      </c>
      <c r="AA268" s="464">
        <f t="shared" ref="AA268" si="1707">+AA267/W267-1</f>
        <v>0.31943235625525834</v>
      </c>
      <c r="AB268" s="464">
        <f t="shared" ref="AB268" si="1708">+AB267/X267-1</f>
        <v>0.38176531019694293</v>
      </c>
      <c r="AC268" s="464">
        <f t="shared" ref="AC268:AD268" si="1709">+AC267/Y267-1</f>
        <v>8.6945702399771729E-2</v>
      </c>
      <c r="AD268" s="464">
        <f t="shared" si="1709"/>
        <v>-3.7771099473924097E-2</v>
      </c>
      <c r="AE268" s="464">
        <f t="shared" ref="AE268" si="1710">+AE267/AA267-1</f>
        <v>-5.7637584270569531E-2</v>
      </c>
      <c r="AF268" s="464">
        <f t="shared" ref="AF268" si="1711">+AF267/AB267-1</f>
        <v>-3.7216184693003918E-2</v>
      </c>
      <c r="AG268" s="464">
        <f t="shared" ref="AG268" si="1712">+AG267/AC267-1</f>
        <v>-2.1235685480438526E-3</v>
      </c>
      <c r="AH268" s="464">
        <f t="shared" ref="AH268" si="1713">+AH267/AD267-1</f>
        <v>-2.2307913815839187E-2</v>
      </c>
      <c r="AI268" s="464">
        <f t="shared" ref="AI268:AK268" si="1714">+AI267/AE267-1</f>
        <v>-0.12497626938304063</v>
      </c>
      <c r="AJ268" s="464">
        <f t="shared" si="1714"/>
        <v>-8.9444030949851094E-2</v>
      </c>
      <c r="AK268" s="464">
        <f t="shared" si="1714"/>
        <v>-0.16215290297637752</v>
      </c>
      <c r="AL268" s="464"/>
      <c r="AM268" s="1823"/>
      <c r="AN268" s="464"/>
      <c r="AO268" s="464"/>
      <c r="AP268" s="464"/>
      <c r="AQ268" s="464"/>
      <c r="AR268" s="464"/>
      <c r="AS268" s="464"/>
      <c r="AT268" s="464"/>
      <c r="AU268" s="464"/>
      <c r="AV268" s="464"/>
      <c r="AW268" s="464"/>
      <c r="AX268" s="464"/>
      <c r="AY268" s="464"/>
      <c r="AZ268" s="464"/>
      <c r="BA268" s="85"/>
      <c r="BB268" s="464"/>
      <c r="BC268" s="2197"/>
      <c r="BD268" s="85"/>
      <c r="BE268" s="464"/>
      <c r="BF268" s="464"/>
      <c r="BG268" s="464"/>
      <c r="BH268" s="464"/>
      <c r="BI268" s="464"/>
      <c r="BJ268" s="2028"/>
      <c r="BK268" s="464" t="e">
        <f>+BK267/BJ267-1</f>
        <v>#DIV/0!</v>
      </c>
      <c r="BL268" s="464">
        <f t="shared" ref="BL268" si="1715">+BL267/BK267-1</f>
        <v>0.14840024710951294</v>
      </c>
      <c r="BM268" s="464">
        <f t="shared" ref="BM268" si="1716">+BM267/BL267-1</f>
        <v>-2.8792801757474118E-2</v>
      </c>
      <c r="BN268" s="464">
        <f t="shared" ref="BN268:BQ268" si="1717">+BN267/BM267-1</f>
        <v>-0.37964712967856673</v>
      </c>
      <c r="BO268" s="1823">
        <f t="shared" si="1717"/>
        <v>-1</v>
      </c>
      <c r="BP268" s="464" t="e">
        <f t="shared" si="1717"/>
        <v>#DIV/0!</v>
      </c>
      <c r="BQ268" s="464" t="e">
        <f t="shared" si="1717"/>
        <v>#DIV/0!</v>
      </c>
      <c r="BR268" s="1514" t="e">
        <f t="shared" ref="BR268" si="1718">+BR267/BQ267-1</f>
        <v>#DIV/0!</v>
      </c>
      <c r="BS268" s="1514" t="e">
        <f t="shared" ref="BS268" si="1719">+BS267/BR267-1</f>
        <v>#DIV/0!</v>
      </c>
      <c r="BT268" s="1514" t="e">
        <f t="shared" ref="BT268" si="1720">+BT267/BS267-1</f>
        <v>#DIV/0!</v>
      </c>
      <c r="BU268" s="1514" t="e">
        <f t="shared" ref="BU268" si="1721">+BU267/BT267-1</f>
        <v>#DIV/0!</v>
      </c>
    </row>
    <row r="269" spans="1:73" s="326" customFormat="1" ht="15" hidden="1" customHeight="1">
      <c r="B269" s="325" t="s">
        <v>318</v>
      </c>
      <c r="C269" s="463"/>
      <c r="D269" s="463"/>
      <c r="E269" s="463"/>
      <c r="F269" s="463"/>
      <c r="G269" s="472"/>
      <c r="H269" s="472"/>
      <c r="I269" s="472"/>
      <c r="J269" s="472"/>
      <c r="K269" s="472"/>
      <c r="L269" s="472"/>
      <c r="M269" s="472"/>
      <c r="N269" s="472"/>
      <c r="O269" s="472"/>
      <c r="P269" s="472"/>
      <c r="Q269" s="472"/>
      <c r="R269" s="472"/>
      <c r="S269" s="1839"/>
      <c r="T269" s="472"/>
      <c r="U269" s="472"/>
      <c r="V269" s="472"/>
      <c r="W269" s="1839">
        <f t="shared" ref="W269:AK269" si="1722">+W267/W$364</f>
        <v>-3.1029931112048366</v>
      </c>
      <c r="X269" s="472">
        <f t="shared" si="1722"/>
        <v>-3.4470090531326569</v>
      </c>
      <c r="Y269" s="472">
        <f t="shared" si="1722"/>
        <v>-2.6577361694521402</v>
      </c>
      <c r="Z269" s="472">
        <f t="shared" si="1722"/>
        <v>-3.3275248787956122</v>
      </c>
      <c r="AA269" s="472">
        <f t="shared" si="1722"/>
        <v>-2.5525436059251465</v>
      </c>
      <c r="AB269" s="472">
        <f t="shared" si="1722"/>
        <v>-2.8391489935298351</v>
      </c>
      <c r="AC269" s="472">
        <f t="shared" si="1722"/>
        <v>-2.4775428023142672</v>
      </c>
      <c r="AD269" s="472">
        <f t="shared" si="1722"/>
        <v>-2.615882847709694</v>
      </c>
      <c r="AE269" s="472">
        <f t="shared" si="1722"/>
        <v>-2.6346343469160267</v>
      </c>
      <c r="AF269" s="472">
        <f t="shared" si="1722"/>
        <v>-2.5123958641688162</v>
      </c>
      <c r="AG269" s="472">
        <f t="shared" si="1722"/>
        <v>-2.4648869096139983</v>
      </c>
      <c r="AH269" s="472">
        <f t="shared" si="1722"/>
        <v>-3.1419262390548579</v>
      </c>
      <c r="AI269" s="472">
        <f t="shared" si="1722"/>
        <v>-2.1606069119494267</v>
      </c>
      <c r="AJ269" s="472">
        <f t="shared" si="1722"/>
        <v>-1.7597515774890944</v>
      </c>
      <c r="AK269" s="472">
        <f t="shared" si="1722"/>
        <v>-2.1203268395396471</v>
      </c>
      <c r="AL269" s="472"/>
      <c r="AM269" s="1839"/>
      <c r="AN269" s="472"/>
      <c r="AO269" s="472"/>
      <c r="AP269" s="472"/>
      <c r="AQ269" s="472"/>
      <c r="AR269" s="472"/>
      <c r="AS269" s="472"/>
      <c r="AT269" s="472"/>
      <c r="AU269" s="472"/>
      <c r="AV269" s="472"/>
      <c r="AW269" s="472"/>
      <c r="AX269" s="472"/>
      <c r="AY269" s="472"/>
      <c r="AZ269" s="472"/>
      <c r="BA269" s="85"/>
      <c r="BB269" s="472"/>
      <c r="BC269" s="2197"/>
      <c r="BD269" s="85"/>
      <c r="BE269" s="472"/>
      <c r="BF269" s="472"/>
      <c r="BG269" s="472"/>
      <c r="BH269" s="472"/>
      <c r="BI269" s="472"/>
      <c r="BJ269" s="2047"/>
      <c r="BK269" s="472">
        <f>+BK267/BK$364</f>
        <v>-3.1013523170157522</v>
      </c>
      <c r="BL269" s="472">
        <f>+BL267/BL$364</f>
        <v>-2.6150230454103465</v>
      </c>
      <c r="BM269" s="472">
        <f>+BM267/BM$364</f>
        <v>-2.6819932721407271</v>
      </c>
      <c r="BN269" s="472">
        <f>+BN267/BN$364</f>
        <v>-1.637992147655897</v>
      </c>
      <c r="BO269" s="1839">
        <f>+BO267/BO$364</f>
        <v>0</v>
      </c>
      <c r="BP269" s="472">
        <f t="shared" ref="BP269:BQ269" si="1723">+BP267/BP$364</f>
        <v>0</v>
      </c>
      <c r="BQ269" s="472">
        <f t="shared" si="1723"/>
        <v>0</v>
      </c>
      <c r="BR269" s="1521">
        <f>+BR267/BR$364</f>
        <v>0</v>
      </c>
      <c r="BS269" s="1521">
        <f>+BS267/BS$364</f>
        <v>0</v>
      </c>
      <c r="BT269" s="1521">
        <f>+BT267/BT$364</f>
        <v>0</v>
      </c>
      <c r="BU269" s="1521">
        <f>+BU267/BU$364</f>
        <v>0</v>
      </c>
    </row>
    <row r="270" spans="1:73" s="326" customFormat="1" ht="15" hidden="1" customHeight="1">
      <c r="B270" s="325"/>
      <c r="C270" s="463"/>
      <c r="D270" s="463"/>
      <c r="E270" s="463"/>
      <c r="F270" s="463"/>
      <c r="G270" s="472"/>
      <c r="H270" s="472"/>
      <c r="I270" s="472"/>
      <c r="J270" s="472"/>
      <c r="K270" s="472"/>
      <c r="L270" s="472"/>
      <c r="M270" s="472"/>
      <c r="N270" s="472"/>
      <c r="O270" s="472"/>
      <c r="P270" s="472"/>
      <c r="Q270" s="472"/>
      <c r="R270" s="472"/>
      <c r="S270" s="1839"/>
      <c r="T270" s="472"/>
      <c r="U270" s="472"/>
      <c r="V270" s="472"/>
      <c r="W270" s="1839"/>
      <c r="X270" s="472"/>
      <c r="Y270" s="472"/>
      <c r="Z270" s="472"/>
      <c r="AA270" s="472"/>
      <c r="AB270" s="472"/>
      <c r="AC270" s="472"/>
      <c r="AD270" s="472"/>
      <c r="AE270" s="472"/>
      <c r="AF270" s="472"/>
      <c r="AG270" s="472"/>
      <c r="AH270" s="472"/>
      <c r="AI270" s="472"/>
      <c r="AJ270" s="472"/>
      <c r="AK270" s="472"/>
      <c r="AL270" s="472"/>
      <c r="AM270" s="1839"/>
      <c r="AN270" s="472"/>
      <c r="AO270" s="472"/>
      <c r="AP270" s="472"/>
      <c r="AQ270" s="472"/>
      <c r="AR270" s="472"/>
      <c r="AS270" s="472"/>
      <c r="AT270" s="472"/>
      <c r="AU270" s="472"/>
      <c r="AV270" s="472"/>
      <c r="AW270" s="472"/>
      <c r="AX270" s="472"/>
      <c r="AY270" s="472"/>
      <c r="AZ270" s="472"/>
      <c r="BA270" s="85"/>
      <c r="BB270" s="472"/>
      <c r="BC270" s="2197"/>
      <c r="BD270" s="85"/>
      <c r="BE270" s="472"/>
      <c r="BF270" s="472"/>
      <c r="BG270" s="472"/>
      <c r="BH270" s="472"/>
      <c r="BI270" s="472"/>
      <c r="BJ270" s="2047"/>
      <c r="BK270" s="472"/>
      <c r="BL270" s="472"/>
      <c r="BM270" s="472"/>
      <c r="BN270" s="472"/>
      <c r="BO270" s="1839"/>
      <c r="BP270" s="472"/>
      <c r="BQ270" s="472"/>
      <c r="BR270" s="1521"/>
      <c r="BS270" s="1521"/>
      <c r="BT270" s="1521"/>
      <c r="BU270" s="1521"/>
    </row>
    <row r="271" spans="1:73" s="484" customFormat="1" ht="15" hidden="1" customHeight="1">
      <c r="A271" s="483"/>
      <c r="B271" s="484" t="s">
        <v>323</v>
      </c>
      <c r="C271" s="485"/>
      <c r="D271" s="485"/>
      <c r="E271" s="485"/>
      <c r="F271" s="485"/>
      <c r="G271" s="485"/>
      <c r="H271" s="485"/>
      <c r="I271" s="485"/>
      <c r="J271" s="485"/>
      <c r="K271" s="485"/>
      <c r="L271" s="485"/>
      <c r="M271" s="485"/>
      <c r="N271" s="485"/>
      <c r="O271" s="485"/>
      <c r="P271" s="485"/>
      <c r="Q271" s="485"/>
      <c r="R271" s="485"/>
      <c r="S271" s="1040"/>
      <c r="T271" s="485"/>
      <c r="U271" s="485"/>
      <c r="V271" s="485"/>
      <c r="W271" s="1040">
        <f t="shared" ref="W271:Z271" si="1724">+W254+W267</f>
        <v>165.88599999999997</v>
      </c>
      <c r="X271" s="485">
        <f t="shared" si="1724"/>
        <v>435.80999999999995</v>
      </c>
      <c r="Y271" s="485">
        <f t="shared" si="1724"/>
        <v>736.35400000000027</v>
      </c>
      <c r="Z271" s="485">
        <f t="shared" si="1724"/>
        <v>696.97099999999864</v>
      </c>
      <c r="AA271" s="485">
        <f>+AA254+AA267</f>
        <v>461.85699999999997</v>
      </c>
      <c r="AB271" s="485">
        <f>+AB254+AB267</f>
        <v>291.20800000000008</v>
      </c>
      <c r="AC271" s="485">
        <f>+AC254+AC267</f>
        <v>437.07700000000023</v>
      </c>
      <c r="AD271" s="485">
        <f>+AD254+AD267</f>
        <v>912.43200000000115</v>
      </c>
      <c r="AE271" s="485">
        <f t="shared" ref="AE271:AI271" si="1725">+AE254+AE267</f>
        <v>342.70199999999932</v>
      </c>
      <c r="AF271" s="485">
        <f t="shared" si="1725"/>
        <v>340.83500000000049</v>
      </c>
      <c r="AG271" s="485">
        <f t="shared" si="1725"/>
        <v>342.21200000000044</v>
      </c>
      <c r="AH271" s="485">
        <f t="shared" si="1725"/>
        <v>558.45799999999963</v>
      </c>
      <c r="AI271" s="485">
        <f t="shared" si="1725"/>
        <v>345.73</v>
      </c>
      <c r="AJ271" s="485">
        <f t="shared" ref="AJ271:AK271" si="1726">+AJ254+AJ267</f>
        <v>399.66899999999941</v>
      </c>
      <c r="AK271" s="485">
        <f t="shared" si="1726"/>
        <v>481.12600000000066</v>
      </c>
      <c r="AL271" s="485"/>
      <c r="AM271" s="1040"/>
      <c r="AN271" s="485"/>
      <c r="AO271" s="485"/>
      <c r="AP271" s="485"/>
      <c r="AQ271" s="485"/>
      <c r="AR271" s="485"/>
      <c r="AS271" s="485"/>
      <c r="AT271" s="485"/>
      <c r="AU271" s="485"/>
      <c r="AV271" s="485"/>
      <c r="AW271" s="485"/>
      <c r="AX271" s="485"/>
      <c r="AY271" s="462"/>
      <c r="AZ271" s="462"/>
      <c r="BA271" s="85"/>
      <c r="BB271" s="485"/>
      <c r="BC271" s="2198"/>
      <c r="BD271" s="85"/>
      <c r="BE271" s="485"/>
      <c r="BF271" s="485"/>
      <c r="BG271" s="485"/>
      <c r="BH271" s="462"/>
      <c r="BI271" s="462"/>
      <c r="BJ271" s="2045"/>
      <c r="BK271" s="485">
        <f>+SUM(W271:Z271)</f>
        <v>2035.0209999999988</v>
      </c>
      <c r="BL271" s="485">
        <f>+SUM(AA271:AD271)</f>
        <v>2102.5740000000014</v>
      </c>
      <c r="BM271" s="485">
        <f>+SUM(AE271:AH271)</f>
        <v>1584.2069999999999</v>
      </c>
      <c r="BN271" s="485">
        <f>+SUM(AI271:AL271)</f>
        <v>1226.5250000000001</v>
      </c>
      <c r="BO271" s="1040">
        <f>+SUM(AM271:AP271)</f>
        <v>0</v>
      </c>
      <c r="BP271" s="485">
        <f>+SUM(AQ271:AT271)</f>
        <v>0</v>
      </c>
      <c r="BQ271" s="485">
        <f>+SUM(AU271:AX271)</f>
        <v>0</v>
      </c>
      <c r="BR271" s="1522" t="e">
        <f t="shared" ref="BR271:BU271" si="1727">+BR254+BR267</f>
        <v>#DIV/0!</v>
      </c>
      <c r="BS271" s="1522" t="e">
        <f t="shared" si="1727"/>
        <v>#DIV/0!</v>
      </c>
      <c r="BT271" s="1522" t="e">
        <f t="shared" si="1727"/>
        <v>#DIV/0!</v>
      </c>
      <c r="BU271" s="1522" t="e">
        <f t="shared" si="1727"/>
        <v>#DIV/0!</v>
      </c>
    </row>
    <row r="272" spans="1:73" s="326" customFormat="1" ht="15" hidden="1" customHeight="1">
      <c r="B272" s="325" t="s">
        <v>316</v>
      </c>
      <c r="C272" s="337"/>
      <c r="D272" s="337"/>
      <c r="E272" s="337"/>
      <c r="F272" s="337"/>
      <c r="G272" s="464"/>
      <c r="H272" s="464"/>
      <c r="I272" s="464"/>
      <c r="J272" s="464"/>
      <c r="K272" s="464"/>
      <c r="L272" s="464"/>
      <c r="M272" s="464"/>
      <c r="N272" s="464"/>
      <c r="O272" s="464"/>
      <c r="P272" s="464"/>
      <c r="Q272" s="464"/>
      <c r="R272" s="464"/>
      <c r="S272" s="1823"/>
      <c r="T272" s="464"/>
      <c r="U272" s="464"/>
      <c r="V272" s="464"/>
      <c r="W272" s="1823" t="e">
        <f t="shared" ref="W272" si="1728">+W271/S271-1</f>
        <v>#DIV/0!</v>
      </c>
      <c r="X272" s="464" t="e">
        <f t="shared" ref="X272" si="1729">+X271/T271-1</f>
        <v>#DIV/0!</v>
      </c>
      <c r="Y272" s="464" t="e">
        <f t="shared" ref="Y272" si="1730">+Y271/U271-1</f>
        <v>#DIV/0!</v>
      </c>
      <c r="Z272" s="464" t="e">
        <f t="shared" ref="Z272" si="1731">+Z271/V271-1</f>
        <v>#DIV/0!</v>
      </c>
      <c r="AA272" s="464">
        <f t="shared" ref="AA272" si="1732">+AA271/W271-1</f>
        <v>1.7841831137045925</v>
      </c>
      <c r="AB272" s="464">
        <f t="shared" ref="AB272" si="1733">+AB271/X271-1</f>
        <v>-0.33180055528785457</v>
      </c>
      <c r="AC272" s="464">
        <f t="shared" ref="AC272" si="1734">+AC271/Y271-1</f>
        <v>-0.40643087428057689</v>
      </c>
      <c r="AD272" s="464">
        <f t="shared" ref="AD272" si="1735">+AD271/Z271-1</f>
        <v>0.30913911769643643</v>
      </c>
      <c r="AE272" s="464">
        <f t="shared" ref="AE272" si="1736">+AE271/AA271-1</f>
        <v>-0.25799110980238615</v>
      </c>
      <c r="AF272" s="464">
        <f t="shared" ref="AF272" si="1737">+AF271/AB271-1</f>
        <v>0.17041770830471825</v>
      </c>
      <c r="AG272" s="464">
        <f t="shared" ref="AG272" si="1738">+AG271/AC271-1</f>
        <v>-0.21704413638786701</v>
      </c>
      <c r="AH272" s="464">
        <f t="shared" ref="AH272" si="1739">+AH271/AD271-1</f>
        <v>-0.38794562224911122</v>
      </c>
      <c r="AI272" s="464">
        <f t="shared" ref="AI272:AK272" si="1740">+AI271/AE271-1</f>
        <v>8.835664804992982E-3</v>
      </c>
      <c r="AJ272" s="464">
        <f t="shared" si="1740"/>
        <v>0.17261724881540585</v>
      </c>
      <c r="AK272" s="464">
        <f t="shared" si="1740"/>
        <v>0.40592965763912447</v>
      </c>
      <c r="AL272" s="464"/>
      <c r="AM272" s="1823"/>
      <c r="AN272" s="464"/>
      <c r="AO272" s="464"/>
      <c r="AP272" s="464"/>
      <c r="AQ272" s="464"/>
      <c r="AR272" s="464"/>
      <c r="AS272" s="464"/>
      <c r="AT272" s="464"/>
      <c r="AU272" s="464"/>
      <c r="AV272" s="464"/>
      <c r="AW272" s="464"/>
      <c r="AX272" s="464"/>
      <c r="AY272" s="464"/>
      <c r="AZ272" s="464"/>
      <c r="BA272" s="85"/>
      <c r="BB272" s="464"/>
      <c r="BC272" s="2197"/>
      <c r="BD272" s="85"/>
      <c r="BE272" s="464"/>
      <c r="BF272" s="464"/>
      <c r="BG272" s="464"/>
      <c r="BH272" s="464"/>
      <c r="BI272" s="464"/>
      <c r="BJ272" s="2028"/>
      <c r="BK272" s="464"/>
      <c r="BL272" s="464">
        <f t="shared" ref="BL272" si="1741">+BL271/BK271-1</f>
        <v>3.3195234840329713E-2</v>
      </c>
      <c r="BM272" s="464">
        <f t="shared" ref="BM272" si="1742">+BM271/BL271-1</f>
        <v>-0.24653924190064236</v>
      </c>
      <c r="BN272" s="464">
        <f t="shared" ref="BN272:BQ272" si="1743">+BN271/BM271-1</f>
        <v>-0.22577983811458968</v>
      </c>
      <c r="BO272" s="1823">
        <f t="shared" si="1743"/>
        <v>-1</v>
      </c>
      <c r="BP272" s="464" t="e">
        <f t="shared" si="1743"/>
        <v>#DIV/0!</v>
      </c>
      <c r="BQ272" s="464" t="e">
        <f t="shared" si="1743"/>
        <v>#DIV/0!</v>
      </c>
      <c r="BR272" s="1514" t="e">
        <f t="shared" ref="BR272" si="1744">+BR271/BQ271-1</f>
        <v>#DIV/0!</v>
      </c>
      <c r="BS272" s="1514" t="e">
        <f t="shared" ref="BS272" si="1745">+BS271/BR271-1</f>
        <v>#DIV/0!</v>
      </c>
      <c r="BT272" s="1514" t="e">
        <f t="shared" ref="BT272" si="1746">+BT271/BS271-1</f>
        <v>#DIV/0!</v>
      </c>
      <c r="BU272" s="1514" t="e">
        <f t="shared" ref="BU272" si="1747">+BU271/BT271-1</f>
        <v>#DIV/0!</v>
      </c>
    </row>
    <row r="273" spans="1:73" s="326" customFormat="1" ht="15" hidden="1" customHeight="1">
      <c r="B273" s="326" t="s">
        <v>324</v>
      </c>
      <c r="C273" s="337"/>
      <c r="D273" s="337"/>
      <c r="E273" s="337"/>
      <c r="F273" s="337"/>
      <c r="G273" s="758"/>
      <c r="H273" s="758"/>
      <c r="I273" s="758"/>
      <c r="J273" s="758"/>
      <c r="K273" s="758"/>
      <c r="L273" s="758"/>
      <c r="M273" s="758"/>
      <c r="N273" s="758"/>
      <c r="O273" s="758"/>
      <c r="P273" s="758"/>
      <c r="Q273" s="758"/>
      <c r="R273" s="758"/>
      <c r="S273" s="1841"/>
      <c r="T273" s="758"/>
      <c r="U273" s="758"/>
      <c r="V273" s="758"/>
      <c r="W273" s="1841">
        <f t="shared" ref="W273:AK273" si="1748">+W271/W$364</f>
        <v>0.23321523970195412</v>
      </c>
      <c r="X273" s="758">
        <f t="shared" si="1748"/>
        <v>0.65700488626749576</v>
      </c>
      <c r="Y273" s="758">
        <f t="shared" si="1748"/>
        <v>0.65810528197336693</v>
      </c>
      <c r="Z273" s="758">
        <f t="shared" si="1748"/>
        <v>0.59281364293612193</v>
      </c>
      <c r="AA273" s="758">
        <f t="shared" si="1748"/>
        <v>0.40481812604084488</v>
      </c>
      <c r="AB273" s="758">
        <f t="shared" si="1748"/>
        <v>0.26168943206326395</v>
      </c>
      <c r="AC273" s="758">
        <f t="shared" si="1748"/>
        <v>0.335017990439336</v>
      </c>
      <c r="AD273" s="758">
        <f t="shared" si="1748"/>
        <v>0.63404863518938315</v>
      </c>
      <c r="AE273" s="758">
        <f t="shared" si="1748"/>
        <v>0.32900180551527392</v>
      </c>
      <c r="AF273" s="758">
        <f t="shared" si="1748"/>
        <v>0.28151281742927259</v>
      </c>
      <c r="AG273" s="758">
        <f t="shared" si="1748"/>
        <v>0.26151974080760887</v>
      </c>
      <c r="AH273" s="758">
        <f t="shared" si="1748"/>
        <v>0.47674722711872003</v>
      </c>
      <c r="AI273" s="758">
        <f t="shared" si="1748"/>
        <v>0.31106724947426839</v>
      </c>
      <c r="AJ273" s="758">
        <f t="shared" si="1748"/>
        <v>0.25392829652322096</v>
      </c>
      <c r="AK273" s="758">
        <f t="shared" si="1748"/>
        <v>0.37749318240196517</v>
      </c>
      <c r="AL273" s="758"/>
      <c r="AM273" s="1841"/>
      <c r="AN273" s="758"/>
      <c r="AO273" s="758"/>
      <c r="AP273" s="758"/>
      <c r="AQ273" s="758"/>
      <c r="AR273" s="758"/>
      <c r="AS273" s="758"/>
      <c r="AT273" s="758"/>
      <c r="AU273" s="758"/>
      <c r="AV273" s="758"/>
      <c r="AW273" s="758"/>
      <c r="AX273" s="758"/>
      <c r="AY273" s="758"/>
      <c r="AZ273" s="758"/>
      <c r="BA273" s="85"/>
      <c r="BB273" s="758"/>
      <c r="BC273" s="2197"/>
      <c r="BD273" s="85"/>
      <c r="BE273" s="758"/>
      <c r="BF273" s="758"/>
      <c r="BG273" s="758"/>
      <c r="BH273" s="758"/>
      <c r="BI273" s="758"/>
      <c r="BJ273" s="2048"/>
      <c r="BK273" s="758">
        <f>+BK271/BK$364</f>
        <v>0.55461824071785737</v>
      </c>
      <c r="BL273" s="758">
        <f>+BL271/BL$364</f>
        <v>0.42073406976780048</v>
      </c>
      <c r="BM273" s="758">
        <f>+BM271/BM$364</f>
        <v>0.33476387821380826</v>
      </c>
      <c r="BN273" s="758">
        <f>+BN271/BN$364</f>
        <v>0.25516341309719665</v>
      </c>
      <c r="BO273" s="1841">
        <f>+BO271/BO$364</f>
        <v>0</v>
      </c>
      <c r="BP273" s="758">
        <f t="shared" ref="BP273:BQ273" si="1749">+BP271/BP$364</f>
        <v>0</v>
      </c>
      <c r="BQ273" s="758">
        <f t="shared" si="1749"/>
        <v>0</v>
      </c>
      <c r="BR273" s="1523" t="e">
        <f>+BR271/BR$364</f>
        <v>#DIV/0!</v>
      </c>
      <c r="BS273" s="1523" t="e">
        <f>+BS271/BS$364</f>
        <v>#DIV/0!</v>
      </c>
      <c r="BT273" s="1523" t="e">
        <f>+BT271/BT$364</f>
        <v>#DIV/0!</v>
      </c>
      <c r="BU273" s="1523" t="e">
        <f>+BU271/BU$364</f>
        <v>#DIV/0!</v>
      </c>
    </row>
    <row r="274" spans="1:73" s="326" customFormat="1" ht="15" hidden="1" customHeight="1">
      <c r="B274" s="325"/>
      <c r="C274" s="337"/>
      <c r="D274" s="337"/>
      <c r="E274" s="337"/>
      <c r="F274" s="337"/>
      <c r="G274" s="337"/>
      <c r="H274" s="337"/>
      <c r="I274" s="337"/>
      <c r="J274" s="337"/>
      <c r="K274" s="337"/>
      <c r="L274" s="337"/>
      <c r="M274" s="337"/>
      <c r="N274" s="337"/>
      <c r="O274" s="337"/>
      <c r="P274" s="337"/>
      <c r="Q274" s="337"/>
      <c r="R274" s="337"/>
      <c r="S274" s="1966"/>
      <c r="T274" s="337"/>
      <c r="U274" s="338"/>
      <c r="V274" s="338"/>
      <c r="W274" s="1818"/>
      <c r="X274" s="338"/>
      <c r="Y274" s="338"/>
      <c r="Z274" s="338"/>
      <c r="AA274" s="338"/>
      <c r="AB274" s="338"/>
      <c r="AC274" s="338"/>
      <c r="AD274" s="338"/>
      <c r="AE274" s="338"/>
      <c r="AF274" s="338"/>
      <c r="AG274" s="338"/>
      <c r="AH274" s="338"/>
      <c r="AI274" s="338"/>
      <c r="AJ274" s="338"/>
      <c r="AK274" s="338"/>
      <c r="AL274" s="338"/>
      <c r="AM274" s="1818"/>
      <c r="AN274" s="338"/>
      <c r="AO274" s="338"/>
      <c r="AP274" s="338"/>
      <c r="AQ274" s="338"/>
      <c r="AR274" s="338"/>
      <c r="AS274" s="338"/>
      <c r="AT274" s="338"/>
      <c r="AU274" s="338"/>
      <c r="AV274" s="338"/>
      <c r="AW274" s="338"/>
      <c r="AX274" s="338"/>
      <c r="AY274" s="338"/>
      <c r="AZ274" s="338"/>
      <c r="BA274" s="85"/>
      <c r="BB274" s="338"/>
      <c r="BC274" s="2197"/>
      <c r="BD274" s="85"/>
      <c r="BE274" s="337"/>
      <c r="BF274" s="337"/>
      <c r="BG274" s="337"/>
      <c r="BH274" s="337"/>
      <c r="BI274" s="337"/>
      <c r="BJ274" s="2022"/>
      <c r="BK274" s="337"/>
      <c r="BL274" s="337"/>
      <c r="BM274" s="337"/>
      <c r="BN274" s="337"/>
      <c r="BO274" s="1966"/>
      <c r="BP274" s="337"/>
      <c r="BQ274" s="337"/>
      <c r="BR274" s="1518"/>
      <c r="BS274" s="1518"/>
      <c r="BT274" s="1518"/>
      <c r="BU274" s="1518"/>
    </row>
    <row r="275" spans="1:73" s="326" customFormat="1" ht="15" hidden="1" customHeight="1">
      <c r="B275" s="326" t="s">
        <v>325</v>
      </c>
      <c r="C275" s="817"/>
      <c r="D275" s="817"/>
      <c r="E275" s="817"/>
      <c r="F275" s="817"/>
      <c r="G275" s="817"/>
      <c r="H275" s="817"/>
      <c r="I275" s="817"/>
      <c r="J275" s="817"/>
      <c r="K275" s="817"/>
      <c r="L275" s="817"/>
      <c r="M275" s="817"/>
      <c r="N275" s="817"/>
      <c r="O275" s="817"/>
      <c r="P275" s="817"/>
      <c r="Q275" s="817"/>
      <c r="R275" s="817"/>
      <c r="S275" s="1036"/>
      <c r="T275" s="817"/>
      <c r="U275" s="817"/>
      <c r="V275" s="817"/>
      <c r="W275" s="1036">
        <v>317.47500000000002</v>
      </c>
      <c r="X275" s="817">
        <f>679.475-W275</f>
        <v>362</v>
      </c>
      <c r="Y275" s="817">
        <f>1049.631-X275-W275</f>
        <v>370.15600000000006</v>
      </c>
      <c r="Z275" s="817">
        <f>1428.697-Y275-X275-W275</f>
        <v>379.06599999999969</v>
      </c>
      <c r="AA275" s="817">
        <v>363.803</v>
      </c>
      <c r="AB275" s="817">
        <f>728.739-AA275</f>
        <v>364.93600000000004</v>
      </c>
      <c r="AC275" s="817">
        <f>1085.595-AB275-AA275</f>
        <v>356.85599999999999</v>
      </c>
      <c r="AD275" s="817">
        <f>1525.732-AC275-AB275-AA275</f>
        <v>440.13699999999994</v>
      </c>
      <c r="AE275" s="817">
        <v>366.45400000000001</v>
      </c>
      <c r="AF275" s="817">
        <f>728.239-AE275</f>
        <v>361.78500000000003</v>
      </c>
      <c r="AG275" s="817">
        <f>1105.293-AF275-AE275</f>
        <v>377.0539999999998</v>
      </c>
      <c r="AH275" s="817">
        <f>1499.959-AG275-AF275-AE275</f>
        <v>394.66600000000011</v>
      </c>
      <c r="AI275" s="817">
        <v>306.33699999999999</v>
      </c>
      <c r="AJ275" s="817">
        <f>637.282-AI275</f>
        <v>330.94500000000005</v>
      </c>
      <c r="AK275" s="817">
        <f>917.414-AJ275-AI275</f>
        <v>280.13199999999995</v>
      </c>
      <c r="AL275" s="677"/>
      <c r="AM275" s="1847"/>
      <c r="AN275" s="677"/>
      <c r="AO275" s="677"/>
      <c r="AP275" s="677"/>
      <c r="AQ275" s="677"/>
      <c r="AR275" s="677"/>
      <c r="AS275" s="677"/>
      <c r="AT275" s="677"/>
      <c r="AU275" s="677"/>
      <c r="AV275" s="677"/>
      <c r="AW275" s="677"/>
      <c r="AX275" s="677"/>
      <c r="AY275" s="677"/>
      <c r="AZ275" s="677"/>
      <c r="BA275" s="982"/>
      <c r="BB275" s="677"/>
      <c r="BC275" s="2202"/>
      <c r="BD275" s="85"/>
      <c r="BE275" s="473"/>
      <c r="BF275" s="473"/>
      <c r="BG275" s="473"/>
      <c r="BH275" s="473"/>
      <c r="BI275" s="473"/>
      <c r="BJ275" s="2049"/>
      <c r="BK275" s="473">
        <f>+SUM(W275:Z275)</f>
        <v>1428.6969999999997</v>
      </c>
      <c r="BL275" s="473">
        <f>+SUM(AA275:AD275)</f>
        <v>1525.732</v>
      </c>
      <c r="BM275" s="473"/>
      <c r="BN275" s="473"/>
      <c r="BO275" s="2469"/>
      <c r="BP275" s="473"/>
      <c r="BQ275" s="473"/>
      <c r="BR275" s="1524"/>
      <c r="BS275" s="1524"/>
      <c r="BT275" s="1524"/>
      <c r="BU275" s="1524"/>
    </row>
    <row r="276" spans="1:73" s="326" customFormat="1" ht="15" hidden="1" customHeight="1">
      <c r="B276" s="325" t="s">
        <v>318</v>
      </c>
      <c r="C276" s="337"/>
      <c r="D276" s="337"/>
      <c r="E276" s="337"/>
      <c r="F276" s="337"/>
      <c r="G276" s="472"/>
      <c r="H276" s="472"/>
      <c r="I276" s="472"/>
      <c r="J276" s="472"/>
      <c r="K276" s="472"/>
      <c r="L276" s="472"/>
      <c r="M276" s="472"/>
      <c r="N276" s="472"/>
      <c r="O276" s="472"/>
      <c r="P276" s="472"/>
      <c r="Q276" s="472"/>
      <c r="R276" s="472"/>
      <c r="S276" s="1839"/>
      <c r="T276" s="472"/>
      <c r="U276" s="472"/>
      <c r="V276" s="472"/>
      <c r="W276" s="1839"/>
      <c r="X276" s="472"/>
      <c r="Y276" s="472"/>
      <c r="Z276" s="472"/>
      <c r="AA276" s="472"/>
      <c r="AB276" s="472"/>
      <c r="AC276" s="472"/>
      <c r="AD276" s="472"/>
      <c r="AE276" s="472"/>
      <c r="AF276" s="472"/>
      <c r="AG276" s="472"/>
      <c r="AH276" s="472"/>
      <c r="AI276" s="472"/>
      <c r="AJ276" s="472"/>
      <c r="AK276" s="472"/>
      <c r="AL276" s="472"/>
      <c r="AM276" s="1839"/>
      <c r="AN276" s="472"/>
      <c r="AO276" s="472"/>
      <c r="AP276" s="472"/>
      <c r="AQ276" s="472"/>
      <c r="AR276" s="472"/>
      <c r="AS276" s="472"/>
      <c r="AT276" s="472"/>
      <c r="AU276" s="472"/>
      <c r="AV276" s="472"/>
      <c r="AW276" s="472"/>
      <c r="AX276" s="472"/>
      <c r="AY276" s="472"/>
      <c r="AZ276" s="472"/>
      <c r="BA276" s="85"/>
      <c r="BB276" s="472"/>
      <c r="BC276" s="2197"/>
      <c r="BD276" s="85"/>
      <c r="BE276" s="472"/>
      <c r="BF276" s="472"/>
      <c r="BG276" s="472"/>
      <c r="BH276" s="472"/>
      <c r="BI276" s="472"/>
      <c r="BJ276" s="2047"/>
      <c r="BK276" s="472">
        <f>+BK275/BK$364</f>
        <v>0.38937259942717101</v>
      </c>
      <c r="BL276" s="472">
        <f>+BL275/BL$364</f>
        <v>0.3053055130211661</v>
      </c>
      <c r="BM276" s="472"/>
      <c r="BN276" s="472"/>
      <c r="BO276" s="1839"/>
      <c r="BP276" s="472"/>
      <c r="BQ276" s="472"/>
      <c r="BR276" s="1521"/>
      <c r="BS276" s="1521"/>
      <c r="BT276" s="1521"/>
      <c r="BU276" s="1521"/>
    </row>
    <row r="277" spans="1:73" s="325" customFormat="1" ht="15" hidden="1" customHeight="1">
      <c r="B277" s="325" t="s">
        <v>326</v>
      </c>
      <c r="C277" s="471"/>
      <c r="D277" s="471"/>
      <c r="E277" s="471"/>
      <c r="F277" s="471"/>
      <c r="G277" s="471"/>
      <c r="H277" s="471"/>
      <c r="I277" s="471"/>
      <c r="J277" s="471"/>
      <c r="K277" s="471"/>
      <c r="L277" s="471"/>
      <c r="M277" s="471"/>
      <c r="N277" s="471"/>
      <c r="O277" s="471"/>
      <c r="P277" s="471"/>
      <c r="Q277" s="471"/>
      <c r="R277" s="471"/>
      <c r="S277" s="1034"/>
      <c r="T277" s="471"/>
      <c r="U277" s="471"/>
      <c r="V277" s="471"/>
      <c r="W277" s="1034"/>
      <c r="X277" s="471"/>
      <c r="Y277" s="471"/>
      <c r="Z277" s="471"/>
      <c r="AA277" s="471"/>
      <c r="AB277" s="471"/>
      <c r="AC277" s="471"/>
      <c r="AD277" s="471"/>
      <c r="AE277" s="471"/>
      <c r="AF277" s="471"/>
      <c r="AG277" s="471"/>
      <c r="AH277" s="471"/>
      <c r="AI277" s="471"/>
      <c r="AJ277" s="471"/>
      <c r="AK277" s="471"/>
      <c r="AL277" s="471"/>
      <c r="AM277" s="1034"/>
      <c r="AN277" s="471"/>
      <c r="AO277" s="471"/>
      <c r="AP277" s="471"/>
      <c r="AQ277" s="471"/>
      <c r="AR277" s="471"/>
      <c r="AS277" s="471"/>
      <c r="AT277" s="471"/>
      <c r="AU277" s="471"/>
      <c r="AV277" s="471"/>
      <c r="AW277" s="471"/>
      <c r="AX277" s="471"/>
      <c r="AY277" s="471"/>
      <c r="AZ277" s="471"/>
      <c r="BA277" s="72"/>
      <c r="BB277" s="471"/>
      <c r="BC277" s="2189"/>
      <c r="BD277" s="72"/>
      <c r="BE277" s="471"/>
      <c r="BF277" s="471"/>
      <c r="BG277" s="471"/>
      <c r="BH277" s="471"/>
      <c r="BI277" s="471"/>
      <c r="BJ277" s="2027"/>
      <c r="BK277" s="471">
        <f t="shared" ref="BK277" si="1750">+BK275/BK$89</f>
        <v>0.52548808297778427</v>
      </c>
      <c r="BL277" s="471">
        <f>+BL275/BL$89</f>
        <v>0.54654391746668574</v>
      </c>
      <c r="BM277" s="471"/>
      <c r="BN277" s="471"/>
      <c r="BO277" s="1034"/>
      <c r="BP277" s="471"/>
      <c r="BQ277" s="471"/>
      <c r="BR277" s="1525"/>
      <c r="BS277" s="1525"/>
      <c r="BT277" s="1525"/>
      <c r="BU277" s="1525"/>
    </row>
    <row r="278" spans="1:73" s="326" customFormat="1" ht="15" hidden="1" customHeight="1">
      <c r="B278" s="325"/>
      <c r="C278" s="337"/>
      <c r="D278" s="337"/>
      <c r="E278" s="337"/>
      <c r="F278" s="337"/>
      <c r="G278" s="337"/>
      <c r="H278" s="337"/>
      <c r="I278" s="337"/>
      <c r="J278" s="337"/>
      <c r="K278" s="337"/>
      <c r="L278" s="337"/>
      <c r="M278" s="337"/>
      <c r="N278" s="337"/>
      <c r="O278" s="337"/>
      <c r="P278" s="337"/>
      <c r="Q278" s="337"/>
      <c r="R278" s="337"/>
      <c r="S278" s="1966"/>
      <c r="T278" s="337"/>
      <c r="U278" s="338"/>
      <c r="V278" s="338"/>
      <c r="W278" s="1818"/>
      <c r="X278" s="338"/>
      <c r="Y278" s="338"/>
      <c r="Z278" s="338"/>
      <c r="AA278" s="338"/>
      <c r="AB278" s="338"/>
      <c r="AC278" s="338"/>
      <c r="AD278" s="338"/>
      <c r="AE278" s="338"/>
      <c r="AF278" s="338"/>
      <c r="AG278" s="338"/>
      <c r="AH278" s="338"/>
      <c r="AI278" s="338"/>
      <c r="AJ278" s="338"/>
      <c r="AK278" s="338"/>
      <c r="AL278" s="338"/>
      <c r="AM278" s="1818"/>
      <c r="AN278" s="338"/>
      <c r="AO278" s="338"/>
      <c r="AP278" s="338"/>
      <c r="AQ278" s="338"/>
      <c r="AR278" s="338"/>
      <c r="AS278" s="338"/>
      <c r="AT278" s="338"/>
      <c r="AU278" s="338"/>
      <c r="AV278" s="338"/>
      <c r="AW278" s="338"/>
      <c r="AX278" s="338"/>
      <c r="AY278" s="338"/>
      <c r="AZ278" s="338"/>
      <c r="BA278" s="85"/>
      <c r="BB278" s="338"/>
      <c r="BC278" s="2197"/>
      <c r="BD278" s="85"/>
      <c r="BE278" s="337"/>
      <c r="BF278" s="337"/>
      <c r="BG278" s="337"/>
      <c r="BH278" s="337"/>
      <c r="BI278" s="337"/>
      <c r="BJ278" s="2022"/>
      <c r="BK278" s="337"/>
      <c r="BL278" s="337"/>
      <c r="BM278" s="337"/>
      <c r="BN278" s="337"/>
      <c r="BO278" s="1966"/>
      <c r="BP278" s="337"/>
      <c r="BQ278" s="337"/>
      <c r="BR278" s="1518"/>
      <c r="BS278" s="1518"/>
      <c r="BT278" s="1518"/>
      <c r="BU278" s="1518"/>
    </row>
    <row r="279" spans="1:73" s="484" customFormat="1" ht="15" hidden="1" customHeight="1">
      <c r="A279" s="483"/>
      <c r="B279" s="484" t="s">
        <v>114</v>
      </c>
      <c r="C279" s="485"/>
      <c r="D279" s="485"/>
      <c r="E279" s="485"/>
      <c r="F279" s="485"/>
      <c r="G279" s="485"/>
      <c r="H279" s="485"/>
      <c r="I279" s="485"/>
      <c r="J279" s="485"/>
      <c r="K279" s="485"/>
      <c r="L279" s="485"/>
      <c r="M279" s="485"/>
      <c r="N279" s="485"/>
      <c r="O279" s="485"/>
      <c r="P279" s="485"/>
      <c r="Q279" s="485"/>
      <c r="R279" s="485"/>
      <c r="S279" s="1040"/>
      <c r="T279" s="485"/>
      <c r="U279" s="485"/>
      <c r="V279" s="485"/>
      <c r="W279" s="1040">
        <f t="shared" ref="W279:Z279" si="1751">+W271+W275</f>
        <v>483.36099999999999</v>
      </c>
      <c r="X279" s="485">
        <f t="shared" si="1751"/>
        <v>797.81</v>
      </c>
      <c r="Y279" s="485">
        <f t="shared" si="1751"/>
        <v>1106.5100000000002</v>
      </c>
      <c r="Z279" s="485">
        <f t="shared" si="1751"/>
        <v>1076.0369999999984</v>
      </c>
      <c r="AA279" s="485">
        <f>+AA271+AA275</f>
        <v>825.66</v>
      </c>
      <c r="AB279" s="485">
        <f>+AB271+AB275</f>
        <v>656.14400000000012</v>
      </c>
      <c r="AC279" s="485">
        <f>+AC271+AC275</f>
        <v>793.93300000000022</v>
      </c>
      <c r="AD279" s="485">
        <f>+AD271+AD275</f>
        <v>1352.5690000000011</v>
      </c>
      <c r="AE279" s="485">
        <f t="shared" ref="AE279:AI279" si="1752">+AE271+AE275</f>
        <v>709.15599999999927</v>
      </c>
      <c r="AF279" s="485">
        <f t="shared" si="1752"/>
        <v>702.62000000000057</v>
      </c>
      <c r="AG279" s="485">
        <f t="shared" si="1752"/>
        <v>719.2660000000003</v>
      </c>
      <c r="AH279" s="485">
        <f t="shared" si="1752"/>
        <v>953.1239999999998</v>
      </c>
      <c r="AI279" s="485">
        <f t="shared" si="1752"/>
        <v>652.06700000000001</v>
      </c>
      <c r="AJ279" s="485">
        <f t="shared" ref="AJ279:AK279" si="1753">+AJ271+AJ275</f>
        <v>730.61399999999946</v>
      </c>
      <c r="AK279" s="485">
        <f t="shared" si="1753"/>
        <v>761.25800000000061</v>
      </c>
      <c r="AL279" s="485"/>
      <c r="AM279" s="1040"/>
      <c r="AN279" s="485"/>
      <c r="AO279" s="485"/>
      <c r="AP279" s="485"/>
      <c r="AQ279" s="485"/>
      <c r="AR279" s="485"/>
      <c r="AS279" s="485"/>
      <c r="AT279" s="485"/>
      <c r="AU279" s="485"/>
      <c r="AV279" s="485"/>
      <c r="AW279" s="485"/>
      <c r="AX279" s="485"/>
      <c r="AY279" s="462"/>
      <c r="AZ279" s="462"/>
      <c r="BA279" s="85"/>
      <c r="BB279" s="485"/>
      <c r="BC279" s="2198"/>
      <c r="BD279" s="85"/>
      <c r="BE279" s="485"/>
      <c r="BF279" s="485"/>
      <c r="BG279" s="485"/>
      <c r="BH279" s="462"/>
      <c r="BI279" s="462"/>
      <c r="BJ279" s="2045"/>
      <c r="BK279" s="485">
        <f>+SUM(W279:Z279)</f>
        <v>3463.7179999999985</v>
      </c>
      <c r="BL279" s="485">
        <f>+SUM(AA279:AD279)</f>
        <v>3628.3060000000014</v>
      </c>
      <c r="BM279" s="485">
        <f>+SUM(AE279:AH279)</f>
        <v>3084.1660000000002</v>
      </c>
      <c r="BN279" s="485">
        <f>+SUM(AI279:AL279)</f>
        <v>2143.9390000000003</v>
      </c>
      <c r="BO279" s="1040">
        <f>+SUM(AM279:AP279)</f>
        <v>0</v>
      </c>
      <c r="BP279" s="485">
        <f>+SUM(AQ279:AT279)</f>
        <v>0</v>
      </c>
      <c r="BQ279" s="485">
        <f>+SUM(AU279:AX279)</f>
        <v>0</v>
      </c>
      <c r="BR279" s="1522" t="e">
        <f t="shared" ref="BR279:BU279" si="1754">+BR271+BR275</f>
        <v>#DIV/0!</v>
      </c>
      <c r="BS279" s="1522" t="e">
        <f t="shared" si="1754"/>
        <v>#DIV/0!</v>
      </c>
      <c r="BT279" s="1522" t="e">
        <f t="shared" si="1754"/>
        <v>#DIV/0!</v>
      </c>
      <c r="BU279" s="1522" t="e">
        <f t="shared" si="1754"/>
        <v>#DIV/0!</v>
      </c>
    </row>
    <row r="280" spans="1:73" s="326" customFormat="1" ht="15" hidden="1" customHeight="1">
      <c r="B280" s="325" t="s">
        <v>316</v>
      </c>
      <c r="C280" s="337"/>
      <c r="D280" s="337"/>
      <c r="E280" s="337"/>
      <c r="F280" s="337"/>
      <c r="G280" s="464"/>
      <c r="H280" s="464"/>
      <c r="I280" s="464"/>
      <c r="J280" s="464"/>
      <c r="K280" s="464"/>
      <c r="L280" s="464"/>
      <c r="M280" s="464"/>
      <c r="N280" s="464"/>
      <c r="O280" s="464"/>
      <c r="P280" s="464"/>
      <c r="Q280" s="464"/>
      <c r="R280" s="464"/>
      <c r="S280" s="1823"/>
      <c r="T280" s="464"/>
      <c r="U280" s="464"/>
      <c r="V280" s="464"/>
      <c r="W280" s="1823" t="e">
        <f t="shared" ref="W280" si="1755">+W279/S279-1</f>
        <v>#DIV/0!</v>
      </c>
      <c r="X280" s="464" t="e">
        <f t="shared" ref="X280" si="1756">+X279/T279-1</f>
        <v>#DIV/0!</v>
      </c>
      <c r="Y280" s="464" t="e">
        <f t="shared" ref="Y280" si="1757">+Y279/U279-1</f>
        <v>#DIV/0!</v>
      </c>
      <c r="Z280" s="464" t="e">
        <f t="shared" ref="Z280" si="1758">+Z279/V279-1</f>
        <v>#DIV/0!</v>
      </c>
      <c r="AA280" s="464">
        <f t="shared" ref="AA280" si="1759">+AA279/W279-1</f>
        <v>0.70816429128539538</v>
      </c>
      <c r="AB280" s="464">
        <f t="shared" ref="AB280" si="1760">+AB279/X279-1</f>
        <v>-0.17756859402614633</v>
      </c>
      <c r="AC280" s="464">
        <f t="shared" ref="AC280" si="1761">+AC279/Y279-1</f>
        <v>-0.28248908731055289</v>
      </c>
      <c r="AD280" s="464">
        <f t="shared" ref="AD280" si="1762">+AD279/Z279-1</f>
        <v>0.25699116294328461</v>
      </c>
      <c r="AE280" s="464">
        <f t="shared" ref="AE280" si="1763">+AE279/AA279-1</f>
        <v>-0.14110408642782823</v>
      </c>
      <c r="AF280" s="464">
        <f t="shared" ref="AF280" si="1764">+AF279/AB279-1</f>
        <v>7.0832012485064988E-2</v>
      </c>
      <c r="AG280" s="464">
        <f t="shared" ref="AG280" si="1765">+AG279/AC279-1</f>
        <v>-9.4046978775287005E-2</v>
      </c>
      <c r="AH280" s="464">
        <f t="shared" ref="AH280" si="1766">+AH279/AD279-1</f>
        <v>-0.29532319608094004</v>
      </c>
      <c r="AI280" s="464">
        <f t="shared" ref="AI280:AK280" si="1767">+AI279/AE279-1</f>
        <v>-8.0502738466570523E-2</v>
      </c>
      <c r="AJ280" s="464">
        <f t="shared" si="1767"/>
        <v>3.9842304517376137E-2</v>
      </c>
      <c r="AK280" s="464">
        <f t="shared" si="1767"/>
        <v>5.8381739161868174E-2</v>
      </c>
      <c r="AL280" s="464"/>
      <c r="AM280" s="1823"/>
      <c r="AN280" s="464"/>
      <c r="AO280" s="464"/>
      <c r="AP280" s="464"/>
      <c r="AQ280" s="464"/>
      <c r="AR280" s="464"/>
      <c r="AS280" s="464"/>
      <c r="AT280" s="464"/>
      <c r="AU280" s="464"/>
      <c r="AV280" s="464"/>
      <c r="AW280" s="464"/>
      <c r="AX280" s="464"/>
      <c r="AY280" s="464"/>
      <c r="AZ280" s="464"/>
      <c r="BA280" s="85"/>
      <c r="BB280" s="464"/>
      <c r="BC280" s="2197"/>
      <c r="BD280" s="85"/>
      <c r="BE280" s="464"/>
      <c r="BF280" s="464"/>
      <c r="BG280" s="464"/>
      <c r="BH280" s="464"/>
      <c r="BI280" s="464"/>
      <c r="BJ280" s="2028"/>
      <c r="BK280" s="464"/>
      <c r="BL280" s="464">
        <f t="shared" ref="BL280" si="1768">+BL279/BK279-1</f>
        <v>4.7517725172777636E-2</v>
      </c>
      <c r="BM280" s="464">
        <f t="shared" ref="BM280" si="1769">+BM279/BL279-1</f>
        <v>-0.14997081282559988</v>
      </c>
      <c r="BN280" s="464">
        <f t="shared" ref="BN280:BQ280" si="1770">+BN279/BM279-1</f>
        <v>-0.30485615884488704</v>
      </c>
      <c r="BO280" s="1823">
        <f t="shared" si="1770"/>
        <v>-1</v>
      </c>
      <c r="BP280" s="464" t="e">
        <f t="shared" si="1770"/>
        <v>#DIV/0!</v>
      </c>
      <c r="BQ280" s="464" t="e">
        <f t="shared" si="1770"/>
        <v>#DIV/0!</v>
      </c>
      <c r="BR280" s="1514" t="e">
        <f t="shared" ref="BR280" si="1771">+BR279/BQ279-1</f>
        <v>#DIV/0!</v>
      </c>
      <c r="BS280" s="1514" t="e">
        <f t="shared" ref="BS280" si="1772">+BS279/BR279-1</f>
        <v>#DIV/0!</v>
      </c>
      <c r="BT280" s="1514" t="e">
        <f t="shared" ref="BT280" si="1773">+BT279/BS279-1</f>
        <v>#DIV/0!</v>
      </c>
      <c r="BU280" s="1514" t="e">
        <f t="shared" ref="BU280" si="1774">+BU279/BT279-1</f>
        <v>#DIV/0!</v>
      </c>
    </row>
    <row r="281" spans="1:73" s="468" customFormat="1" ht="15" hidden="1" customHeight="1">
      <c r="B281" s="468" t="s">
        <v>30</v>
      </c>
      <c r="C281" s="469"/>
      <c r="D281" s="469"/>
      <c r="E281" s="469"/>
      <c r="F281" s="469"/>
      <c r="G281" s="469"/>
      <c r="H281" s="469"/>
      <c r="I281" s="469"/>
      <c r="J281" s="469"/>
      <c r="K281" s="469"/>
      <c r="L281" s="469"/>
      <c r="M281" s="469"/>
      <c r="N281" s="469"/>
      <c r="O281" s="469"/>
      <c r="P281" s="469"/>
      <c r="Q281" s="469"/>
      <c r="R281" s="469"/>
      <c r="S281" s="1837"/>
      <c r="T281" s="469"/>
      <c r="U281" s="469"/>
      <c r="V281" s="469"/>
      <c r="W281" s="1837">
        <f t="shared" ref="W281:AI281" si="1775">+W279/W248</f>
        <v>0.14774023862248772</v>
      </c>
      <c r="X281" s="469">
        <f t="shared" si="1775"/>
        <v>0.2143049587418431</v>
      </c>
      <c r="Y281" s="469">
        <f t="shared" si="1775"/>
        <v>0.21860899945748319</v>
      </c>
      <c r="Z281" s="469">
        <f t="shared" si="1775"/>
        <v>0.17108931652327275</v>
      </c>
      <c r="AA281" s="469">
        <f t="shared" si="1775"/>
        <v>0.1817853565098691</v>
      </c>
      <c r="AB281" s="469">
        <f t="shared" si="1775"/>
        <v>0.13835645410346667</v>
      </c>
      <c r="AC281" s="469">
        <f t="shared" si="1775"/>
        <v>0.15868034763922081</v>
      </c>
      <c r="AD281" s="469">
        <f t="shared" si="1775"/>
        <v>0.20977783140647438</v>
      </c>
      <c r="AE281" s="469">
        <f t="shared" si="1775"/>
        <v>0.16571009029563732</v>
      </c>
      <c r="AF281" s="469">
        <f t="shared" si="1775"/>
        <v>0.14575134275773782</v>
      </c>
      <c r="AG281" s="469">
        <f t="shared" si="1775"/>
        <v>0.14447217659339678</v>
      </c>
      <c r="AH281" s="469">
        <f t="shared" si="1775"/>
        <v>0.15552513990546346</v>
      </c>
      <c r="AI281" s="469">
        <f t="shared" si="1775"/>
        <v>0.16684509410682824</v>
      </c>
      <c r="AJ281" s="469">
        <f>+AJ279/AJ248</f>
        <v>0.16008075312322378</v>
      </c>
      <c r="AK281" s="469">
        <f>+AK279/AK248</f>
        <v>0.16464694658552328</v>
      </c>
      <c r="AL281" s="338"/>
      <c r="AM281" s="1818"/>
      <c r="AN281" s="338"/>
      <c r="AO281" s="338"/>
      <c r="AP281" s="338"/>
      <c r="AQ281" s="338"/>
      <c r="AR281" s="338"/>
      <c r="AS281" s="338"/>
      <c r="AT281" s="338"/>
      <c r="AU281" s="338"/>
      <c r="AV281" s="338"/>
      <c r="AW281" s="338"/>
      <c r="AX281" s="338"/>
      <c r="AY281" s="338"/>
      <c r="AZ281" s="338"/>
      <c r="BA281" s="2257"/>
      <c r="BB281" s="338"/>
      <c r="BC281" s="2200"/>
      <c r="BD281" s="2257"/>
      <c r="BE281" s="469"/>
      <c r="BF281" s="469"/>
      <c r="BG281" s="469"/>
      <c r="BH281" s="469"/>
      <c r="BI281" s="469"/>
      <c r="BJ281" s="2046"/>
      <c r="BK281" s="469">
        <f>+BK279/BK$364</f>
        <v>0.94399084014502843</v>
      </c>
      <c r="BL281" s="469">
        <f>+BL279/BL$364</f>
        <v>0.72603958278896663</v>
      </c>
      <c r="BM281" s="469">
        <f>+BM279/BM$364</f>
        <v>0.65172504048723956</v>
      </c>
      <c r="BN281" s="469">
        <f>+BN279/BN$364</f>
        <v>0.44602009148789523</v>
      </c>
      <c r="BO281" s="1837">
        <f>+BO279/BO$364</f>
        <v>0</v>
      </c>
      <c r="BP281" s="469">
        <f t="shared" ref="BP281:BQ281" si="1776">+BP279/BP$364</f>
        <v>0</v>
      </c>
      <c r="BQ281" s="469">
        <f t="shared" si="1776"/>
        <v>0</v>
      </c>
      <c r="BR281" s="1526" t="e">
        <f>+BR279/BR$364</f>
        <v>#DIV/0!</v>
      </c>
      <c r="BS281" s="1526" t="e">
        <f>+BS279/BS$364</f>
        <v>#DIV/0!</v>
      </c>
      <c r="BT281" s="1526" t="e">
        <f>+BT279/BT$364</f>
        <v>#DIV/0!</v>
      </c>
      <c r="BU281" s="1526" t="e">
        <f>+BU279/BU$364</f>
        <v>#DIV/0!</v>
      </c>
    </row>
    <row r="282" spans="1:73" s="1511" customFormat="1" ht="15" hidden="1" customHeight="1">
      <c r="B282" s="1026" t="s">
        <v>331</v>
      </c>
      <c r="C282" s="643"/>
      <c r="D282" s="643"/>
      <c r="E282" s="643"/>
      <c r="F282" s="643"/>
      <c r="G282" s="643"/>
      <c r="H282" s="643"/>
      <c r="I282" s="643"/>
      <c r="J282" s="643"/>
      <c r="K282" s="643"/>
      <c r="L282" s="643"/>
      <c r="M282" s="643"/>
      <c r="N282" s="643"/>
      <c r="O282" s="1512"/>
      <c r="P282" s="1512"/>
      <c r="Q282" s="1512"/>
      <c r="R282" s="1512"/>
      <c r="S282" s="1041"/>
      <c r="T282" s="1512"/>
      <c r="U282" s="1512"/>
      <c r="V282" s="1512"/>
      <c r="W282" s="1842">
        <f t="shared" ref="W282" si="1777">+W281-S281</f>
        <v>0.14774023862248772</v>
      </c>
      <c r="X282" s="1313">
        <f t="shared" ref="X282" si="1778">+X281-T281</f>
        <v>0.2143049587418431</v>
      </c>
      <c r="Y282" s="1313">
        <f t="shared" ref="Y282" si="1779">+Y281-U281</f>
        <v>0.21860899945748319</v>
      </c>
      <c r="Z282" s="1313">
        <f t="shared" ref="Z282" si="1780">+Z281-V281</f>
        <v>0.17108931652327275</v>
      </c>
      <c r="AA282" s="1313">
        <f t="shared" ref="AA282" si="1781">+AA281-W281</f>
        <v>3.4045117887381376E-2</v>
      </c>
      <c r="AB282" s="1313">
        <f t="shared" ref="AB282" si="1782">+AB281-X281</f>
        <v>-7.5948504638376435E-2</v>
      </c>
      <c r="AC282" s="1313">
        <f t="shared" ref="AC282" si="1783">+AC281-Y281</f>
        <v>-5.9928651818262374E-2</v>
      </c>
      <c r="AD282" s="1313">
        <f t="shared" ref="AD282" si="1784">+AD281-Z281</f>
        <v>3.868851488320163E-2</v>
      </c>
      <c r="AE282" s="1313">
        <f t="shared" ref="AE282" si="1785">+AE281-AA281</f>
        <v>-1.6075266214231776E-2</v>
      </c>
      <c r="AF282" s="1313">
        <f t="shared" ref="AF282" si="1786">+AF281-AB281</f>
        <v>7.3948886542711534E-3</v>
      </c>
      <c r="AG282" s="1313">
        <f t="shared" ref="AG282" si="1787">+AG281-AC281</f>
        <v>-1.4208171045824031E-2</v>
      </c>
      <c r="AH282" s="1313">
        <f t="shared" ref="AH282" si="1788">+AH281-AD281</f>
        <v>-5.4252691501010919E-2</v>
      </c>
      <c r="AI282" s="1313">
        <f t="shared" ref="AI282:AK282" si="1789">+AI281-AE281</f>
        <v>1.1350038111909155E-3</v>
      </c>
      <c r="AJ282" s="1313">
        <f t="shared" si="1789"/>
        <v>1.4329410365485962E-2</v>
      </c>
      <c r="AK282" s="1313">
        <f t="shared" si="1789"/>
        <v>2.0174769992126501E-2</v>
      </c>
      <c r="AL282" s="1512"/>
      <c r="AM282" s="1041"/>
      <c r="AN282" s="1512"/>
      <c r="AO282" s="1512"/>
      <c r="AP282" s="1512"/>
      <c r="AQ282" s="1512"/>
      <c r="AR282" s="1512"/>
      <c r="AS282" s="1512"/>
      <c r="AT282" s="1512"/>
      <c r="AU282" s="1512"/>
      <c r="AV282" s="1512"/>
      <c r="AW282" s="1512"/>
      <c r="AX282" s="1512"/>
      <c r="AY282" s="1512"/>
      <c r="AZ282" s="1512"/>
      <c r="BA282" s="1777"/>
      <c r="BB282" s="1512"/>
      <c r="BC282" s="2203"/>
      <c r="BD282" s="1777"/>
      <c r="BE282" s="643"/>
      <c r="BF282" s="643"/>
      <c r="BG282" s="643"/>
      <c r="BH282" s="643"/>
      <c r="BI282" s="643"/>
      <c r="BJ282" s="2037"/>
      <c r="BK282" s="643"/>
      <c r="BL282" s="643"/>
      <c r="BM282" s="643"/>
      <c r="BN282" s="643"/>
      <c r="BO282" s="1041"/>
      <c r="BP282" s="643"/>
      <c r="BQ282" s="643"/>
      <c r="BR282" s="1512"/>
      <c r="BS282" s="1512"/>
      <c r="BT282" s="1512"/>
      <c r="BU282" s="1512"/>
    </row>
    <row r="283" spans="1:73" s="326" customFormat="1" ht="15" hidden="1" customHeight="1">
      <c r="B283" s="325"/>
      <c r="C283" s="337"/>
      <c r="D283" s="337"/>
      <c r="E283" s="337"/>
      <c r="F283" s="337"/>
      <c r="G283" s="337"/>
      <c r="H283" s="337"/>
      <c r="I283" s="337"/>
      <c r="J283" s="337"/>
      <c r="K283" s="337"/>
      <c r="L283" s="337"/>
      <c r="M283" s="337"/>
      <c r="N283" s="337"/>
      <c r="O283" s="338"/>
      <c r="P283" s="338"/>
      <c r="Q283" s="338"/>
      <c r="R283" s="338"/>
      <c r="S283" s="1818"/>
      <c r="T283" s="338"/>
      <c r="U283" s="338"/>
      <c r="V283" s="338"/>
      <c r="W283" s="1818"/>
      <c r="X283" s="338"/>
      <c r="Y283" s="338"/>
      <c r="Z283" s="338"/>
      <c r="AA283" s="338"/>
      <c r="AB283" s="338"/>
      <c r="AC283" s="338"/>
      <c r="AD283" s="338"/>
      <c r="AE283" s="338"/>
      <c r="AF283" s="338"/>
      <c r="AG283" s="338"/>
      <c r="AH283" s="338"/>
      <c r="AI283" s="338"/>
      <c r="AJ283" s="338"/>
      <c r="AK283" s="338"/>
      <c r="AL283" s="338"/>
      <c r="AM283" s="1818"/>
      <c r="AN283" s="338"/>
      <c r="AO283" s="338"/>
      <c r="AP283" s="338"/>
      <c r="AQ283" s="338"/>
      <c r="AR283" s="338"/>
      <c r="AS283" s="338"/>
      <c r="AT283" s="338"/>
      <c r="AU283" s="338"/>
      <c r="AV283" s="338"/>
      <c r="AW283" s="338"/>
      <c r="AX283" s="338"/>
      <c r="AY283" s="338"/>
      <c r="AZ283" s="338"/>
      <c r="BA283" s="85"/>
      <c r="BB283" s="338"/>
      <c r="BC283" s="2197"/>
      <c r="BD283" s="85"/>
      <c r="BE283" s="337"/>
      <c r="BF283" s="337"/>
      <c r="BG283" s="337"/>
      <c r="BH283" s="337"/>
      <c r="BI283" s="337"/>
      <c r="BJ283" s="2022"/>
      <c r="BK283" s="337"/>
      <c r="BL283" s="337"/>
      <c r="BM283" s="337"/>
      <c r="BN283" s="337"/>
      <c r="BO283" s="1966"/>
      <c r="BP283" s="337"/>
      <c r="BQ283" s="337"/>
      <c r="BR283" s="338"/>
      <c r="BS283" s="338"/>
      <c r="BT283" s="338"/>
      <c r="BU283" s="338"/>
    </row>
    <row r="284" spans="1:73" s="1505" customFormat="1" ht="27" hidden="1" customHeight="1">
      <c r="B284" s="1505" t="s">
        <v>332</v>
      </c>
      <c r="C284" s="1506"/>
      <c r="D284" s="1506"/>
      <c r="E284" s="1506"/>
      <c r="F284" s="1506"/>
      <c r="G284" s="1506"/>
      <c r="H284" s="1506"/>
      <c r="I284" s="1506"/>
      <c r="J284" s="1506"/>
      <c r="K284" s="1506"/>
      <c r="L284" s="1506"/>
      <c r="M284" s="1506"/>
      <c r="N284" s="1506"/>
      <c r="O284" s="1506"/>
      <c r="P284" s="1506"/>
      <c r="Q284" s="1506"/>
      <c r="R284" s="1506"/>
      <c r="S284" s="1963"/>
      <c r="T284" s="1506"/>
      <c r="U284" s="1507"/>
      <c r="V284" s="1507"/>
      <c r="W284" s="1833"/>
      <c r="X284" s="1507"/>
      <c r="Y284" s="1507"/>
      <c r="Z284" s="1507"/>
      <c r="AA284" s="1507"/>
      <c r="AB284" s="1507"/>
      <c r="AC284" s="1507"/>
      <c r="AD284" s="1507"/>
      <c r="AE284" s="1507"/>
      <c r="AF284" s="1507"/>
      <c r="AG284" s="1507"/>
      <c r="AH284" s="1507"/>
      <c r="AI284" s="1507"/>
      <c r="AJ284" s="1507"/>
      <c r="AK284" s="1507"/>
      <c r="AL284" s="1507"/>
      <c r="AM284" s="1833"/>
      <c r="AN284" s="1507"/>
      <c r="AO284" s="1507"/>
      <c r="AP284" s="1507"/>
      <c r="AQ284" s="1507"/>
      <c r="AR284" s="1507"/>
      <c r="AS284" s="1507"/>
      <c r="AT284" s="1507"/>
      <c r="AU284" s="1507"/>
      <c r="AV284" s="1507"/>
      <c r="AW284" s="1507"/>
      <c r="AX284" s="1507"/>
      <c r="AY284" s="1507"/>
      <c r="AZ284" s="1507"/>
      <c r="BA284" s="2258"/>
      <c r="BB284" s="1507"/>
      <c r="BC284" s="2201"/>
      <c r="BD284" s="2258"/>
      <c r="BE284" s="1506"/>
      <c r="BF284" s="1507"/>
      <c r="BG284" s="1507"/>
      <c r="BH284" s="1507"/>
      <c r="BI284" s="1507"/>
      <c r="BJ284" s="2041"/>
      <c r="BK284" s="1507"/>
      <c r="BL284" s="1507"/>
      <c r="BM284" s="1507"/>
      <c r="BN284" s="1507"/>
      <c r="BO284" s="1833"/>
      <c r="BP284" s="1507"/>
      <c r="BQ284" s="1507"/>
      <c r="BR284" s="1507"/>
      <c r="BS284" s="1507"/>
      <c r="BT284" s="1507"/>
      <c r="BU284" s="1507"/>
    </row>
    <row r="285" spans="1:73" s="484" customFormat="1" ht="15" hidden="1" customHeight="1">
      <c r="A285" s="483"/>
      <c r="B285" s="484" t="s">
        <v>333</v>
      </c>
      <c r="C285" s="819">
        <v>1242.9000000000001</v>
      </c>
      <c r="D285" s="819">
        <v>1408.9</v>
      </c>
      <c r="E285" s="819">
        <v>1362.1</v>
      </c>
      <c r="F285" s="819">
        <v>1579.8</v>
      </c>
      <c r="G285" s="819">
        <v>1121.7</v>
      </c>
      <c r="H285" s="819">
        <v>1376.2</v>
      </c>
      <c r="I285" s="819">
        <v>1265.5</v>
      </c>
      <c r="J285" s="819">
        <v>1571.7</v>
      </c>
      <c r="K285" s="819">
        <v>1158.9574823999592</v>
      </c>
      <c r="L285" s="819">
        <v>1344.7744843457233</v>
      </c>
      <c r="M285" s="819">
        <v>1397.5706214624718</v>
      </c>
      <c r="N285" s="819">
        <v>1673.5683171033495</v>
      </c>
      <c r="O285" s="819">
        <v>1168.3766536527069</v>
      </c>
      <c r="P285" s="819">
        <v>1434.6911131110121</v>
      </c>
      <c r="Q285" s="819">
        <v>1529</v>
      </c>
      <c r="R285" s="819">
        <v>1890.1</v>
      </c>
      <c r="S285" s="1843">
        <v>1188.5999999999999</v>
      </c>
      <c r="T285" s="819">
        <v>1561.6</v>
      </c>
      <c r="U285" s="819">
        <v>1564.7</v>
      </c>
      <c r="V285" s="819">
        <v>1946</v>
      </c>
      <c r="W285" s="1843">
        <v>1305.3</v>
      </c>
      <c r="X285" s="819">
        <v>1684.9663999999998</v>
      </c>
      <c r="Y285" s="819">
        <v>2042.6</v>
      </c>
      <c r="Z285" s="819">
        <v>2262</v>
      </c>
      <c r="AA285" s="819">
        <v>1469.7</v>
      </c>
      <c r="AB285" s="819">
        <v>1820.9</v>
      </c>
      <c r="AC285" s="819">
        <f t="shared" ref="AC285:AP285" si="1790">+Y285*(1+AC286)</f>
        <v>1705.5709999999999</v>
      </c>
      <c r="AD285" s="819">
        <f t="shared" si="1790"/>
        <v>2117.232</v>
      </c>
      <c r="AE285" s="819">
        <f t="shared" si="1790"/>
        <v>1515.2606999999998</v>
      </c>
      <c r="AF285" s="819">
        <f t="shared" si="1790"/>
        <v>2081.2887000000001</v>
      </c>
      <c r="AG285" s="819">
        <f t="shared" si="1790"/>
        <v>2034.7462029999999</v>
      </c>
      <c r="AH285" s="819">
        <f t="shared" si="1790"/>
        <v>2496.2165279999999</v>
      </c>
      <c r="AI285" s="819">
        <f t="shared" si="1790"/>
        <v>1892.5606143</v>
      </c>
      <c r="AJ285" s="819">
        <f t="shared" si="1790"/>
        <v>2387.2381389000002</v>
      </c>
      <c r="AK285" s="819">
        <f t="shared" si="1790"/>
        <v>2248.3945543149998</v>
      </c>
      <c r="AL285" s="819">
        <f t="shared" si="1790"/>
        <v>2710.8911494080003</v>
      </c>
      <c r="AM285" s="1843">
        <f t="shared" si="1790"/>
        <v>2006.1142511580001</v>
      </c>
      <c r="AN285" s="819">
        <f t="shared" si="1790"/>
        <v>2530.4724272340004</v>
      </c>
      <c r="AO285" s="948">
        <f t="shared" si="1790"/>
        <v>2383.2982275739</v>
      </c>
      <c r="AP285" s="948">
        <f t="shared" si="1790"/>
        <v>2873.5446183724803</v>
      </c>
      <c r="AQ285" s="819">
        <f t="shared" ref="AQ285" si="1791">+AM285*(1+AQ286)</f>
        <v>2126.4811062274803</v>
      </c>
      <c r="AR285" s="948">
        <f t="shared" ref="AR285" si="1792">+AN285*(1+AR286)</f>
        <v>2682.3007728680404</v>
      </c>
      <c r="AS285" s="948">
        <f t="shared" ref="AS285" si="1793">+AO285*(1+AS286)</f>
        <v>2526.296121228334</v>
      </c>
      <c r="AT285" s="948">
        <f t="shared" ref="AT285" si="1794">+AP285*(1+AT286)</f>
        <v>3045.9572954748292</v>
      </c>
      <c r="AU285" s="948">
        <f t="shared" ref="AU285" si="1795">+AQ285*(1+AU286)</f>
        <v>2254.0699726011294</v>
      </c>
      <c r="AV285" s="948">
        <f t="shared" ref="AV285" si="1796">+AR285*(1+AV286)</f>
        <v>2843.2388192401231</v>
      </c>
      <c r="AW285" s="948">
        <f t="shared" ref="AW285" si="1797">+AS285*(1+AW286)</f>
        <v>2677.8738885020343</v>
      </c>
      <c r="AX285" s="948">
        <f t="shared" ref="AX285" si="1798">+AT285*(1+AX286)</f>
        <v>3228.7147332033192</v>
      </c>
      <c r="AY285" s="470"/>
      <c r="AZ285" s="470"/>
      <c r="BA285" s="85"/>
      <c r="BB285" s="948">
        <v>3045.9572954748292</v>
      </c>
      <c r="BC285" s="2198">
        <f>+AT285/BB285-1</f>
        <v>0</v>
      </c>
      <c r="BD285" s="85"/>
      <c r="BE285" s="949">
        <f>+SUM(C285:F285)</f>
        <v>5593.7</v>
      </c>
      <c r="BF285" s="949">
        <f>+SUM(G285:J285)</f>
        <v>5335.1</v>
      </c>
      <c r="BG285" s="949">
        <f>+SUM(K285:N285)</f>
        <v>5574.8709053115035</v>
      </c>
      <c r="BH285" s="474">
        <f>+SUM(O285:R285)</f>
        <v>6022.1677667637196</v>
      </c>
      <c r="BI285" s="474"/>
      <c r="BJ285" s="2031">
        <f>+SUM(S285:V285)</f>
        <v>6260.9</v>
      </c>
      <c r="BK285" s="949">
        <f>+SUM(W285:Z285)</f>
        <v>7294.866399999999</v>
      </c>
      <c r="BL285" s="949">
        <f>+SUM(AA285:AD285)</f>
        <v>7113.4030000000002</v>
      </c>
      <c r="BM285" s="949">
        <f>+SUM(AE285:AH285)</f>
        <v>8127.5121309999995</v>
      </c>
      <c r="BN285" s="949">
        <f>+SUM(AI285:AL285)</f>
        <v>9239.0844569230012</v>
      </c>
      <c r="BO285" s="2460">
        <f>+SUM(AM285:AP285)</f>
        <v>9793.4295243383804</v>
      </c>
      <c r="BP285" s="949">
        <f>+SUM(AQ285:AT285)</f>
        <v>10381.035295798683</v>
      </c>
      <c r="BQ285" s="949">
        <f>+SUM(AU285:AX285)</f>
        <v>11003.897413546605</v>
      </c>
      <c r="BR285" s="948">
        <f t="shared" ref="BR285:BU285" si="1799">+BQ285*(1+BR286)</f>
        <v>11664.131258359403</v>
      </c>
      <c r="BS285" s="948">
        <f t="shared" si="1799"/>
        <v>12363.979133860967</v>
      </c>
      <c r="BT285" s="948">
        <f t="shared" si="1799"/>
        <v>13105.817881892624</v>
      </c>
      <c r="BU285" s="948">
        <f t="shared" si="1799"/>
        <v>13892.166954806182</v>
      </c>
    </row>
    <row r="286" spans="1:73" s="325" customFormat="1" ht="15" hidden="1" customHeight="1">
      <c r="C286" s="471"/>
      <c r="D286" s="337"/>
      <c r="E286" s="337"/>
      <c r="F286" s="337"/>
      <c r="G286" s="471">
        <f t="shared" ref="G286:AB286" si="1800">+G285/C285-1</f>
        <v>-9.7513878831764433E-2</v>
      </c>
      <c r="H286" s="471">
        <f t="shared" si="1800"/>
        <v>-2.3209596138831778E-2</v>
      </c>
      <c r="I286" s="471">
        <f t="shared" si="1800"/>
        <v>-7.0919903090815639E-2</v>
      </c>
      <c r="J286" s="471">
        <f t="shared" si="1800"/>
        <v>-5.1272312951006205E-3</v>
      </c>
      <c r="K286" s="471">
        <f t="shared" si="1800"/>
        <v>3.3215193367174045E-2</v>
      </c>
      <c r="L286" s="471">
        <f t="shared" si="1800"/>
        <v>-2.283499175575987E-2</v>
      </c>
      <c r="M286" s="471">
        <f t="shared" si="1800"/>
        <v>0.10436240336821156</v>
      </c>
      <c r="N286" s="471">
        <f t="shared" si="1800"/>
        <v>6.481409753982903E-2</v>
      </c>
      <c r="O286" s="471">
        <f t="shared" si="1800"/>
        <v>8.1272793832285473E-3</v>
      </c>
      <c r="P286" s="471">
        <f t="shared" si="1800"/>
        <v>6.6863723108961493E-2</v>
      </c>
      <c r="Q286" s="471">
        <f t="shared" si="1800"/>
        <v>9.4041314634959461E-2</v>
      </c>
      <c r="R286" s="471">
        <f t="shared" si="1800"/>
        <v>0.12938323502169813</v>
      </c>
      <c r="S286" s="1034">
        <f t="shared" si="1800"/>
        <v>1.7308927120435635E-2</v>
      </c>
      <c r="T286" s="471">
        <f t="shared" si="1800"/>
        <v>8.8457289328151001E-2</v>
      </c>
      <c r="U286" s="471">
        <f t="shared" si="1800"/>
        <v>2.3348593852190902E-2</v>
      </c>
      <c r="V286" s="471">
        <f t="shared" si="1800"/>
        <v>2.9575154753716859E-2</v>
      </c>
      <c r="W286" s="1034">
        <f t="shared" si="1800"/>
        <v>9.8182735991923398E-2</v>
      </c>
      <c r="X286" s="471">
        <f t="shared" si="1800"/>
        <v>7.8999999999999959E-2</v>
      </c>
      <c r="Y286" s="471">
        <f t="shared" si="1800"/>
        <v>0.30542596024797075</v>
      </c>
      <c r="Z286" s="471">
        <f t="shared" si="1800"/>
        <v>0.16238437821171625</v>
      </c>
      <c r="AA286" s="471">
        <f t="shared" si="1800"/>
        <v>0.12594805791772012</v>
      </c>
      <c r="AB286" s="471">
        <f t="shared" si="1800"/>
        <v>8.0674368343487624E-2</v>
      </c>
      <c r="AC286" s="1235">
        <v>-0.16500000000000001</v>
      </c>
      <c r="AD286" s="1235">
        <v>-6.4000000000000001E-2</v>
      </c>
      <c r="AE286" s="1235">
        <v>3.1E-2</v>
      </c>
      <c r="AF286" s="1235">
        <v>0.14299999999999999</v>
      </c>
      <c r="AG286" s="1235">
        <v>0.193</v>
      </c>
      <c r="AH286" s="1235">
        <v>0.17899999999999999</v>
      </c>
      <c r="AI286" s="1235">
        <v>0.249</v>
      </c>
      <c r="AJ286" s="1235">
        <v>0.14699999999999999</v>
      </c>
      <c r="AK286" s="1235">
        <v>0.105</v>
      </c>
      <c r="AL286" s="1235">
        <v>8.5999999999999993E-2</v>
      </c>
      <c r="AM286" s="2400">
        <v>0.06</v>
      </c>
      <c r="AN286" s="1235">
        <v>0.06</v>
      </c>
      <c r="AO286" s="944">
        <v>0.06</v>
      </c>
      <c r="AP286" s="944">
        <v>0.06</v>
      </c>
      <c r="AQ286" s="1235">
        <v>0.06</v>
      </c>
      <c r="AR286" s="944">
        <v>0.06</v>
      </c>
      <c r="AS286" s="944">
        <v>0.06</v>
      </c>
      <c r="AT286" s="944">
        <v>0.06</v>
      </c>
      <c r="AU286" s="944">
        <v>0.06</v>
      </c>
      <c r="AV286" s="944">
        <v>0.06</v>
      </c>
      <c r="AW286" s="944">
        <v>0.06</v>
      </c>
      <c r="AX286" s="944">
        <v>0.06</v>
      </c>
      <c r="AY286" s="944"/>
      <c r="AZ286" s="944"/>
      <c r="BA286" s="72"/>
      <c r="BB286" s="944">
        <v>0.06</v>
      </c>
      <c r="BC286" s="2189"/>
      <c r="BD286" s="72"/>
      <c r="BE286" s="337"/>
      <c r="BF286" s="471">
        <f t="shared" ref="BF286:BQ286" si="1801">+BF285/BE285-1</f>
        <v>-4.6230580832007373E-2</v>
      </c>
      <c r="BG286" s="471">
        <f t="shared" si="1801"/>
        <v>4.4942157656183257E-2</v>
      </c>
      <c r="BH286" s="471">
        <f t="shared" si="1801"/>
        <v>8.0234478797715392E-2</v>
      </c>
      <c r="BI286" s="471"/>
      <c r="BJ286" s="2027">
        <f>+BJ285/BH285-1</f>
        <v>3.9642242209498191E-2</v>
      </c>
      <c r="BK286" s="471">
        <f>+BK285/BJ285-1</f>
        <v>0.16514660831509831</v>
      </c>
      <c r="BL286" s="471">
        <f t="shared" si="1801"/>
        <v>-2.4875493264687965E-2</v>
      </c>
      <c r="BM286" s="471">
        <f t="shared" si="1801"/>
        <v>0.14256314888949762</v>
      </c>
      <c r="BN286" s="471">
        <f t="shared" si="1801"/>
        <v>0.13676661541767943</v>
      </c>
      <c r="BO286" s="1034">
        <f t="shared" si="1801"/>
        <v>5.9999999999999831E-2</v>
      </c>
      <c r="BP286" s="471">
        <f t="shared" si="1801"/>
        <v>6.0000000000000053E-2</v>
      </c>
      <c r="BQ286" s="471">
        <f t="shared" si="1801"/>
        <v>6.0000000000000053E-2</v>
      </c>
      <c r="BR286" s="944">
        <v>0.06</v>
      </c>
      <c r="BS286" s="944">
        <v>0.06</v>
      </c>
      <c r="BT286" s="944">
        <v>0.06</v>
      </c>
      <c r="BU286" s="944">
        <v>0.06</v>
      </c>
    </row>
    <row r="287" spans="1:73" s="325" customFormat="1" ht="15" hidden="1" customHeight="1">
      <c r="C287" s="471"/>
      <c r="D287" s="471"/>
      <c r="E287" s="471"/>
      <c r="F287" s="471"/>
      <c r="G287" s="471"/>
      <c r="H287" s="471"/>
      <c r="I287" s="471"/>
      <c r="J287" s="471"/>
      <c r="K287" s="471"/>
      <c r="L287" s="471"/>
      <c r="M287" s="471"/>
      <c r="N287" s="471"/>
      <c r="O287" s="471"/>
      <c r="P287" s="471"/>
      <c r="Q287" s="471"/>
      <c r="R287" s="471"/>
      <c r="S287" s="1034"/>
      <c r="T287" s="471"/>
      <c r="U287" s="338"/>
      <c r="V287" s="338"/>
      <c r="W287" s="1818"/>
      <c r="X287" s="338"/>
      <c r="Y287" s="338"/>
      <c r="Z287" s="338"/>
      <c r="AA287" s="338"/>
      <c r="AB287" s="338"/>
      <c r="AC287" s="338"/>
      <c r="AD287" s="338"/>
      <c r="AE287" s="338"/>
      <c r="AF287" s="338"/>
      <c r="AG287" s="338"/>
      <c r="AH287" s="338"/>
      <c r="AI287" s="338"/>
      <c r="AJ287" s="338"/>
      <c r="AK287" s="338"/>
      <c r="AL287" s="338"/>
      <c r="AM287" s="1818"/>
      <c r="AN287" s="338"/>
      <c r="AO287" s="338"/>
      <c r="AP287" s="338"/>
      <c r="AQ287" s="338"/>
      <c r="AR287" s="338"/>
      <c r="AS287" s="338"/>
      <c r="AT287" s="338"/>
      <c r="AU287" s="338"/>
      <c r="AV287" s="338"/>
      <c r="AW287" s="338"/>
      <c r="AX287" s="338"/>
      <c r="AY287" s="338"/>
      <c r="AZ287" s="338"/>
      <c r="BA287" s="72"/>
      <c r="BB287" s="338"/>
      <c r="BC287" s="2189"/>
      <c r="BD287" s="72"/>
      <c r="BE287" s="337"/>
      <c r="BF287" s="337"/>
      <c r="BG287" s="337"/>
      <c r="BH287" s="337"/>
      <c r="BI287" s="337"/>
      <c r="BJ287" s="2022"/>
      <c r="BK287" s="337"/>
      <c r="BL287" s="337"/>
      <c r="BM287" s="337"/>
      <c r="BN287" s="337"/>
      <c r="BO287" s="1966"/>
      <c r="BP287" s="337"/>
      <c r="BQ287" s="337"/>
      <c r="BR287" s="338"/>
      <c r="BS287" s="338"/>
      <c r="BT287" s="338"/>
      <c r="BU287" s="338"/>
    </row>
    <row r="288" spans="1:73" s="328" customFormat="1" ht="15" hidden="1" customHeight="1">
      <c r="B288" s="328" t="s">
        <v>275</v>
      </c>
      <c r="C288" s="901">
        <v>-386.50000000000011</v>
      </c>
      <c r="D288" s="901">
        <v>-445.30000000000007</v>
      </c>
      <c r="E288" s="901">
        <v>-438.89999999999986</v>
      </c>
      <c r="F288" s="901">
        <v>-507.59999999999991</v>
      </c>
      <c r="G288" s="901">
        <v>-373.6</v>
      </c>
      <c r="H288" s="901">
        <v>-444</v>
      </c>
      <c r="I288" s="901">
        <v>-395.9</v>
      </c>
      <c r="J288" s="901">
        <v>-512.40000000000009</v>
      </c>
      <c r="K288" s="901">
        <v>-358.25488906508963</v>
      </c>
      <c r="L288" s="901">
        <v>-415.93690059557343</v>
      </c>
      <c r="M288" s="901">
        <v>-429.15422036940311</v>
      </c>
      <c r="N288" s="901">
        <v>-546.71770911681983</v>
      </c>
      <c r="O288" s="901">
        <v>-354.47243956077375</v>
      </c>
      <c r="P288" s="901">
        <v>-474.37289215423209</v>
      </c>
      <c r="Q288" s="901">
        <v>-454.59999999999991</v>
      </c>
      <c r="R288" s="901">
        <v>-612.29999999999995</v>
      </c>
      <c r="S288" s="1035">
        <v>-376.69999999999993</v>
      </c>
      <c r="T288" s="901">
        <v>-492.39999999999986</v>
      </c>
      <c r="U288" s="901">
        <f t="shared" ref="U288:AA288" si="1802">+U290-U285</f>
        <v>-478.90000000000009</v>
      </c>
      <c r="V288" s="901">
        <f t="shared" si="1802"/>
        <v>-605.90000000000009</v>
      </c>
      <c r="W288" s="1035">
        <f t="shared" si="1802"/>
        <v>-406.41380781089424</v>
      </c>
      <c r="X288" s="901">
        <f t="shared" si="1802"/>
        <v>-524.62545825282632</v>
      </c>
      <c r="Y288" s="901">
        <f t="shared" si="1802"/>
        <v>-635.97705035971239</v>
      </c>
      <c r="Z288" s="901">
        <f t="shared" si="1802"/>
        <v>-704.2886947584791</v>
      </c>
      <c r="AA288" s="901">
        <f t="shared" si="1802"/>
        <v>-457.60083761562191</v>
      </c>
      <c r="AB288" s="901"/>
      <c r="AC288" s="901"/>
      <c r="AD288" s="901"/>
      <c r="AE288" s="901">
        <f t="shared" ref="AE288:AP288" si="1803">+AE290-AE285</f>
        <v>-1515.2606999999998</v>
      </c>
      <c r="AF288" s="901">
        <f t="shared" si="1803"/>
        <v>-2081.2887000000001</v>
      </c>
      <c r="AG288" s="901">
        <f t="shared" si="1803"/>
        <v>-2034.7462029999999</v>
      </c>
      <c r="AH288" s="901">
        <f t="shared" si="1803"/>
        <v>-2496.2165279999999</v>
      </c>
      <c r="AI288" s="901">
        <f t="shared" si="1803"/>
        <v>-1892.5606143</v>
      </c>
      <c r="AJ288" s="901">
        <f t="shared" si="1803"/>
        <v>-2387.2381389000002</v>
      </c>
      <c r="AK288" s="901">
        <f t="shared" si="1803"/>
        <v>-2248.3945543149998</v>
      </c>
      <c r="AL288" s="901">
        <f t="shared" si="1803"/>
        <v>-2710.8911494080003</v>
      </c>
      <c r="AM288" s="1035">
        <f t="shared" si="1803"/>
        <v>-2006.1142511580001</v>
      </c>
      <c r="AN288" s="901">
        <f t="shared" si="1803"/>
        <v>-2530.4724272340004</v>
      </c>
      <c r="AO288" s="901">
        <f t="shared" si="1803"/>
        <v>-2383.2982275739</v>
      </c>
      <c r="AP288" s="901">
        <f t="shared" si="1803"/>
        <v>-2873.5446183724803</v>
      </c>
      <c r="AQ288" s="901">
        <f t="shared" ref="AQ288:AT288" si="1804">+AQ290-AQ285</f>
        <v>-2126.4811062274803</v>
      </c>
      <c r="AR288" s="901">
        <f t="shared" si="1804"/>
        <v>-2682.3007728680404</v>
      </c>
      <c r="AS288" s="901">
        <f t="shared" si="1804"/>
        <v>-2526.296121228334</v>
      </c>
      <c r="AT288" s="901">
        <f t="shared" si="1804"/>
        <v>-3045.9572954748292</v>
      </c>
      <c r="AU288" s="901">
        <f t="shared" ref="AU288:AX288" si="1805">+AU290-AU285</f>
        <v>-2254.0699726011294</v>
      </c>
      <c r="AV288" s="901">
        <f t="shared" si="1805"/>
        <v>-2843.2388192401231</v>
      </c>
      <c r="AW288" s="901">
        <f t="shared" si="1805"/>
        <v>-2677.8738885020343</v>
      </c>
      <c r="AX288" s="901">
        <f t="shared" si="1805"/>
        <v>-3228.7147332033192</v>
      </c>
      <c r="AY288" s="901"/>
      <c r="AZ288" s="901"/>
      <c r="BA288" s="610"/>
      <c r="BB288" s="901">
        <v>-3045.9572954748292</v>
      </c>
      <c r="BC288" s="2189"/>
      <c r="BD288" s="610"/>
      <c r="BE288" s="942">
        <f>+SUM(C288:F288)</f>
        <v>-1778.3</v>
      </c>
      <c r="BF288" s="942">
        <f>+SUM(G288:J288)</f>
        <v>-1725.9</v>
      </c>
      <c r="BG288" s="942">
        <f>+SUM(K288:N288)</f>
        <v>-1750.0637191468861</v>
      </c>
      <c r="BH288" s="942">
        <f>+SUM(O288:R288)</f>
        <v>-1895.7453317150057</v>
      </c>
      <c r="BI288" s="942"/>
      <c r="BJ288" s="2020">
        <f>+SUM(S288:V288)</f>
        <v>-1953.9</v>
      </c>
      <c r="BK288" s="942">
        <f>+SUM(W288:Z288)</f>
        <v>-2271.3050111819121</v>
      </c>
      <c r="BL288" s="942">
        <f>+SUM(AA288:AD288)</f>
        <v>-457.60083761562191</v>
      </c>
      <c r="BM288" s="942">
        <f>+SUM(AE288:AH288)</f>
        <v>-8127.5121309999995</v>
      </c>
      <c r="BN288" s="942">
        <f>+SUM(AI288:AL288)</f>
        <v>-9239.0844569230012</v>
      </c>
      <c r="BO288" s="2456">
        <f>+SUM(AM288:AP288)</f>
        <v>-9793.4295243383804</v>
      </c>
      <c r="BP288" s="942">
        <f>+SUM(AQ288:AT288)</f>
        <v>-10381.035295798683</v>
      </c>
      <c r="BQ288" s="942">
        <f>+SUM(AU288:AX288)</f>
        <v>-11003.897413546605</v>
      </c>
      <c r="BR288" s="667">
        <f t="shared" ref="BR288:BU288" si="1806">+BR290-BR285</f>
        <v>-11664.131258359403</v>
      </c>
      <c r="BS288" s="667">
        <f t="shared" si="1806"/>
        <v>-12363.979133860967</v>
      </c>
      <c r="BT288" s="667">
        <f t="shared" si="1806"/>
        <v>-13105.817881892624</v>
      </c>
      <c r="BU288" s="667">
        <f t="shared" si="1806"/>
        <v>-13892.166954806182</v>
      </c>
    </row>
    <row r="289" spans="2:73" s="325" customFormat="1" ht="15" hidden="1" customHeight="1">
      <c r="B289" s="325" t="s">
        <v>316</v>
      </c>
      <c r="C289" s="471"/>
      <c r="D289" s="337"/>
      <c r="E289" s="337"/>
      <c r="F289" s="337"/>
      <c r="G289" s="471">
        <f t="shared" ref="G289:AA289" si="1807">+G288/C288-1</f>
        <v>-3.3376455368693603E-2</v>
      </c>
      <c r="H289" s="471">
        <f t="shared" si="1807"/>
        <v>-2.9193801931284291E-3</v>
      </c>
      <c r="I289" s="471">
        <f t="shared" si="1807"/>
        <v>-9.7972203235360933E-2</v>
      </c>
      <c r="J289" s="471">
        <f t="shared" si="1807"/>
        <v>9.4562647754141693E-3</v>
      </c>
      <c r="K289" s="471">
        <f t="shared" si="1807"/>
        <v>-4.1073637406077057E-2</v>
      </c>
      <c r="L289" s="471">
        <f t="shared" si="1807"/>
        <v>-6.3205178838798615E-2</v>
      </c>
      <c r="M289" s="471">
        <f t="shared" si="1807"/>
        <v>8.3996515204352473E-2</v>
      </c>
      <c r="N289" s="471">
        <f t="shared" si="1807"/>
        <v>6.6974451828297754E-2</v>
      </c>
      <c r="O289" s="471">
        <f t="shared" si="1807"/>
        <v>-1.0557984328383174E-2</v>
      </c>
      <c r="P289" s="471">
        <f t="shared" si="1807"/>
        <v>0.14049244362542757</v>
      </c>
      <c r="Q289" s="471">
        <f t="shared" si="1807"/>
        <v>5.9292856560268392E-2</v>
      </c>
      <c r="R289" s="471">
        <f t="shared" si="1807"/>
        <v>0.11995640490432113</v>
      </c>
      <c r="S289" s="1034">
        <f t="shared" si="1807"/>
        <v>6.2706032849178195E-2</v>
      </c>
      <c r="T289" s="471">
        <f t="shared" si="1807"/>
        <v>3.8001977229142891E-2</v>
      </c>
      <c r="U289" s="471">
        <f t="shared" si="1807"/>
        <v>5.3453585569732009E-2</v>
      </c>
      <c r="V289" s="471">
        <f t="shared" si="1807"/>
        <v>-1.0452392617997464E-2</v>
      </c>
      <c r="W289" s="1034">
        <f t="shared" si="1807"/>
        <v>7.8879234963881828E-2</v>
      </c>
      <c r="X289" s="471">
        <f t="shared" si="1807"/>
        <v>6.5445691008989559E-2</v>
      </c>
      <c r="Y289" s="471">
        <f t="shared" si="1807"/>
        <v>0.32799551129612081</v>
      </c>
      <c r="Z289" s="471">
        <f t="shared" si="1807"/>
        <v>0.16238437821171647</v>
      </c>
      <c r="AA289" s="471">
        <f t="shared" si="1807"/>
        <v>0.12594805791772012</v>
      </c>
      <c r="AB289" s="471"/>
      <c r="AC289" s="471"/>
      <c r="AD289" s="471"/>
      <c r="AE289" s="471">
        <f t="shared" ref="AE289:AP289" si="1808">+AE288/AA288-1</f>
        <v>2.3113153985806227</v>
      </c>
      <c r="AF289" s="471" t="e">
        <f t="shared" si="1808"/>
        <v>#DIV/0!</v>
      </c>
      <c r="AG289" s="471" t="e">
        <f t="shared" si="1808"/>
        <v>#DIV/0!</v>
      </c>
      <c r="AH289" s="471" t="e">
        <f t="shared" si="1808"/>
        <v>#DIV/0!</v>
      </c>
      <c r="AI289" s="471">
        <f t="shared" si="1808"/>
        <v>0.24900000000000011</v>
      </c>
      <c r="AJ289" s="471">
        <f t="shared" si="1808"/>
        <v>0.14700000000000002</v>
      </c>
      <c r="AK289" s="471">
        <f t="shared" si="1808"/>
        <v>0.10499999999999998</v>
      </c>
      <c r="AL289" s="471">
        <f t="shared" si="1808"/>
        <v>8.6000000000000076E-2</v>
      </c>
      <c r="AM289" s="1034">
        <f t="shared" si="1808"/>
        <v>6.0000000000000053E-2</v>
      </c>
      <c r="AN289" s="471">
        <f t="shared" si="1808"/>
        <v>6.0000000000000053E-2</v>
      </c>
      <c r="AO289" s="471">
        <f t="shared" si="1808"/>
        <v>6.0000000000000053E-2</v>
      </c>
      <c r="AP289" s="471">
        <f t="shared" si="1808"/>
        <v>6.0000000000000053E-2</v>
      </c>
      <c r="AQ289" s="471">
        <f t="shared" ref="AQ289" si="1809">+AQ288/AM288-1</f>
        <v>6.0000000000000053E-2</v>
      </c>
      <c r="AR289" s="471">
        <f t="shared" ref="AR289" si="1810">+AR288/AN288-1</f>
        <v>6.0000000000000053E-2</v>
      </c>
      <c r="AS289" s="471">
        <f t="shared" ref="AS289" si="1811">+AS288/AO288-1</f>
        <v>6.0000000000000053E-2</v>
      </c>
      <c r="AT289" s="471">
        <f t="shared" ref="AT289" si="1812">+AT288/AP288-1</f>
        <v>6.0000000000000053E-2</v>
      </c>
      <c r="AU289" s="471">
        <f t="shared" ref="AU289" si="1813">+AU288/AQ288-1</f>
        <v>6.0000000000000053E-2</v>
      </c>
      <c r="AV289" s="471">
        <f t="shared" ref="AV289" si="1814">+AV288/AR288-1</f>
        <v>6.0000000000000053E-2</v>
      </c>
      <c r="AW289" s="471">
        <f t="shared" ref="AW289" si="1815">+AW288/AS288-1</f>
        <v>6.0000000000000053E-2</v>
      </c>
      <c r="AX289" s="471">
        <f t="shared" ref="AX289" si="1816">+AX288/AT288-1</f>
        <v>6.0000000000000053E-2</v>
      </c>
      <c r="AY289" s="471"/>
      <c r="AZ289" s="471"/>
      <c r="BA289" s="72"/>
      <c r="BB289" s="471">
        <v>6.0000000000000053E-2</v>
      </c>
      <c r="BC289" s="2189"/>
      <c r="BD289" s="72"/>
      <c r="BE289" s="337"/>
      <c r="BF289" s="471">
        <f t="shared" ref="BF289:BU289" si="1817">+BF288/BE288-1</f>
        <v>-2.9466344261373179E-2</v>
      </c>
      <c r="BG289" s="471">
        <f t="shared" si="1817"/>
        <v>1.4000648442485719E-2</v>
      </c>
      <c r="BH289" s="471">
        <f t="shared" si="1817"/>
        <v>8.3243604775222524E-2</v>
      </c>
      <c r="BI289" s="471"/>
      <c r="BJ289" s="2027">
        <f>+BJ288/BH288-1</f>
        <v>3.0676413815765136E-2</v>
      </c>
      <c r="BK289" s="471">
        <f>+BK288/BJ288-1</f>
        <v>0.1624469067925236</v>
      </c>
      <c r="BL289" s="471">
        <f t="shared" si="1817"/>
        <v>-0.79852955223415745</v>
      </c>
      <c r="BM289" s="471">
        <f t="shared" si="1817"/>
        <v>16.761139104004421</v>
      </c>
      <c r="BN289" s="471">
        <f t="shared" si="1817"/>
        <v>0.13676661541767943</v>
      </c>
      <c r="BO289" s="1034">
        <f t="shared" si="1817"/>
        <v>5.9999999999999831E-2</v>
      </c>
      <c r="BP289" s="471">
        <f t="shared" si="1817"/>
        <v>6.0000000000000053E-2</v>
      </c>
      <c r="BQ289" s="471">
        <f t="shared" si="1817"/>
        <v>6.0000000000000053E-2</v>
      </c>
      <c r="BR289" s="471">
        <f t="shared" si="1817"/>
        <v>6.0000000000000053E-2</v>
      </c>
      <c r="BS289" s="471">
        <f t="shared" si="1817"/>
        <v>6.0000000000000053E-2</v>
      </c>
      <c r="BT289" s="471">
        <f t="shared" si="1817"/>
        <v>6.0000000000000053E-2</v>
      </c>
      <c r="BU289" s="471">
        <f t="shared" si="1817"/>
        <v>6.0000000000000053E-2</v>
      </c>
    </row>
    <row r="290" spans="2:73" s="326" customFormat="1" ht="15" hidden="1" customHeight="1">
      <c r="B290" s="326" t="s">
        <v>15</v>
      </c>
      <c r="C290" s="817">
        <f t="shared" ref="C290:T290" si="1818">+C285+C288</f>
        <v>856.4</v>
      </c>
      <c r="D290" s="817">
        <f t="shared" si="1818"/>
        <v>963.6</v>
      </c>
      <c r="E290" s="817">
        <f t="shared" si="1818"/>
        <v>923.2</v>
      </c>
      <c r="F290" s="817">
        <f t="shared" si="1818"/>
        <v>1072.2</v>
      </c>
      <c r="G290" s="817">
        <f t="shared" si="1818"/>
        <v>748.1</v>
      </c>
      <c r="H290" s="817">
        <f t="shared" si="1818"/>
        <v>932.2</v>
      </c>
      <c r="I290" s="817">
        <f t="shared" si="1818"/>
        <v>869.6</v>
      </c>
      <c r="J290" s="817">
        <f t="shared" si="1818"/>
        <v>1059.3</v>
      </c>
      <c r="K290" s="817">
        <f t="shared" si="1818"/>
        <v>800.70259333486956</v>
      </c>
      <c r="L290" s="817">
        <f t="shared" si="1818"/>
        <v>928.83758375014986</v>
      </c>
      <c r="M290" s="817">
        <f t="shared" si="1818"/>
        <v>968.41640109306866</v>
      </c>
      <c r="N290" s="817">
        <f t="shared" si="1818"/>
        <v>1126.8506079865297</v>
      </c>
      <c r="O290" s="817">
        <f t="shared" si="1818"/>
        <v>813.90421409193311</v>
      </c>
      <c r="P290" s="817">
        <f t="shared" si="1818"/>
        <v>960.31822095678001</v>
      </c>
      <c r="Q290" s="817">
        <f t="shared" si="1818"/>
        <v>1074.4000000000001</v>
      </c>
      <c r="R290" s="817">
        <f t="shared" si="1818"/>
        <v>1277.8</v>
      </c>
      <c r="S290" s="1036">
        <f t="shared" si="1818"/>
        <v>811.9</v>
      </c>
      <c r="T290" s="817">
        <f t="shared" si="1818"/>
        <v>1069.2</v>
      </c>
      <c r="U290" s="817">
        <v>1085.8</v>
      </c>
      <c r="V290" s="817">
        <v>1340.1</v>
      </c>
      <c r="W290" s="1844">
        <f>+W292*W$285</f>
        <v>898.88619218910571</v>
      </c>
      <c r="X290" s="470">
        <f>+X292*X$285</f>
        <v>1160.3409417471735</v>
      </c>
      <c r="Y290" s="470">
        <f>+Y292*Y$285</f>
        <v>1406.6229496402875</v>
      </c>
      <c r="Z290" s="470">
        <f>+Z292*Z$285</f>
        <v>1557.7113052415209</v>
      </c>
      <c r="AA290" s="470">
        <f>+AA292*AA$285</f>
        <v>1012.0991623843781</v>
      </c>
      <c r="AB290" s="470"/>
      <c r="AC290" s="470"/>
      <c r="AD290" s="470"/>
      <c r="AE290" s="470">
        <f t="shared" ref="AE290:AP290" si="1819">+AE292*AE$285</f>
        <v>0</v>
      </c>
      <c r="AF290" s="470">
        <f t="shared" si="1819"/>
        <v>0</v>
      </c>
      <c r="AG290" s="470">
        <f t="shared" si="1819"/>
        <v>0</v>
      </c>
      <c r="AH290" s="470">
        <f t="shared" si="1819"/>
        <v>0</v>
      </c>
      <c r="AI290" s="470">
        <f t="shared" si="1819"/>
        <v>0</v>
      </c>
      <c r="AJ290" s="470">
        <f t="shared" si="1819"/>
        <v>0</v>
      </c>
      <c r="AK290" s="470">
        <f t="shared" si="1819"/>
        <v>0</v>
      </c>
      <c r="AL290" s="470">
        <f t="shared" si="1819"/>
        <v>0</v>
      </c>
      <c r="AM290" s="1844">
        <f t="shared" si="1819"/>
        <v>0</v>
      </c>
      <c r="AN290" s="470">
        <f t="shared" si="1819"/>
        <v>0</v>
      </c>
      <c r="AO290" s="470">
        <f t="shared" si="1819"/>
        <v>0</v>
      </c>
      <c r="AP290" s="470">
        <f t="shared" si="1819"/>
        <v>0</v>
      </c>
      <c r="AQ290" s="470">
        <f t="shared" ref="AQ290:AT290" si="1820">+AQ292*AQ$285</f>
        <v>0</v>
      </c>
      <c r="AR290" s="470">
        <f t="shared" si="1820"/>
        <v>0</v>
      </c>
      <c r="AS290" s="470">
        <f t="shared" si="1820"/>
        <v>0</v>
      </c>
      <c r="AT290" s="470">
        <f t="shared" si="1820"/>
        <v>0</v>
      </c>
      <c r="AU290" s="470">
        <f t="shared" ref="AU290:AX290" si="1821">+AU292*AU$285</f>
        <v>0</v>
      </c>
      <c r="AV290" s="470">
        <f t="shared" si="1821"/>
        <v>0</v>
      </c>
      <c r="AW290" s="470">
        <f t="shared" si="1821"/>
        <v>0</v>
      </c>
      <c r="AX290" s="470">
        <f t="shared" si="1821"/>
        <v>0</v>
      </c>
      <c r="AY290" s="470"/>
      <c r="AZ290" s="470"/>
      <c r="BA290" s="85"/>
      <c r="BB290" s="470">
        <v>0</v>
      </c>
      <c r="BC290" s="2197"/>
      <c r="BD290" s="85"/>
      <c r="BE290" s="474">
        <f>+SUM(C290:F290)</f>
        <v>3815.3999999999996</v>
      </c>
      <c r="BF290" s="474">
        <f>+SUM(G290:J290)</f>
        <v>3609.2</v>
      </c>
      <c r="BG290" s="474">
        <f>+SUM(K290:N290)</f>
        <v>3824.8071861646176</v>
      </c>
      <c r="BH290" s="474">
        <f>+SUM(O290:R290)</f>
        <v>4126.4224350487129</v>
      </c>
      <c r="BI290" s="474"/>
      <c r="BJ290" s="2031">
        <f>+SUM(S290:V290)</f>
        <v>4307</v>
      </c>
      <c r="BK290" s="474">
        <f>+SUM(W290:Z290)</f>
        <v>5023.5613888180878</v>
      </c>
      <c r="BL290" s="474">
        <f>+SUM(AA290:AD290)</f>
        <v>1012.0991623843781</v>
      </c>
      <c r="BM290" s="474">
        <f>+SUM(AE290:AH290)</f>
        <v>0</v>
      </c>
      <c r="BN290" s="474">
        <f>+SUM(AI290:AL290)</f>
        <v>0</v>
      </c>
      <c r="BO290" s="2459">
        <f>+SUM(AM290:AP290)</f>
        <v>0</v>
      </c>
      <c r="BP290" s="474">
        <f>+SUM(AQ290:AT290)</f>
        <v>0</v>
      </c>
      <c r="BQ290" s="474">
        <f>+SUM(AU290:AX290)</f>
        <v>0</v>
      </c>
      <c r="BR290" s="470">
        <f>+BR292*BR$285</f>
        <v>0</v>
      </c>
      <c r="BS290" s="470">
        <f>+BS292*BS$285</f>
        <v>0</v>
      </c>
      <c r="BT290" s="470">
        <f>+BT292*BT$285</f>
        <v>0</v>
      </c>
      <c r="BU290" s="470">
        <f>+BU292*BU$285</f>
        <v>0</v>
      </c>
    </row>
    <row r="291" spans="2:73" s="325" customFormat="1" ht="15" hidden="1" customHeight="1">
      <c r="B291" s="325" t="s">
        <v>316</v>
      </c>
      <c r="C291" s="471"/>
      <c r="D291" s="471"/>
      <c r="E291" s="471"/>
      <c r="F291" s="471"/>
      <c r="G291" s="471">
        <f t="shared" ref="G291:AA291" si="1822">+G290/C290-1</f>
        <v>-0.1264595983185427</v>
      </c>
      <c r="H291" s="471">
        <f t="shared" si="1822"/>
        <v>-3.2586135325861298E-2</v>
      </c>
      <c r="I291" s="471">
        <f t="shared" si="1822"/>
        <v>-5.8058925476603185E-2</v>
      </c>
      <c r="J291" s="471">
        <f t="shared" si="1822"/>
        <v>-1.2031337437045431E-2</v>
      </c>
      <c r="K291" s="471">
        <f t="shared" si="1822"/>
        <v>7.0314922249524736E-2</v>
      </c>
      <c r="L291" s="471">
        <f t="shared" si="1822"/>
        <v>-3.6069687297255459E-3</v>
      </c>
      <c r="M291" s="471">
        <f t="shared" si="1822"/>
        <v>0.11363431588439354</v>
      </c>
      <c r="N291" s="471">
        <f t="shared" si="1822"/>
        <v>6.3769100336571016E-2</v>
      </c>
      <c r="O291" s="471">
        <f t="shared" si="1822"/>
        <v>1.6487545896510358E-2</v>
      </c>
      <c r="P291" s="471">
        <f t="shared" si="1822"/>
        <v>3.3892510119506669E-2</v>
      </c>
      <c r="Q291" s="471">
        <f t="shared" si="1822"/>
        <v>0.10944011149264488</v>
      </c>
      <c r="R291" s="471">
        <f t="shared" si="1822"/>
        <v>0.13395688030304975</v>
      </c>
      <c r="S291" s="1034">
        <f t="shared" si="1822"/>
        <v>-2.4624692405226245E-3</v>
      </c>
      <c r="T291" s="471">
        <f t="shared" si="1822"/>
        <v>0.11338093630540458</v>
      </c>
      <c r="U291" s="471">
        <f t="shared" si="1822"/>
        <v>1.061057334326132E-2</v>
      </c>
      <c r="V291" s="471">
        <f t="shared" si="1822"/>
        <v>4.8755673814368405E-2</v>
      </c>
      <c r="W291" s="1823">
        <f t="shared" si="1822"/>
        <v>0.10713904691354315</v>
      </c>
      <c r="X291" s="464">
        <f t="shared" si="1822"/>
        <v>8.5242182704053038E-2</v>
      </c>
      <c r="Y291" s="464">
        <f t="shared" si="1822"/>
        <v>0.29547149534010653</v>
      </c>
      <c r="Z291" s="464">
        <f t="shared" si="1822"/>
        <v>0.16238437821171625</v>
      </c>
      <c r="AA291" s="464">
        <f t="shared" si="1822"/>
        <v>0.12594805791772012</v>
      </c>
      <c r="AB291" s="464"/>
      <c r="AC291" s="464"/>
      <c r="AD291" s="464"/>
      <c r="AE291" s="464">
        <f t="shared" ref="AE291:AP291" si="1823">+AE290/AA290-1</f>
        <v>-1</v>
      </c>
      <c r="AF291" s="464" t="e">
        <f t="shared" si="1823"/>
        <v>#DIV/0!</v>
      </c>
      <c r="AG291" s="464" t="e">
        <f t="shared" si="1823"/>
        <v>#DIV/0!</v>
      </c>
      <c r="AH291" s="464" t="e">
        <f t="shared" si="1823"/>
        <v>#DIV/0!</v>
      </c>
      <c r="AI291" s="464" t="e">
        <f t="shared" si="1823"/>
        <v>#DIV/0!</v>
      </c>
      <c r="AJ291" s="464" t="e">
        <f t="shared" si="1823"/>
        <v>#DIV/0!</v>
      </c>
      <c r="AK291" s="464" t="e">
        <f t="shared" si="1823"/>
        <v>#DIV/0!</v>
      </c>
      <c r="AL291" s="464" t="e">
        <f t="shared" si="1823"/>
        <v>#DIV/0!</v>
      </c>
      <c r="AM291" s="1823" t="e">
        <f t="shared" si="1823"/>
        <v>#DIV/0!</v>
      </c>
      <c r="AN291" s="464" t="e">
        <f t="shared" si="1823"/>
        <v>#DIV/0!</v>
      </c>
      <c r="AO291" s="464" t="e">
        <f t="shared" si="1823"/>
        <v>#DIV/0!</v>
      </c>
      <c r="AP291" s="464" t="e">
        <f t="shared" si="1823"/>
        <v>#DIV/0!</v>
      </c>
      <c r="AQ291" s="464" t="e">
        <f t="shared" ref="AQ291" si="1824">+AQ290/AM290-1</f>
        <v>#DIV/0!</v>
      </c>
      <c r="AR291" s="464" t="e">
        <f t="shared" ref="AR291" si="1825">+AR290/AN290-1</f>
        <v>#DIV/0!</v>
      </c>
      <c r="AS291" s="464" t="e">
        <f t="shared" ref="AS291" si="1826">+AS290/AO290-1</f>
        <v>#DIV/0!</v>
      </c>
      <c r="AT291" s="464" t="e">
        <f t="shared" ref="AT291" si="1827">+AT290/AP290-1</f>
        <v>#DIV/0!</v>
      </c>
      <c r="AU291" s="464" t="e">
        <f t="shared" ref="AU291" si="1828">+AU290/AQ290-1</f>
        <v>#DIV/0!</v>
      </c>
      <c r="AV291" s="464" t="e">
        <f t="shared" ref="AV291" si="1829">+AV290/AR290-1</f>
        <v>#DIV/0!</v>
      </c>
      <c r="AW291" s="464" t="e">
        <f t="shared" ref="AW291" si="1830">+AW290/AS290-1</f>
        <v>#DIV/0!</v>
      </c>
      <c r="AX291" s="464" t="e">
        <f t="shared" ref="AX291" si="1831">+AX290/AT290-1</f>
        <v>#DIV/0!</v>
      </c>
      <c r="AY291" s="464"/>
      <c r="AZ291" s="464"/>
      <c r="BA291" s="72"/>
      <c r="BB291" s="464" t="e">
        <v>#DIV/0!</v>
      </c>
      <c r="BC291" s="2189"/>
      <c r="BD291" s="72"/>
      <c r="BE291" s="337"/>
      <c r="BF291" s="471">
        <f t="shared" ref="BF291:BU291" si="1832">+BF290/BE290-1</f>
        <v>-5.4044136918802721E-2</v>
      </c>
      <c r="BG291" s="471">
        <f t="shared" si="1832"/>
        <v>5.9738220703928313E-2</v>
      </c>
      <c r="BH291" s="471">
        <f t="shared" si="1832"/>
        <v>7.8857634961344125E-2</v>
      </c>
      <c r="BI291" s="471"/>
      <c r="BJ291" s="2027">
        <f>+BJ290/BH290-1</f>
        <v>4.3761289056958974E-2</v>
      </c>
      <c r="BK291" s="471">
        <f>+BK290/BJ290-1</f>
        <v>0.16637134637058004</v>
      </c>
      <c r="BL291" s="471">
        <f t="shared" si="1832"/>
        <v>-0.79852955223415745</v>
      </c>
      <c r="BM291" s="471">
        <f t="shared" si="1832"/>
        <v>-1</v>
      </c>
      <c r="BN291" s="471" t="e">
        <f t="shared" si="1832"/>
        <v>#DIV/0!</v>
      </c>
      <c r="BO291" s="1034" t="e">
        <f t="shared" si="1832"/>
        <v>#DIV/0!</v>
      </c>
      <c r="BP291" s="471" t="e">
        <f t="shared" si="1832"/>
        <v>#DIV/0!</v>
      </c>
      <c r="BQ291" s="471" t="e">
        <f t="shared" si="1832"/>
        <v>#DIV/0!</v>
      </c>
      <c r="BR291" s="471" t="e">
        <f t="shared" si="1832"/>
        <v>#DIV/0!</v>
      </c>
      <c r="BS291" s="471" t="e">
        <f t="shared" si="1832"/>
        <v>#DIV/0!</v>
      </c>
      <c r="BT291" s="471" t="e">
        <f t="shared" si="1832"/>
        <v>#DIV/0!</v>
      </c>
      <c r="BU291" s="471" t="e">
        <f t="shared" si="1832"/>
        <v>#DIV/0!</v>
      </c>
    </row>
    <row r="292" spans="2:73" s="468" customFormat="1" ht="15" hidden="1" customHeight="1">
      <c r="B292" s="468" t="s">
        <v>317</v>
      </c>
      <c r="C292" s="902">
        <f t="shared" ref="C292:V292" si="1833">+C290/C$285</f>
        <v>0.68903371148121317</v>
      </c>
      <c r="D292" s="902">
        <f t="shared" si="1833"/>
        <v>0.68393782383419688</v>
      </c>
      <c r="E292" s="902">
        <f t="shared" si="1833"/>
        <v>0.67777696204390292</v>
      </c>
      <c r="F292" s="902">
        <f t="shared" si="1833"/>
        <v>0.67869350550702623</v>
      </c>
      <c r="G292" s="902">
        <f t="shared" si="1833"/>
        <v>0.66693411785682444</v>
      </c>
      <c r="H292" s="902">
        <f t="shared" si="1833"/>
        <v>0.6773724749309693</v>
      </c>
      <c r="I292" s="902">
        <f t="shared" si="1833"/>
        <v>0.68715922560252862</v>
      </c>
      <c r="J292" s="902">
        <f t="shared" si="1833"/>
        <v>0.67398358465355979</v>
      </c>
      <c r="K292" s="902">
        <f t="shared" si="1833"/>
        <v>0.6908817670142493</v>
      </c>
      <c r="L292" s="902">
        <f t="shared" si="1833"/>
        <v>0.69070137377127561</v>
      </c>
      <c r="M292" s="902">
        <f t="shared" si="1833"/>
        <v>0.69292841894435386</v>
      </c>
      <c r="N292" s="902">
        <f t="shared" si="1833"/>
        <v>0.67332214434897319</v>
      </c>
      <c r="O292" s="902">
        <f t="shared" si="1833"/>
        <v>0.69661115835156129</v>
      </c>
      <c r="P292" s="902">
        <f t="shared" si="1833"/>
        <v>0.66935538401322314</v>
      </c>
      <c r="Q292" s="902">
        <f t="shared" si="1833"/>
        <v>0.70268149117069989</v>
      </c>
      <c r="R292" s="902">
        <f t="shared" si="1833"/>
        <v>0.67604888630231208</v>
      </c>
      <c r="S292" s="1037">
        <f t="shared" si="1833"/>
        <v>0.68307252229513715</v>
      </c>
      <c r="T292" s="902">
        <f t="shared" si="1833"/>
        <v>0.68468237704918045</v>
      </c>
      <c r="U292" s="902">
        <f t="shared" si="1833"/>
        <v>0.69393493960503605</v>
      </c>
      <c r="V292" s="902">
        <f t="shared" si="1833"/>
        <v>0.68864337101747164</v>
      </c>
      <c r="W292" s="1818">
        <f>+V292</f>
        <v>0.68864337101747164</v>
      </c>
      <c r="X292" s="338">
        <f>+W292</f>
        <v>0.68864337101747164</v>
      </c>
      <c r="Y292" s="338">
        <f>+X292</f>
        <v>0.68864337101747164</v>
      </c>
      <c r="Z292" s="338">
        <f>+Y292</f>
        <v>0.68864337101747164</v>
      </c>
      <c r="AA292" s="338">
        <f>+Z292</f>
        <v>0.68864337101747164</v>
      </c>
      <c r="AB292" s="338"/>
      <c r="AC292" s="338"/>
      <c r="AD292" s="338"/>
      <c r="AE292" s="338">
        <f t="shared" ref="AE292:AP292" si="1834">+AD292</f>
        <v>0</v>
      </c>
      <c r="AF292" s="338">
        <f t="shared" si="1834"/>
        <v>0</v>
      </c>
      <c r="AG292" s="338">
        <f t="shared" si="1834"/>
        <v>0</v>
      </c>
      <c r="AH292" s="338">
        <f t="shared" si="1834"/>
        <v>0</v>
      </c>
      <c r="AI292" s="338">
        <f t="shared" si="1834"/>
        <v>0</v>
      </c>
      <c r="AJ292" s="338">
        <f t="shared" si="1834"/>
        <v>0</v>
      </c>
      <c r="AK292" s="338">
        <f t="shared" si="1834"/>
        <v>0</v>
      </c>
      <c r="AL292" s="338">
        <f t="shared" si="1834"/>
        <v>0</v>
      </c>
      <c r="AM292" s="1818">
        <f t="shared" si="1834"/>
        <v>0</v>
      </c>
      <c r="AN292" s="338">
        <f t="shared" si="1834"/>
        <v>0</v>
      </c>
      <c r="AO292" s="338">
        <f t="shared" si="1834"/>
        <v>0</v>
      </c>
      <c r="AP292" s="338">
        <f t="shared" si="1834"/>
        <v>0</v>
      </c>
      <c r="AQ292" s="338">
        <f t="shared" ref="AQ292" si="1835">+AP292</f>
        <v>0</v>
      </c>
      <c r="AR292" s="338">
        <f t="shared" ref="AR292" si="1836">+AQ292</f>
        <v>0</v>
      </c>
      <c r="AS292" s="338">
        <f t="shared" ref="AS292" si="1837">+AR292</f>
        <v>0</v>
      </c>
      <c r="AT292" s="338">
        <f t="shared" ref="AT292" si="1838">+AS292</f>
        <v>0</v>
      </c>
      <c r="AU292" s="338">
        <f t="shared" ref="AU292" si="1839">+AT292</f>
        <v>0</v>
      </c>
      <c r="AV292" s="338">
        <f t="shared" ref="AV292" si="1840">+AU292</f>
        <v>0</v>
      </c>
      <c r="AW292" s="338">
        <f t="shared" ref="AW292" si="1841">+AV292</f>
        <v>0</v>
      </c>
      <c r="AX292" s="338">
        <f t="shared" ref="AX292" si="1842">+AW292</f>
        <v>0</v>
      </c>
      <c r="AY292" s="338"/>
      <c r="AZ292" s="338"/>
      <c r="BA292" s="2257"/>
      <c r="BB292" s="338">
        <v>0</v>
      </c>
      <c r="BC292" s="2200"/>
      <c r="BD292" s="2257"/>
      <c r="BE292" s="902">
        <f t="shared" ref="BE292:BO292" si="1843">+BE290/BE$285</f>
        <v>0.68208877844718163</v>
      </c>
      <c r="BF292" s="902">
        <f t="shared" si="1843"/>
        <v>0.67650090907386917</v>
      </c>
      <c r="BG292" s="902">
        <f t="shared" si="1843"/>
        <v>0.68607995613324457</v>
      </c>
      <c r="BH292" s="902">
        <f t="shared" si="1843"/>
        <v>0.68520549324819457</v>
      </c>
      <c r="BI292" s="902"/>
      <c r="BJ292" s="2033">
        <f t="shared" si="1843"/>
        <v>0.68792026705425746</v>
      </c>
      <c r="BK292" s="902">
        <f t="shared" si="1843"/>
        <v>0.68864337101747175</v>
      </c>
      <c r="BL292" s="902">
        <f t="shared" si="1843"/>
        <v>0.14228058812137848</v>
      </c>
      <c r="BM292" s="902">
        <f t="shared" si="1843"/>
        <v>0</v>
      </c>
      <c r="BN292" s="902">
        <f t="shared" si="1843"/>
        <v>0</v>
      </c>
      <c r="BO292" s="1037">
        <f t="shared" si="1843"/>
        <v>0</v>
      </c>
      <c r="BP292" s="902">
        <f t="shared" ref="BP292:BQ292" si="1844">+BP290/BP$285</f>
        <v>0</v>
      </c>
      <c r="BQ292" s="902">
        <f t="shared" si="1844"/>
        <v>0</v>
      </c>
      <c r="BR292" s="338">
        <f t="shared" ref="BR292:BU292" si="1845">+BQ292</f>
        <v>0</v>
      </c>
      <c r="BS292" s="338">
        <f t="shared" si="1845"/>
        <v>0</v>
      </c>
      <c r="BT292" s="338">
        <f t="shared" si="1845"/>
        <v>0</v>
      </c>
      <c r="BU292" s="338">
        <f t="shared" si="1845"/>
        <v>0</v>
      </c>
    </row>
    <row r="293" spans="2:73" s="325" customFormat="1" ht="15" hidden="1" customHeight="1">
      <c r="C293" s="467"/>
      <c r="D293" s="467"/>
      <c r="E293" s="467"/>
      <c r="F293" s="467"/>
      <c r="G293" s="467"/>
      <c r="H293" s="467"/>
      <c r="I293" s="467"/>
      <c r="J293" s="467"/>
      <c r="K293" s="467"/>
      <c r="L293" s="467"/>
      <c r="M293" s="467"/>
      <c r="N293" s="467"/>
      <c r="O293" s="467"/>
      <c r="P293" s="467"/>
      <c r="Q293" s="467"/>
      <c r="R293" s="467"/>
      <c r="S293" s="1965"/>
      <c r="T293" s="467"/>
      <c r="U293" s="467"/>
      <c r="V293" s="467"/>
      <c r="W293" s="1818"/>
      <c r="X293" s="338"/>
      <c r="Y293" s="338"/>
      <c r="Z293" s="338"/>
      <c r="AA293" s="338"/>
      <c r="AB293" s="338"/>
      <c r="AC293" s="338"/>
      <c r="AD293" s="338"/>
      <c r="AE293" s="338"/>
      <c r="AF293" s="338"/>
      <c r="AG293" s="338"/>
      <c r="AH293" s="338"/>
      <c r="AI293" s="338"/>
      <c r="AJ293" s="338"/>
      <c r="AK293" s="338"/>
      <c r="AL293" s="338"/>
      <c r="AM293" s="1818"/>
      <c r="AN293" s="338"/>
      <c r="AO293" s="338"/>
      <c r="AP293" s="338"/>
      <c r="AQ293" s="338"/>
      <c r="AR293" s="338"/>
      <c r="AS293" s="338"/>
      <c r="AT293" s="338"/>
      <c r="AU293" s="338"/>
      <c r="AV293" s="338"/>
      <c r="AW293" s="338"/>
      <c r="AX293" s="338"/>
      <c r="AY293" s="338"/>
      <c r="AZ293" s="338"/>
      <c r="BA293" s="72"/>
      <c r="BB293" s="338"/>
      <c r="BC293" s="2189"/>
      <c r="BD293" s="72"/>
      <c r="BE293" s="337"/>
      <c r="BF293" s="337"/>
      <c r="BG293" s="337"/>
      <c r="BH293" s="337"/>
      <c r="BI293" s="337"/>
      <c r="BJ293" s="2022"/>
      <c r="BK293" s="337"/>
      <c r="BL293" s="337"/>
      <c r="BM293" s="337"/>
      <c r="BN293" s="337"/>
      <c r="BO293" s="1966"/>
      <c r="BP293" s="337"/>
      <c r="BQ293" s="337"/>
      <c r="BR293" s="338"/>
      <c r="BS293" s="338"/>
      <c r="BT293" s="338"/>
      <c r="BU293" s="338"/>
    </row>
    <row r="294" spans="2:73" s="943" customFormat="1" ht="15" hidden="1" customHeight="1">
      <c r="B294" s="943" t="s">
        <v>16</v>
      </c>
      <c r="C294" s="903">
        <v>-475.6</v>
      </c>
      <c r="D294" s="903">
        <v>-530.70000000000005</v>
      </c>
      <c r="E294" s="903">
        <v>-515.4</v>
      </c>
      <c r="F294" s="903">
        <v>-559.1</v>
      </c>
      <c r="G294" s="903">
        <v>-477.1</v>
      </c>
      <c r="H294" s="903">
        <v>-527.6</v>
      </c>
      <c r="I294" s="903">
        <v>-539.79999999999995</v>
      </c>
      <c r="J294" s="903">
        <v>-599.5</v>
      </c>
      <c r="K294" s="903">
        <v>-521.85807751674611</v>
      </c>
      <c r="L294" s="903">
        <v>-566.49628768008279</v>
      </c>
      <c r="M294" s="903">
        <v>-538.07976829995766</v>
      </c>
      <c r="N294" s="903">
        <v>-610.73996199905832</v>
      </c>
      <c r="O294" s="903">
        <v>-494.75270264001296</v>
      </c>
      <c r="P294" s="903">
        <v>-569.85176332186757</v>
      </c>
      <c r="Q294" s="903">
        <v>-656.6</v>
      </c>
      <c r="R294" s="903">
        <v>-734.4</v>
      </c>
      <c r="S294" s="1967">
        <f>-515.5+0.1</f>
        <v>-515.4</v>
      </c>
      <c r="T294" s="903">
        <f>-620.4+0.5</f>
        <v>-619.9</v>
      </c>
      <c r="U294" s="903">
        <f>-666.8-0.2</f>
        <v>-667</v>
      </c>
      <c r="V294" s="903">
        <v>-762.5</v>
      </c>
      <c r="W294" s="1845">
        <f>+W296*W$285</f>
        <v>-566.00338213023724</v>
      </c>
      <c r="X294" s="665">
        <f>+X296*X$285</f>
        <v>-668.87209999999993</v>
      </c>
      <c r="Y294" s="665">
        <f>+Y296*Y$285</f>
        <v>-870.71911548539651</v>
      </c>
      <c r="Z294" s="665">
        <f>+Z296*Z$285</f>
        <v>-886.31808838643371</v>
      </c>
      <c r="AA294" s="665">
        <f>+AA296*AA$285</f>
        <v>-637.29040888440181</v>
      </c>
      <c r="AB294" s="665"/>
      <c r="AC294" s="665"/>
      <c r="AD294" s="665"/>
      <c r="AE294" s="665">
        <f t="shared" ref="AE294:AP294" si="1846">+AE296*AE$285</f>
        <v>-657.04641155981813</v>
      </c>
      <c r="AF294" s="665">
        <f t="shared" si="1846"/>
        <v>-936.57991500000003</v>
      </c>
      <c r="AG294" s="665">
        <f t="shared" si="1846"/>
        <v>0</v>
      </c>
      <c r="AH294" s="665">
        <f t="shared" si="1846"/>
        <v>-1098.3352723200001</v>
      </c>
      <c r="AI294" s="665">
        <f t="shared" si="1846"/>
        <v>-832.72667029199999</v>
      </c>
      <c r="AJ294" s="665">
        <f t="shared" si="1846"/>
        <v>-1050.3847811160001</v>
      </c>
      <c r="AK294" s="665">
        <f t="shared" si="1846"/>
        <v>-989.29360389859994</v>
      </c>
      <c r="AL294" s="665">
        <f t="shared" si="1846"/>
        <v>-1192.7921057395201</v>
      </c>
      <c r="AM294" s="1845">
        <f t="shared" si="1846"/>
        <v>-882.69027050952002</v>
      </c>
      <c r="AN294" s="665">
        <f t="shared" si="1846"/>
        <v>-1113.4078679829602</v>
      </c>
      <c r="AO294" s="665">
        <f t="shared" si="1846"/>
        <v>-1048.6512201325161</v>
      </c>
      <c r="AP294" s="665">
        <f t="shared" si="1846"/>
        <v>-1264.3596320838913</v>
      </c>
      <c r="AQ294" s="665">
        <f t="shared" ref="AQ294:AT294" si="1847">+AQ296*AQ$285</f>
        <v>-935.65168674009135</v>
      </c>
      <c r="AR294" s="665">
        <f t="shared" si="1847"/>
        <v>-1180.2123400619378</v>
      </c>
      <c r="AS294" s="665">
        <f t="shared" si="1847"/>
        <v>-1111.5702933404671</v>
      </c>
      <c r="AT294" s="665">
        <f t="shared" si="1847"/>
        <v>-1340.2212100089248</v>
      </c>
      <c r="AU294" s="665">
        <f t="shared" ref="AU294:AX294" si="1848">+AU296*AU$285</f>
        <v>-991.79078794449697</v>
      </c>
      <c r="AV294" s="665">
        <f t="shared" si="1848"/>
        <v>-1251.0250804656541</v>
      </c>
      <c r="AW294" s="665">
        <f t="shared" si="1848"/>
        <v>-1178.2645109408952</v>
      </c>
      <c r="AX294" s="665">
        <f t="shared" si="1848"/>
        <v>-1420.6344826094605</v>
      </c>
      <c r="AY294" s="665"/>
      <c r="AZ294" s="665"/>
      <c r="BA294" s="738"/>
      <c r="BB294" s="665">
        <v>-1340.2212100089248</v>
      </c>
      <c r="BC294" s="2197"/>
      <c r="BD294" s="738"/>
      <c r="BE294" s="906">
        <f>+SUM(C294:F294)</f>
        <v>-2080.8000000000002</v>
      </c>
      <c r="BF294" s="906">
        <f>+SUM(G294:J294)</f>
        <v>-2144</v>
      </c>
      <c r="BG294" s="906">
        <f>+SUM(K294:N294)</f>
        <v>-2237.174095495845</v>
      </c>
      <c r="BH294" s="906">
        <f>+SUM(O294:R294)</f>
        <v>-2455.6044659618806</v>
      </c>
      <c r="BI294" s="906"/>
      <c r="BJ294" s="2036">
        <f>+SUM(S294:V294)</f>
        <v>-2564.8000000000002</v>
      </c>
      <c r="BK294" s="906">
        <f>+SUM(W294:Z294)</f>
        <v>-2991.9126860020674</v>
      </c>
      <c r="BL294" s="906">
        <f>+SUM(AA294:AD294)</f>
        <v>-637.29040888440181</v>
      </c>
      <c r="BM294" s="906">
        <f>+SUM(AE294:AH294)</f>
        <v>-2691.9615988798182</v>
      </c>
      <c r="BN294" s="906">
        <f>+SUM(AI294:AL294)</f>
        <v>-4065.1971610461201</v>
      </c>
      <c r="BO294" s="2466">
        <f>+SUM(AM294:AP294)</f>
        <v>-4309.1089907088881</v>
      </c>
      <c r="BP294" s="906">
        <f>+SUM(AQ294:AT294)</f>
        <v>-4567.6555301514209</v>
      </c>
      <c r="BQ294" s="906">
        <f>+SUM(AU294:AX294)</f>
        <v>-4841.7148619605068</v>
      </c>
      <c r="BR294" s="665">
        <f>+BR296*BR$285</f>
        <v>-5132.2177536781383</v>
      </c>
      <c r="BS294" s="665">
        <f>+BS296*BS$285</f>
        <v>-5440.1508188988264</v>
      </c>
      <c r="BT294" s="665">
        <f>+BT296*BT$285</f>
        <v>-5766.5598680327557</v>
      </c>
      <c r="BU294" s="665">
        <f>+BU296*BU$285</f>
        <v>-6112.553460114721</v>
      </c>
    </row>
    <row r="295" spans="2:73" s="325" customFormat="1" ht="15" hidden="1" customHeight="1">
      <c r="B295" s="325" t="s">
        <v>316</v>
      </c>
      <c r="C295" s="462" t="str">
        <f>IF(ISNUMBER((C294/#REF!-1)),IF(#REF!=0,"NMF",IF(OR(#REF!*C294&lt;0,C294/#REF!-1&gt;10),"NMF",C294/#REF!-1)),"")</f>
        <v/>
      </c>
      <c r="D295" s="462" t="str">
        <f>IF(ISNUMBER((D294/#REF!-1)),IF(#REF!=0,"NMF",IF(OR(#REF!*D294&lt;0,D294/#REF!-1&gt;10),"NMF",D294/#REF!-1)),"")</f>
        <v/>
      </c>
      <c r="E295" s="462" t="str">
        <f>IF(ISNUMBER((E294/#REF!-1)),IF(#REF!=0,"NMF",IF(OR(#REF!*E294&lt;0,E294/#REF!-1&gt;10),"NMF",E294/#REF!-1)),"")</f>
        <v/>
      </c>
      <c r="F295" s="462" t="str">
        <f>IF(ISNUMBER((F294/A294-1)),IF(A294=0,"NMF",IF(OR(A294*F294&lt;0,F294/A294-1&gt;10),"NMF",F294/A294-1)),"")</f>
        <v/>
      </c>
      <c r="G295" s="471">
        <f t="shared" ref="G295:AA295" si="1849">+G294/C294-1</f>
        <v>3.1539108494533785E-3</v>
      </c>
      <c r="H295" s="471">
        <f t="shared" si="1849"/>
        <v>-5.8413416242698579E-3</v>
      </c>
      <c r="I295" s="471">
        <f t="shared" si="1849"/>
        <v>4.7341870391928609E-2</v>
      </c>
      <c r="J295" s="471">
        <f t="shared" si="1849"/>
        <v>7.2258987658737173E-2</v>
      </c>
      <c r="K295" s="471">
        <f t="shared" si="1849"/>
        <v>9.3812780374651128E-2</v>
      </c>
      <c r="L295" s="471">
        <f t="shared" si="1849"/>
        <v>7.3723062320096178E-2</v>
      </c>
      <c r="M295" s="471">
        <f t="shared" si="1849"/>
        <v>-3.1867945536167008E-3</v>
      </c>
      <c r="N295" s="471">
        <f t="shared" si="1849"/>
        <v>1.8748894076827893E-2</v>
      </c>
      <c r="O295" s="471">
        <f t="shared" si="1849"/>
        <v>-5.1940127104506462E-2</v>
      </c>
      <c r="P295" s="471">
        <f t="shared" si="1849"/>
        <v>5.9232085271487822E-3</v>
      </c>
      <c r="Q295" s="471">
        <f t="shared" si="1849"/>
        <v>0.22026517011502311</v>
      </c>
      <c r="R295" s="471">
        <f t="shared" si="1849"/>
        <v>0.2024757600537237</v>
      </c>
      <c r="S295" s="1034">
        <f t="shared" si="1849"/>
        <v>4.1732561034659277E-2</v>
      </c>
      <c r="T295" s="471">
        <f t="shared" si="1849"/>
        <v>8.7826764606962815E-2</v>
      </c>
      <c r="U295" s="471">
        <f t="shared" si="1849"/>
        <v>1.5839171489491211E-2</v>
      </c>
      <c r="V295" s="471">
        <f t="shared" si="1849"/>
        <v>3.8262527233115406E-2</v>
      </c>
      <c r="W295" s="1034">
        <f t="shared" si="1849"/>
        <v>9.8182735991923398E-2</v>
      </c>
      <c r="X295" s="471">
        <f t="shared" si="1849"/>
        <v>7.8999999999999959E-2</v>
      </c>
      <c r="Y295" s="471">
        <f t="shared" si="1849"/>
        <v>0.30542596024797075</v>
      </c>
      <c r="Z295" s="471">
        <f t="shared" si="1849"/>
        <v>0.16238437821171625</v>
      </c>
      <c r="AA295" s="471">
        <f t="shared" si="1849"/>
        <v>0.12594805791772012</v>
      </c>
      <c r="AB295" s="471"/>
      <c r="AC295" s="471"/>
      <c r="AD295" s="471"/>
      <c r="AE295" s="471">
        <f t="shared" ref="AE295:AP295" si="1850">+AE294/AA294-1</f>
        <v>3.0999999999999694E-2</v>
      </c>
      <c r="AF295" s="471" t="e">
        <f t="shared" si="1850"/>
        <v>#DIV/0!</v>
      </c>
      <c r="AG295" s="471" t="e">
        <f t="shared" si="1850"/>
        <v>#DIV/0!</v>
      </c>
      <c r="AH295" s="471" t="e">
        <f t="shared" si="1850"/>
        <v>#DIV/0!</v>
      </c>
      <c r="AI295" s="471">
        <f t="shared" si="1850"/>
        <v>0.26737876600698507</v>
      </c>
      <c r="AJ295" s="471">
        <f t="shared" si="1850"/>
        <v>0.12151111111111113</v>
      </c>
      <c r="AK295" s="471" t="e">
        <f t="shared" si="1850"/>
        <v>#DIV/0!</v>
      </c>
      <c r="AL295" s="471">
        <f t="shared" si="1850"/>
        <v>8.6000000000000076E-2</v>
      </c>
      <c r="AM295" s="1034">
        <f t="shared" si="1850"/>
        <v>6.0000000000000053E-2</v>
      </c>
      <c r="AN295" s="471">
        <f t="shared" si="1850"/>
        <v>6.0000000000000053E-2</v>
      </c>
      <c r="AO295" s="471">
        <f t="shared" si="1850"/>
        <v>6.0000000000000053E-2</v>
      </c>
      <c r="AP295" s="471">
        <f t="shared" si="1850"/>
        <v>5.9999999999999831E-2</v>
      </c>
      <c r="AQ295" s="471">
        <f t="shared" ref="AQ295" si="1851">+AQ294/AM294-1</f>
        <v>6.0000000000000053E-2</v>
      </c>
      <c r="AR295" s="471">
        <f t="shared" ref="AR295" si="1852">+AR294/AN294-1</f>
        <v>6.0000000000000053E-2</v>
      </c>
      <c r="AS295" s="471">
        <f t="shared" ref="AS295" si="1853">+AS294/AO294-1</f>
        <v>6.0000000000000053E-2</v>
      </c>
      <c r="AT295" s="471">
        <f t="shared" ref="AT295" si="1854">+AT294/AP294-1</f>
        <v>6.0000000000000053E-2</v>
      </c>
      <c r="AU295" s="471">
        <f t="shared" ref="AU295" si="1855">+AU294/AQ294-1</f>
        <v>6.0000000000000053E-2</v>
      </c>
      <c r="AV295" s="471">
        <f t="shared" ref="AV295" si="1856">+AV294/AR294-1</f>
        <v>6.0000000000000053E-2</v>
      </c>
      <c r="AW295" s="471">
        <f t="shared" ref="AW295" si="1857">+AW294/AS294-1</f>
        <v>6.0000000000000053E-2</v>
      </c>
      <c r="AX295" s="471">
        <f t="shared" ref="AX295" si="1858">+AX294/AT294-1</f>
        <v>6.0000000000000275E-2</v>
      </c>
      <c r="AY295" s="471"/>
      <c r="AZ295" s="471"/>
      <c r="BA295" s="72"/>
      <c r="BB295" s="471">
        <v>6.0000000000000053E-2</v>
      </c>
      <c r="BC295" s="2189"/>
      <c r="BD295" s="72"/>
      <c r="BE295" s="471"/>
      <c r="BF295" s="471">
        <f t="shared" ref="BF295:BU295" si="1859">+BF294/BE294-1</f>
        <v>3.0372933487120335E-2</v>
      </c>
      <c r="BG295" s="471">
        <f t="shared" si="1859"/>
        <v>4.3458066929032091E-2</v>
      </c>
      <c r="BH295" s="471">
        <f t="shared" si="1859"/>
        <v>9.7636733281422527E-2</v>
      </c>
      <c r="BI295" s="471"/>
      <c r="BJ295" s="2027">
        <f>+BJ294/BH294-1</f>
        <v>4.4467883794691909E-2</v>
      </c>
      <c r="BK295" s="471">
        <f>+BK294/BJ294-1</f>
        <v>0.16652865174753084</v>
      </c>
      <c r="BL295" s="471">
        <f t="shared" si="1859"/>
        <v>-0.78699565269199789</v>
      </c>
      <c r="BM295" s="471">
        <f t="shared" si="1859"/>
        <v>3.2240736112633286</v>
      </c>
      <c r="BN295" s="471">
        <f t="shared" si="1859"/>
        <v>0.51012449907819413</v>
      </c>
      <c r="BO295" s="1034">
        <f t="shared" si="1859"/>
        <v>6.0000000000000275E-2</v>
      </c>
      <c r="BP295" s="471">
        <f t="shared" si="1859"/>
        <v>5.9999999999999831E-2</v>
      </c>
      <c r="BQ295" s="471">
        <f t="shared" si="1859"/>
        <v>6.0000000000000053E-2</v>
      </c>
      <c r="BR295" s="471">
        <f t="shared" si="1859"/>
        <v>6.0000000000000275E-2</v>
      </c>
      <c r="BS295" s="471">
        <f t="shared" si="1859"/>
        <v>6.0000000000000053E-2</v>
      </c>
      <c r="BT295" s="471">
        <f t="shared" si="1859"/>
        <v>6.0000000000000053E-2</v>
      </c>
      <c r="BU295" s="471">
        <f t="shared" si="1859"/>
        <v>6.0000000000000053E-2</v>
      </c>
    </row>
    <row r="296" spans="2:73" s="325" customFormat="1" ht="15" hidden="1" customHeight="1">
      <c r="B296" s="325" t="s">
        <v>318</v>
      </c>
      <c r="C296" s="471">
        <f t="shared" ref="C296:V296" si="1860">+C294/C$285</f>
        <v>-0.38265347171936598</v>
      </c>
      <c r="D296" s="471">
        <f t="shared" si="1860"/>
        <v>-0.37667684008801194</v>
      </c>
      <c r="E296" s="471">
        <f t="shared" si="1860"/>
        <v>-0.37838631524851335</v>
      </c>
      <c r="F296" s="471">
        <f t="shared" si="1860"/>
        <v>-0.35390555766552728</v>
      </c>
      <c r="G296" s="471">
        <f t="shared" si="1860"/>
        <v>-0.42533654274761523</v>
      </c>
      <c r="H296" s="471">
        <f t="shared" si="1860"/>
        <v>-0.38337450951896529</v>
      </c>
      <c r="I296" s="471">
        <f t="shared" si="1860"/>
        <v>-0.42655077044646383</v>
      </c>
      <c r="J296" s="471">
        <f t="shared" si="1860"/>
        <v>-0.38143411592543103</v>
      </c>
      <c r="K296" s="471">
        <f t="shared" si="1860"/>
        <v>-0.45028233170045795</v>
      </c>
      <c r="L296" s="471">
        <f t="shared" si="1860"/>
        <v>-0.42125746307248069</v>
      </c>
      <c r="M296" s="471">
        <f t="shared" si="1860"/>
        <v>-0.38501078946328327</v>
      </c>
      <c r="N296" s="471">
        <f t="shared" si="1860"/>
        <v>-0.36493279405297363</v>
      </c>
      <c r="O296" s="471">
        <f t="shared" si="1860"/>
        <v>-0.42345308860226105</v>
      </c>
      <c r="P296" s="471">
        <f t="shared" si="1860"/>
        <v>-0.39719473976958702</v>
      </c>
      <c r="Q296" s="471">
        <f t="shared" si="1860"/>
        <v>-0.42943100065402223</v>
      </c>
      <c r="R296" s="471">
        <f t="shared" si="1860"/>
        <v>-0.38855087032432145</v>
      </c>
      <c r="S296" s="1034">
        <f t="shared" si="1860"/>
        <v>-0.43361938414941947</v>
      </c>
      <c r="T296" s="471">
        <f t="shared" si="1860"/>
        <v>-0.39696465163934425</v>
      </c>
      <c r="U296" s="471">
        <f t="shared" si="1860"/>
        <v>-0.42627979804435356</v>
      </c>
      <c r="V296" s="471">
        <f t="shared" si="1860"/>
        <v>-0.39182939362795477</v>
      </c>
      <c r="W296" s="1817">
        <f>+S296</f>
        <v>-0.43361938414941947</v>
      </c>
      <c r="X296" s="944">
        <f>+T296</f>
        <v>-0.39696465163934425</v>
      </c>
      <c r="Y296" s="944">
        <f>+U296</f>
        <v>-0.42627979804435356</v>
      </c>
      <c r="Z296" s="944">
        <f>+V296</f>
        <v>-0.39182939362795477</v>
      </c>
      <c r="AA296" s="944">
        <f>+W296</f>
        <v>-0.43361938414941947</v>
      </c>
      <c r="AB296" s="944"/>
      <c r="AC296" s="944"/>
      <c r="AD296" s="944"/>
      <c r="AE296" s="944">
        <f>+AA296</f>
        <v>-0.43361938414941947</v>
      </c>
      <c r="AF296" s="944">
        <v>-0.45</v>
      </c>
      <c r="AG296" s="944">
        <f>+AC296</f>
        <v>0</v>
      </c>
      <c r="AH296" s="944">
        <v>-0.44</v>
      </c>
      <c r="AI296" s="944">
        <v>-0.44</v>
      </c>
      <c r="AJ296" s="944">
        <v>-0.44</v>
      </c>
      <c r="AK296" s="944">
        <v>-0.44</v>
      </c>
      <c r="AL296" s="944">
        <v>-0.44</v>
      </c>
      <c r="AM296" s="1817">
        <v>-0.44</v>
      </c>
      <c r="AN296" s="944">
        <v>-0.44</v>
      </c>
      <c r="AO296" s="944">
        <v>-0.44</v>
      </c>
      <c r="AP296" s="944">
        <v>-0.44</v>
      </c>
      <c r="AQ296" s="944">
        <v>-0.44</v>
      </c>
      <c r="AR296" s="944">
        <v>-0.44</v>
      </c>
      <c r="AS296" s="944">
        <v>-0.44</v>
      </c>
      <c r="AT296" s="944">
        <v>-0.44</v>
      </c>
      <c r="AU296" s="944">
        <v>-0.44</v>
      </c>
      <c r="AV296" s="944">
        <v>-0.44</v>
      </c>
      <c r="AW296" s="944">
        <v>-0.44</v>
      </c>
      <c r="AX296" s="944">
        <v>-0.44</v>
      </c>
      <c r="AY296" s="944"/>
      <c r="AZ296" s="944"/>
      <c r="BA296" s="72"/>
      <c r="BB296" s="944">
        <v>-0.44</v>
      </c>
      <c r="BC296" s="2189"/>
      <c r="BD296" s="72"/>
      <c r="BE296" s="471">
        <f t="shared" ref="BE296:BO296" si="1861">+BE294/BE$285</f>
        <v>-0.37198991722831048</v>
      </c>
      <c r="BF296" s="471">
        <f t="shared" si="1861"/>
        <v>-0.40186688159547146</v>
      </c>
      <c r="BG296" s="471">
        <f t="shared" si="1861"/>
        <v>-0.40129612568505563</v>
      </c>
      <c r="BH296" s="471">
        <f t="shared" si="1861"/>
        <v>-0.40776088628987317</v>
      </c>
      <c r="BI296" s="471"/>
      <c r="BJ296" s="2027">
        <f t="shared" si="1861"/>
        <v>-0.40965356418406307</v>
      </c>
      <c r="BK296" s="471">
        <f t="shared" si="1861"/>
        <v>-0.4101394764408664</v>
      </c>
      <c r="BL296" s="471">
        <f t="shared" si="1861"/>
        <v>-8.9590089143607041E-2</v>
      </c>
      <c r="BM296" s="471">
        <f t="shared" si="1861"/>
        <v>-0.33121594351266781</v>
      </c>
      <c r="BN296" s="471">
        <f t="shared" si="1861"/>
        <v>-0.43999999999999995</v>
      </c>
      <c r="BO296" s="1034">
        <f t="shared" si="1861"/>
        <v>-0.44000000000000006</v>
      </c>
      <c r="BP296" s="471">
        <f t="shared" ref="BP296:BQ296" si="1862">+BP294/BP$285</f>
        <v>-0.44</v>
      </c>
      <c r="BQ296" s="471">
        <f t="shared" si="1862"/>
        <v>-0.44000000000000006</v>
      </c>
      <c r="BR296" s="944">
        <f t="shared" ref="BR296:BU296" si="1863">+BQ296</f>
        <v>-0.44000000000000006</v>
      </c>
      <c r="BS296" s="944">
        <f t="shared" si="1863"/>
        <v>-0.44000000000000006</v>
      </c>
      <c r="BT296" s="944">
        <f t="shared" si="1863"/>
        <v>-0.44000000000000006</v>
      </c>
      <c r="BU296" s="944">
        <f t="shared" si="1863"/>
        <v>-0.44000000000000006</v>
      </c>
    </row>
    <row r="297" spans="2:73" s="943" customFormat="1" ht="15" hidden="1" customHeight="1">
      <c r="B297" s="943" t="s">
        <v>319</v>
      </c>
      <c r="C297" s="903">
        <v>-166.6</v>
      </c>
      <c r="D297" s="903">
        <v>-180.2</v>
      </c>
      <c r="E297" s="903">
        <v>-163.9</v>
      </c>
      <c r="F297" s="903">
        <v>-232.5</v>
      </c>
      <c r="G297" s="903">
        <v>-171.6</v>
      </c>
      <c r="H297" s="903">
        <v>-179</v>
      </c>
      <c r="I297" s="903">
        <v>-168.7</v>
      </c>
      <c r="J297" s="903">
        <v>-190.7</v>
      </c>
      <c r="K297" s="903">
        <v>-181.1</v>
      </c>
      <c r="L297" s="903">
        <v>-170</v>
      </c>
      <c r="M297" s="903">
        <v>-206.3</v>
      </c>
      <c r="N297" s="903">
        <v>-272.04088770270539</v>
      </c>
      <c r="O297" s="903">
        <v>-184.4305860217512</v>
      </c>
      <c r="P297" s="903">
        <v>-212.75821088706229</v>
      </c>
      <c r="Q297" s="903">
        <v>-154.1</v>
      </c>
      <c r="R297" s="903">
        <v>-267.3</v>
      </c>
      <c r="S297" s="1967">
        <f>-179.1-0.3</f>
        <v>-179.4</v>
      </c>
      <c r="T297" s="903">
        <f>-212.5+0.6</f>
        <v>-211.9</v>
      </c>
      <c r="U297" s="903">
        <f>-227.3-0.9</f>
        <v>-228.20000000000002</v>
      </c>
      <c r="V297" s="903">
        <f>-275.8+1.3</f>
        <v>-274.5</v>
      </c>
      <c r="W297" s="1845">
        <f>+S297*(1+W298)</f>
        <v>-182.988</v>
      </c>
      <c r="X297" s="665">
        <f>+T297*(1+X298)</f>
        <v>-207.66200000000001</v>
      </c>
      <c r="Y297" s="665">
        <f>+U297*(1+Y298)</f>
        <v>-225.91800000000001</v>
      </c>
      <c r="Z297" s="665">
        <f>+V297*(1+Z298)</f>
        <v>-277.245</v>
      </c>
      <c r="AA297" s="665">
        <f>+W297*(1+AA298)</f>
        <v>-186.64776000000001</v>
      </c>
      <c r="AB297" s="665"/>
      <c r="AC297" s="665"/>
      <c r="AD297" s="665"/>
      <c r="AE297" s="665">
        <f t="shared" ref="AE297:AP297" si="1864">+AA297*(1+AE298)</f>
        <v>-190.3807152</v>
      </c>
      <c r="AF297" s="665">
        <f t="shared" si="1864"/>
        <v>0</v>
      </c>
      <c r="AG297" s="665">
        <f t="shared" si="1864"/>
        <v>0</v>
      </c>
      <c r="AH297" s="665">
        <f t="shared" si="1864"/>
        <v>0</v>
      </c>
      <c r="AI297" s="665">
        <f t="shared" si="1864"/>
        <v>-194.188329504</v>
      </c>
      <c r="AJ297" s="665">
        <f t="shared" si="1864"/>
        <v>0</v>
      </c>
      <c r="AK297" s="665">
        <f t="shared" si="1864"/>
        <v>0</v>
      </c>
      <c r="AL297" s="665">
        <f t="shared" si="1864"/>
        <v>0</v>
      </c>
      <c r="AM297" s="1845">
        <f t="shared" si="1864"/>
        <v>-198.07209609408</v>
      </c>
      <c r="AN297" s="665">
        <f t="shared" si="1864"/>
        <v>0</v>
      </c>
      <c r="AO297" s="665">
        <f t="shared" si="1864"/>
        <v>0</v>
      </c>
      <c r="AP297" s="665">
        <f t="shared" si="1864"/>
        <v>0</v>
      </c>
      <c r="AQ297" s="665">
        <f t="shared" ref="AQ297" si="1865">+AM297*(1+AQ298)</f>
        <v>-202.0335380159616</v>
      </c>
      <c r="AR297" s="665">
        <f t="shared" ref="AR297" si="1866">+AN297*(1+AR298)</f>
        <v>0</v>
      </c>
      <c r="AS297" s="665">
        <f t="shared" ref="AS297" si="1867">+AO297*(1+AS298)</f>
        <v>0</v>
      </c>
      <c r="AT297" s="665">
        <f t="shared" ref="AT297" si="1868">+AP297*(1+AT298)</f>
        <v>0</v>
      </c>
      <c r="AU297" s="665">
        <f t="shared" ref="AU297" si="1869">+AQ297*(1+AU298)</f>
        <v>-206.07420877628084</v>
      </c>
      <c r="AV297" s="665">
        <f t="shared" ref="AV297" si="1870">+AR297*(1+AV298)</f>
        <v>0</v>
      </c>
      <c r="AW297" s="665">
        <f t="shared" ref="AW297" si="1871">+AS297*(1+AW298)</f>
        <v>0</v>
      </c>
      <c r="AX297" s="665">
        <f t="shared" ref="AX297" si="1872">+AT297*(1+AX298)</f>
        <v>0</v>
      </c>
      <c r="AY297" s="665"/>
      <c r="AZ297" s="665"/>
      <c r="BA297" s="738"/>
      <c r="BB297" s="665">
        <v>0</v>
      </c>
      <c r="BC297" s="2197"/>
      <c r="BD297" s="738"/>
      <c r="BE297" s="906">
        <f>+SUM(C297:F297)</f>
        <v>-743.19999999999993</v>
      </c>
      <c r="BF297" s="906">
        <f>+SUM(G297:J297)</f>
        <v>-710</v>
      </c>
      <c r="BG297" s="906">
        <f>+SUM(K297:N297)</f>
        <v>-829.44088770270548</v>
      </c>
      <c r="BH297" s="906">
        <f>+SUM(O297:R297)</f>
        <v>-818.58879690881349</v>
      </c>
      <c r="BI297" s="906"/>
      <c r="BJ297" s="2036">
        <f>+SUM(S297:V297)</f>
        <v>-894</v>
      </c>
      <c r="BK297" s="906">
        <f>+SUM(W297:Z297)</f>
        <v>-893.81299999999999</v>
      </c>
      <c r="BL297" s="906">
        <f>+SUM(AA297:AD297)</f>
        <v>-186.64776000000001</v>
      </c>
      <c r="BM297" s="906">
        <f>+SUM(AE297:AH297)</f>
        <v>-190.3807152</v>
      </c>
      <c r="BN297" s="906">
        <f>+SUM(AI297:AL297)</f>
        <v>-194.188329504</v>
      </c>
      <c r="BO297" s="2466">
        <f>+SUM(AM297:AP297)</f>
        <v>-198.07209609408</v>
      </c>
      <c r="BP297" s="906">
        <f>+SUM(AQ297:AT297)</f>
        <v>-202.0335380159616</v>
      </c>
      <c r="BQ297" s="906">
        <f>+SUM(AU297:AX297)</f>
        <v>-206.07420877628084</v>
      </c>
      <c r="BR297" s="665">
        <f t="shared" ref="BR297:BU297" si="1873">+BQ297*(1+BR298)</f>
        <v>-210.19569295180645</v>
      </c>
      <c r="BS297" s="665">
        <f t="shared" si="1873"/>
        <v>-214.39960681084258</v>
      </c>
      <c r="BT297" s="665">
        <f t="shared" si="1873"/>
        <v>-218.68759894705943</v>
      </c>
      <c r="BU297" s="665">
        <f t="shared" si="1873"/>
        <v>-223.06135092600061</v>
      </c>
    </row>
    <row r="298" spans="2:73" s="325" customFormat="1" ht="15" hidden="1" customHeight="1">
      <c r="B298" s="325" t="s">
        <v>316</v>
      </c>
      <c r="C298" s="462" t="str">
        <f>IF(ISNUMBER((C297/#REF!-1)),IF(#REF!=0,"NMF",IF(OR(#REF!*C297&lt;0,C297/#REF!-1&gt;10),"NMF",C297/#REF!-1)),"")</f>
        <v/>
      </c>
      <c r="D298" s="462" t="str">
        <f>IF(ISNUMBER((D297/#REF!-1)),IF(#REF!=0,"NMF",IF(OR(#REF!*D297&lt;0,D297/#REF!-1&gt;10),"NMF",D297/#REF!-1)),"")</f>
        <v/>
      </c>
      <c r="E298" s="462" t="str">
        <f>IF(ISNUMBER((E297/#REF!-1)),IF(#REF!=0,"NMF",IF(OR(#REF!*E297&lt;0,E297/#REF!-1&gt;10),"NMF",E297/#REF!-1)),"")</f>
        <v/>
      </c>
      <c r="F298" s="462" t="str">
        <f>IF(ISNUMBER((F297/A297-1)),IF(A297=0,"NMF",IF(OR(A297*F297&lt;0,F297/A297-1&gt;10),"NMF",F297/A297-1)),"")</f>
        <v/>
      </c>
      <c r="G298" s="471">
        <f t="shared" ref="G298:V298" si="1874">+G297/C297-1</f>
        <v>3.0012004801920789E-2</v>
      </c>
      <c r="H298" s="471">
        <f t="shared" si="1874"/>
        <v>-6.6592674805771024E-3</v>
      </c>
      <c r="I298" s="471">
        <f t="shared" si="1874"/>
        <v>2.9286150091519136E-2</v>
      </c>
      <c r="J298" s="471">
        <f t="shared" si="1874"/>
        <v>-0.17978494623655916</v>
      </c>
      <c r="K298" s="471">
        <f t="shared" si="1874"/>
        <v>5.5361305361305346E-2</v>
      </c>
      <c r="L298" s="471">
        <f t="shared" si="1874"/>
        <v>-5.027932960893855E-2</v>
      </c>
      <c r="M298" s="471">
        <f t="shared" si="1874"/>
        <v>0.22288085358624787</v>
      </c>
      <c r="N298" s="471">
        <f t="shared" si="1874"/>
        <v>0.42653847772787312</v>
      </c>
      <c r="O298" s="471">
        <f t="shared" si="1874"/>
        <v>1.8390867044457249E-2</v>
      </c>
      <c r="P298" s="471">
        <f t="shared" si="1874"/>
        <v>0.25151888757095464</v>
      </c>
      <c r="Q298" s="471">
        <f t="shared" si="1874"/>
        <v>-0.25302956858943293</v>
      </c>
      <c r="R298" s="471">
        <f t="shared" si="1874"/>
        <v>-1.7427114514809161E-2</v>
      </c>
      <c r="S298" s="1034">
        <f t="shared" si="1874"/>
        <v>-2.7276310997341291E-2</v>
      </c>
      <c r="T298" s="471">
        <f t="shared" si="1874"/>
        <v>-4.0337380328783201E-3</v>
      </c>
      <c r="U298" s="471">
        <f t="shared" si="1874"/>
        <v>0.48085658663205733</v>
      </c>
      <c r="V298" s="471">
        <f t="shared" si="1874"/>
        <v>2.6936026936026813E-2</v>
      </c>
      <c r="W298" s="1817">
        <v>0.02</v>
      </c>
      <c r="X298" s="944">
        <v>-0.02</v>
      </c>
      <c r="Y298" s="944">
        <v>-0.01</v>
      </c>
      <c r="Z298" s="944">
        <v>0.01</v>
      </c>
      <c r="AA298" s="944">
        <v>0.02</v>
      </c>
      <c r="AB298" s="944"/>
      <c r="AC298" s="944"/>
      <c r="AD298" s="944"/>
      <c r="AE298" s="944">
        <v>0.02</v>
      </c>
      <c r="AF298" s="944">
        <v>0.02</v>
      </c>
      <c r="AG298" s="944">
        <v>0.02</v>
      </c>
      <c r="AH298" s="944">
        <v>0.02</v>
      </c>
      <c r="AI298" s="944">
        <v>0.02</v>
      </c>
      <c r="AJ298" s="944">
        <v>0.02</v>
      </c>
      <c r="AK298" s="944">
        <v>0.02</v>
      </c>
      <c r="AL298" s="944">
        <v>0.02</v>
      </c>
      <c r="AM298" s="1817">
        <v>0.02</v>
      </c>
      <c r="AN298" s="944">
        <v>0.02</v>
      </c>
      <c r="AO298" s="944">
        <v>0.02</v>
      </c>
      <c r="AP298" s="944">
        <v>0.02</v>
      </c>
      <c r="AQ298" s="944">
        <v>0.02</v>
      </c>
      <c r="AR298" s="944">
        <v>0.02</v>
      </c>
      <c r="AS298" s="944">
        <v>0.02</v>
      </c>
      <c r="AT298" s="944">
        <v>0.02</v>
      </c>
      <c r="AU298" s="944">
        <v>0.02</v>
      </c>
      <c r="AV298" s="944">
        <v>0.02</v>
      </c>
      <c r="AW298" s="944">
        <v>0.02</v>
      </c>
      <c r="AX298" s="944">
        <v>0.02</v>
      </c>
      <c r="AY298" s="944"/>
      <c r="AZ298" s="944"/>
      <c r="BA298" s="72"/>
      <c r="BB298" s="944">
        <v>0.02</v>
      </c>
      <c r="BC298" s="2189"/>
      <c r="BD298" s="72"/>
      <c r="BE298" s="471"/>
      <c r="BF298" s="471">
        <f t="shared" ref="BF298:BQ298" si="1875">+BF297/BE297-1</f>
        <v>-4.4671689989235652E-2</v>
      </c>
      <c r="BG298" s="471">
        <f t="shared" si="1875"/>
        <v>0.16822660239817666</v>
      </c>
      <c r="BH298" s="471">
        <f t="shared" si="1875"/>
        <v>-1.3083621695994418E-2</v>
      </c>
      <c r="BI298" s="471"/>
      <c r="BJ298" s="2027">
        <f>+BJ297/BH297-1</f>
        <v>9.212342433216425E-2</v>
      </c>
      <c r="BK298" s="471">
        <f>+BK297/BJ297-1</f>
        <v>-2.0917225950789486E-4</v>
      </c>
      <c r="BL298" s="471">
        <f t="shared" si="1875"/>
        <v>-0.79117806521050826</v>
      </c>
      <c r="BM298" s="471">
        <f t="shared" si="1875"/>
        <v>2.0000000000000018E-2</v>
      </c>
      <c r="BN298" s="471">
        <f t="shared" si="1875"/>
        <v>2.0000000000000018E-2</v>
      </c>
      <c r="BO298" s="1034">
        <f t="shared" si="1875"/>
        <v>2.0000000000000018E-2</v>
      </c>
      <c r="BP298" s="471">
        <f t="shared" si="1875"/>
        <v>2.0000000000000018E-2</v>
      </c>
      <c r="BQ298" s="471">
        <f t="shared" si="1875"/>
        <v>2.0000000000000018E-2</v>
      </c>
      <c r="BR298" s="944">
        <f t="shared" ref="BR298:BU298" si="1876">+BQ298</f>
        <v>2.0000000000000018E-2</v>
      </c>
      <c r="BS298" s="944">
        <f t="shared" si="1876"/>
        <v>2.0000000000000018E-2</v>
      </c>
      <c r="BT298" s="944">
        <f t="shared" si="1876"/>
        <v>2.0000000000000018E-2</v>
      </c>
      <c r="BU298" s="944">
        <f t="shared" si="1876"/>
        <v>2.0000000000000018E-2</v>
      </c>
    </row>
    <row r="299" spans="2:73" s="325" customFormat="1" ht="15" hidden="1" customHeight="1">
      <c r="B299" s="325" t="s">
        <v>318</v>
      </c>
      <c r="C299" s="471">
        <f t="shared" ref="C299:AA299" si="1877">+C297/C$285</f>
        <v>-0.13404135489580818</v>
      </c>
      <c r="D299" s="471">
        <f t="shared" si="1877"/>
        <v>-0.12790119951735396</v>
      </c>
      <c r="E299" s="471">
        <f t="shared" si="1877"/>
        <v>-0.12032890389839219</v>
      </c>
      <c r="F299" s="471">
        <f t="shared" si="1877"/>
        <v>-0.14717052791492594</v>
      </c>
      <c r="G299" s="471">
        <f t="shared" si="1877"/>
        <v>-0.1529820807702594</v>
      </c>
      <c r="H299" s="471">
        <f t="shared" si="1877"/>
        <v>-0.13006830402557767</v>
      </c>
      <c r="I299" s="471">
        <f t="shared" si="1877"/>
        <v>-0.13330699328328724</v>
      </c>
      <c r="J299" s="471">
        <f t="shared" si="1877"/>
        <v>-0.12133358783482852</v>
      </c>
      <c r="K299" s="471">
        <f t="shared" si="1877"/>
        <v>-0.15626112497671585</v>
      </c>
      <c r="L299" s="471">
        <f t="shared" si="1877"/>
        <v>-0.12641524804265641</v>
      </c>
      <c r="M299" s="471">
        <f t="shared" si="1877"/>
        <v>-0.14761329183073393</v>
      </c>
      <c r="N299" s="471">
        <f t="shared" si="1877"/>
        <v>-0.16255140882062108</v>
      </c>
      <c r="O299" s="471">
        <f t="shared" si="1877"/>
        <v>-0.15785199528351079</v>
      </c>
      <c r="P299" s="471">
        <f t="shared" si="1877"/>
        <v>-0.14829548252077288</v>
      </c>
      <c r="Q299" s="471">
        <f t="shared" si="1877"/>
        <v>-0.10078482668410725</v>
      </c>
      <c r="R299" s="471">
        <f t="shared" si="1877"/>
        <v>-0.14142108883127877</v>
      </c>
      <c r="S299" s="1034">
        <f t="shared" si="1877"/>
        <v>-0.15093387178192832</v>
      </c>
      <c r="T299" s="471">
        <f t="shared" si="1877"/>
        <v>-0.13569415983606559</v>
      </c>
      <c r="U299" s="471">
        <f t="shared" si="1877"/>
        <v>-0.14584265354381032</v>
      </c>
      <c r="V299" s="471">
        <f t="shared" si="1877"/>
        <v>-0.14105858170606372</v>
      </c>
      <c r="W299" s="1034">
        <f t="shared" si="1877"/>
        <v>-0.14018846242243163</v>
      </c>
      <c r="X299" s="471">
        <f t="shared" si="1877"/>
        <v>-0.12324400059253408</v>
      </c>
      <c r="Y299" s="471">
        <f t="shared" si="1877"/>
        <v>-0.11060315284441399</v>
      </c>
      <c r="Z299" s="471">
        <f t="shared" si="1877"/>
        <v>-0.12256631299734748</v>
      </c>
      <c r="AA299" s="471">
        <f t="shared" si="1877"/>
        <v>-0.12699718309859154</v>
      </c>
      <c r="AB299" s="471"/>
      <c r="AC299" s="471"/>
      <c r="AD299" s="471"/>
      <c r="AE299" s="471">
        <f t="shared" ref="AE299:AP299" si="1878">+AE297/AE$285</f>
        <v>-0.12564221800248632</v>
      </c>
      <c r="AF299" s="471">
        <f t="shared" si="1878"/>
        <v>0</v>
      </c>
      <c r="AG299" s="471">
        <f t="shared" si="1878"/>
        <v>0</v>
      </c>
      <c r="AH299" s="471">
        <f t="shared" si="1878"/>
        <v>0</v>
      </c>
      <c r="AI299" s="471">
        <f t="shared" si="1878"/>
        <v>-0.10260613479786712</v>
      </c>
      <c r="AJ299" s="471">
        <f t="shared" si="1878"/>
        <v>0</v>
      </c>
      <c r="AK299" s="471">
        <f t="shared" si="1878"/>
        <v>0</v>
      </c>
      <c r="AL299" s="471">
        <f t="shared" si="1878"/>
        <v>0</v>
      </c>
      <c r="AM299" s="1034">
        <f t="shared" si="1878"/>
        <v>-9.8734205182853252E-2</v>
      </c>
      <c r="AN299" s="471">
        <f t="shared" si="1878"/>
        <v>0</v>
      </c>
      <c r="AO299" s="471">
        <f t="shared" si="1878"/>
        <v>0</v>
      </c>
      <c r="AP299" s="471">
        <f t="shared" si="1878"/>
        <v>0</v>
      </c>
      <c r="AQ299" s="471">
        <f t="shared" ref="AQ299:AT299" si="1879">+AQ297/AQ$285</f>
        <v>-9.500838611934935E-2</v>
      </c>
      <c r="AR299" s="471">
        <f t="shared" si="1879"/>
        <v>0</v>
      </c>
      <c r="AS299" s="471">
        <f t="shared" si="1879"/>
        <v>0</v>
      </c>
      <c r="AT299" s="471">
        <f t="shared" si="1879"/>
        <v>0</v>
      </c>
      <c r="AU299" s="471">
        <f t="shared" ref="AU299:AX299" si="1880">+AU297/AU$285</f>
        <v>-9.1423164001638052E-2</v>
      </c>
      <c r="AV299" s="471">
        <f t="shared" si="1880"/>
        <v>0</v>
      </c>
      <c r="AW299" s="471">
        <f t="shared" si="1880"/>
        <v>0</v>
      </c>
      <c r="AX299" s="471">
        <f t="shared" si="1880"/>
        <v>0</v>
      </c>
      <c r="AY299" s="471"/>
      <c r="AZ299" s="471"/>
      <c r="BA299" s="72"/>
      <c r="BB299" s="471">
        <v>0</v>
      </c>
      <c r="BC299" s="2189"/>
      <c r="BD299" s="72"/>
      <c r="BE299" s="471">
        <f>+BE297/BE$285</f>
        <v>-0.1328637574414073</v>
      </c>
      <c r="BF299" s="471">
        <f>+BF297/BF$285</f>
        <v>-0.13308091694626153</v>
      </c>
      <c r="BG299" s="471">
        <f>+BG297/BG$285</f>
        <v>-0.1487820797630397</v>
      </c>
      <c r="BH299" s="471">
        <f>+BH297/BH$285</f>
        <v>-0.13592925813634693</v>
      </c>
      <c r="BI299" s="471"/>
      <c r="BJ299" s="2027">
        <f t="shared" ref="BJ299:BO299" si="1881">+BJ297/BJ$285</f>
        <v>-0.14279097254388348</v>
      </c>
      <c r="BK299" s="471">
        <f t="shared" si="1881"/>
        <v>-0.12252630150978504</v>
      </c>
      <c r="BL299" s="471">
        <f t="shared" si="1881"/>
        <v>-2.6238884539509431E-2</v>
      </c>
      <c r="BM299" s="471">
        <f t="shared" si="1881"/>
        <v>-2.3424230211093612E-2</v>
      </c>
      <c r="BN299" s="471">
        <f t="shared" si="1881"/>
        <v>-2.1018135553300569E-2</v>
      </c>
      <c r="BO299" s="1034">
        <f t="shared" si="1881"/>
        <v>-2.0224998362609981E-2</v>
      </c>
      <c r="BP299" s="471">
        <f t="shared" ref="BP299:BQ299" si="1882">+BP297/BP$285</f>
        <v>-1.9461790877228474E-2</v>
      </c>
      <c r="BQ299" s="471">
        <f t="shared" si="1882"/>
        <v>-1.8727383674314192E-2</v>
      </c>
      <c r="BR299" s="471">
        <f>+BR297/BR$285</f>
        <v>-1.8020689950755162E-2</v>
      </c>
      <c r="BS299" s="471">
        <f>+BS297/BS$285</f>
        <v>-1.734066391487761E-2</v>
      </c>
      <c r="BT299" s="471">
        <f>+BT297/BT$285</f>
        <v>-1.6686299238844491E-2</v>
      </c>
      <c r="BU299" s="471">
        <f>+BU297/BU$285</f>
        <v>-1.6056627569454134E-2</v>
      </c>
    </row>
    <row r="300" spans="2:73" s="943" customFormat="1" ht="15" hidden="1" customHeight="1">
      <c r="B300" s="943" t="s">
        <v>320</v>
      </c>
      <c r="C300" s="903">
        <v>8.5</v>
      </c>
      <c r="D300" s="903">
        <v>9.6</v>
      </c>
      <c r="E300" s="903">
        <v>37</v>
      </c>
      <c r="F300" s="903">
        <v>11.6</v>
      </c>
      <c r="G300" s="903">
        <v>7.7</v>
      </c>
      <c r="H300" s="903">
        <v>-4.9000000000000004</v>
      </c>
      <c r="I300" s="903">
        <v>7.1</v>
      </c>
      <c r="J300" s="903">
        <v>39.200000000000003</v>
      </c>
      <c r="K300" s="903">
        <v>179.39388248999998</v>
      </c>
      <c r="L300" s="903">
        <v>12.476904112312763</v>
      </c>
      <c r="M300" s="903">
        <v>88.2</v>
      </c>
      <c r="N300" s="903">
        <v>-24.291099310000032</v>
      </c>
      <c r="O300" s="903">
        <v>-7.8678071699999927</v>
      </c>
      <c r="P300" s="903">
        <v>9.2499572000000061</v>
      </c>
      <c r="Q300" s="903">
        <v>23.3</v>
      </c>
      <c r="R300" s="903">
        <v>34.1</v>
      </c>
      <c r="S300" s="1967">
        <v>24.9</v>
      </c>
      <c r="T300" s="903">
        <v>79</v>
      </c>
      <c r="U300" s="903">
        <v>11.2</v>
      </c>
      <c r="V300" s="903">
        <v>24</v>
      </c>
      <c r="W300" s="1846">
        <v>15</v>
      </c>
      <c r="X300" s="945">
        <v>15</v>
      </c>
      <c r="Y300" s="945">
        <v>15</v>
      </c>
      <c r="Z300" s="945">
        <v>15</v>
      </c>
      <c r="AA300" s="945">
        <v>15</v>
      </c>
      <c r="AB300" s="945"/>
      <c r="AC300" s="945"/>
      <c r="AD300" s="945"/>
      <c r="AE300" s="945">
        <v>15</v>
      </c>
      <c r="AF300" s="945">
        <v>15</v>
      </c>
      <c r="AG300" s="945">
        <v>15</v>
      </c>
      <c r="AH300" s="945">
        <v>15</v>
      </c>
      <c r="AI300" s="945">
        <v>15</v>
      </c>
      <c r="AJ300" s="945">
        <v>15</v>
      </c>
      <c r="AK300" s="945">
        <v>15</v>
      </c>
      <c r="AL300" s="945">
        <v>15</v>
      </c>
      <c r="AM300" s="1846">
        <v>15</v>
      </c>
      <c r="AN300" s="945">
        <v>15</v>
      </c>
      <c r="AO300" s="945">
        <v>15</v>
      </c>
      <c r="AP300" s="945">
        <v>15</v>
      </c>
      <c r="AQ300" s="945">
        <v>15</v>
      </c>
      <c r="AR300" s="945">
        <v>15</v>
      </c>
      <c r="AS300" s="945">
        <v>15</v>
      </c>
      <c r="AT300" s="945">
        <v>15</v>
      </c>
      <c r="AU300" s="945">
        <v>15</v>
      </c>
      <c r="AV300" s="945">
        <v>15</v>
      </c>
      <c r="AW300" s="945">
        <v>15</v>
      </c>
      <c r="AX300" s="945">
        <v>15</v>
      </c>
      <c r="AY300" s="945"/>
      <c r="AZ300" s="945"/>
      <c r="BA300" s="738"/>
      <c r="BB300" s="945">
        <v>15</v>
      </c>
      <c r="BC300" s="2197"/>
      <c r="BD300" s="738"/>
      <c r="BE300" s="906">
        <f>+SUM(C300:F300)</f>
        <v>66.7</v>
      </c>
      <c r="BF300" s="906">
        <f>+SUM(G300:J300)</f>
        <v>49.1</v>
      </c>
      <c r="BG300" s="906">
        <f>+SUM(K300:N300)</f>
        <v>255.77968729231273</v>
      </c>
      <c r="BH300" s="906">
        <f>+SUM(O300:R300)</f>
        <v>58.782150030000011</v>
      </c>
      <c r="BI300" s="906"/>
      <c r="BJ300" s="2036">
        <f>+SUM(S300:V300)</f>
        <v>139.10000000000002</v>
      </c>
      <c r="BK300" s="906">
        <f>+SUM(W300:Z300)</f>
        <v>60</v>
      </c>
      <c r="BL300" s="906">
        <f>+SUM(AA300:AD300)</f>
        <v>15</v>
      </c>
      <c r="BM300" s="906">
        <f>+SUM(AE300:AH300)</f>
        <v>60</v>
      </c>
      <c r="BN300" s="906">
        <f>+SUM(AI300:AL300)</f>
        <v>60</v>
      </c>
      <c r="BO300" s="2466">
        <f>+SUM(AM300:AP300)</f>
        <v>60</v>
      </c>
      <c r="BP300" s="906">
        <f>+SUM(AQ300:AT300)</f>
        <v>60</v>
      </c>
      <c r="BQ300" s="906">
        <f>+SUM(AU300:AX300)</f>
        <v>60</v>
      </c>
      <c r="BR300" s="945">
        <f t="shared" ref="BR300:BU300" si="1883">+BQ300</f>
        <v>60</v>
      </c>
      <c r="BS300" s="945">
        <f t="shared" si="1883"/>
        <v>60</v>
      </c>
      <c r="BT300" s="945">
        <f t="shared" si="1883"/>
        <v>60</v>
      </c>
      <c r="BU300" s="945">
        <f t="shared" si="1883"/>
        <v>60</v>
      </c>
    </row>
    <row r="301" spans="2:73" s="943" customFormat="1" ht="15" hidden="1" customHeight="1">
      <c r="B301" s="943" t="s">
        <v>322</v>
      </c>
      <c r="C301" s="904">
        <f t="shared" ref="C301:AA301" si="1884">+C297+C294+C300</f>
        <v>-633.70000000000005</v>
      </c>
      <c r="D301" s="904">
        <f t="shared" si="1884"/>
        <v>-701.30000000000007</v>
      </c>
      <c r="E301" s="904">
        <f t="shared" si="1884"/>
        <v>-642.29999999999995</v>
      </c>
      <c r="F301" s="904">
        <f t="shared" si="1884"/>
        <v>-780</v>
      </c>
      <c r="G301" s="904">
        <f t="shared" si="1884"/>
        <v>-641</v>
      </c>
      <c r="H301" s="904">
        <f t="shared" si="1884"/>
        <v>-711.5</v>
      </c>
      <c r="I301" s="904">
        <f t="shared" si="1884"/>
        <v>-701.4</v>
      </c>
      <c r="J301" s="904">
        <f t="shared" si="1884"/>
        <v>-751</v>
      </c>
      <c r="K301" s="904">
        <f t="shared" si="1884"/>
        <v>-523.56419502674612</v>
      </c>
      <c r="L301" s="904">
        <f t="shared" si="1884"/>
        <v>-724.01938356776998</v>
      </c>
      <c r="M301" s="904">
        <f t="shared" si="1884"/>
        <v>-656.17976829995769</v>
      </c>
      <c r="N301" s="904">
        <f t="shared" si="1884"/>
        <v>-907.07194901176376</v>
      </c>
      <c r="O301" s="904">
        <f t="shared" si="1884"/>
        <v>-687.0510958317642</v>
      </c>
      <c r="P301" s="904">
        <f t="shared" si="1884"/>
        <v>-773.36001700892984</v>
      </c>
      <c r="Q301" s="904">
        <f t="shared" si="1884"/>
        <v>-787.40000000000009</v>
      </c>
      <c r="R301" s="904">
        <f t="shared" si="1884"/>
        <v>-967.6</v>
      </c>
      <c r="S301" s="1038">
        <f t="shared" si="1884"/>
        <v>-669.9</v>
      </c>
      <c r="T301" s="904">
        <f t="shared" si="1884"/>
        <v>-752.8</v>
      </c>
      <c r="U301" s="904">
        <f t="shared" si="1884"/>
        <v>-884</v>
      </c>
      <c r="V301" s="904">
        <f t="shared" si="1884"/>
        <v>-1013</v>
      </c>
      <c r="W301" s="1038">
        <f t="shared" si="1884"/>
        <v>-733.9913821302373</v>
      </c>
      <c r="X301" s="904">
        <f t="shared" si="1884"/>
        <v>-861.53409999999997</v>
      </c>
      <c r="Y301" s="904">
        <f t="shared" si="1884"/>
        <v>-1081.6371154853964</v>
      </c>
      <c r="Z301" s="904">
        <f t="shared" si="1884"/>
        <v>-1148.5630883864337</v>
      </c>
      <c r="AA301" s="904">
        <f t="shared" si="1884"/>
        <v>-808.93816888440188</v>
      </c>
      <c r="AB301" s="904"/>
      <c r="AC301" s="904"/>
      <c r="AD301" s="904"/>
      <c r="AE301" s="904">
        <f t="shared" ref="AE301:AP301" si="1885">+AE297+AE294+AE300</f>
        <v>-832.42712675981807</v>
      </c>
      <c r="AF301" s="904">
        <f t="shared" si="1885"/>
        <v>-921.57991500000003</v>
      </c>
      <c r="AG301" s="904">
        <f t="shared" si="1885"/>
        <v>15</v>
      </c>
      <c r="AH301" s="904">
        <f t="shared" si="1885"/>
        <v>-1083.3352723200001</v>
      </c>
      <c r="AI301" s="904">
        <f t="shared" si="1885"/>
        <v>-1011.9149997960001</v>
      </c>
      <c r="AJ301" s="904">
        <f t="shared" si="1885"/>
        <v>-1035.3847811160001</v>
      </c>
      <c r="AK301" s="904">
        <f t="shared" si="1885"/>
        <v>-974.29360389859994</v>
      </c>
      <c r="AL301" s="904">
        <f t="shared" si="1885"/>
        <v>-1177.7921057395201</v>
      </c>
      <c r="AM301" s="1038">
        <f t="shared" si="1885"/>
        <v>-1065.7623666036</v>
      </c>
      <c r="AN301" s="904">
        <f t="shared" si="1885"/>
        <v>-1098.4078679829602</v>
      </c>
      <c r="AO301" s="904">
        <f t="shared" si="1885"/>
        <v>-1033.6512201325161</v>
      </c>
      <c r="AP301" s="904">
        <f t="shared" si="1885"/>
        <v>-1249.3596320838913</v>
      </c>
      <c r="AQ301" s="904">
        <f t="shared" ref="AQ301:AT301" si="1886">+AQ297+AQ294+AQ300</f>
        <v>-1122.685224756053</v>
      </c>
      <c r="AR301" s="904">
        <f t="shared" si="1886"/>
        <v>-1165.2123400619378</v>
      </c>
      <c r="AS301" s="904">
        <f t="shared" si="1886"/>
        <v>-1096.5702933404671</v>
      </c>
      <c r="AT301" s="904">
        <f t="shared" si="1886"/>
        <v>-1325.2212100089248</v>
      </c>
      <c r="AU301" s="904">
        <f t="shared" ref="AU301:AX301" si="1887">+AU297+AU294+AU300</f>
        <v>-1182.8649967207778</v>
      </c>
      <c r="AV301" s="904">
        <f t="shared" si="1887"/>
        <v>-1236.0250804656541</v>
      </c>
      <c r="AW301" s="904">
        <f t="shared" si="1887"/>
        <v>-1163.2645109408952</v>
      </c>
      <c r="AX301" s="904">
        <f t="shared" si="1887"/>
        <v>-1405.6344826094605</v>
      </c>
      <c r="AY301" s="904"/>
      <c r="AZ301" s="904"/>
      <c r="BA301" s="738"/>
      <c r="BB301" s="904">
        <v>-1325.2212100089248</v>
      </c>
      <c r="BC301" s="2197"/>
      <c r="BD301" s="738"/>
      <c r="BE301" s="906">
        <f>+SUM(C301:F301)</f>
        <v>-2757.3</v>
      </c>
      <c r="BF301" s="906">
        <f>+SUM(G301:J301)</f>
        <v>-2804.9</v>
      </c>
      <c r="BG301" s="906">
        <f>+SUM(K301:N301)</f>
        <v>-2810.8352959062377</v>
      </c>
      <c r="BH301" s="906">
        <f>+SUM(O301:R301)</f>
        <v>-3215.4111128406939</v>
      </c>
      <c r="BI301" s="906"/>
      <c r="BJ301" s="2036">
        <f>+SUM(S301:V301)</f>
        <v>-3319.7</v>
      </c>
      <c r="BK301" s="906">
        <f>+SUM(W301:Z301)</f>
        <v>-3825.7256860020675</v>
      </c>
      <c r="BL301" s="906">
        <f>+SUM(AA301:AD301)</f>
        <v>-808.93816888440188</v>
      </c>
      <c r="BM301" s="906">
        <f>+SUM(AE301:AH301)</f>
        <v>-2822.3423140798182</v>
      </c>
      <c r="BN301" s="906">
        <f>+SUM(AI301:AL301)</f>
        <v>-4199.3854905501203</v>
      </c>
      <c r="BO301" s="2466">
        <f>+SUM(AM301:AP301)</f>
        <v>-4447.1810868029679</v>
      </c>
      <c r="BP301" s="906">
        <f>+SUM(AQ301:AT301)</f>
        <v>-4709.6890681673822</v>
      </c>
      <c r="BQ301" s="906">
        <f>+SUM(AU301:AX301)</f>
        <v>-4987.7890707367878</v>
      </c>
      <c r="BR301" s="904">
        <f t="shared" ref="BR301:BU301" si="1888">+BR297+BR294+BR300</f>
        <v>-5282.4134466299447</v>
      </c>
      <c r="BS301" s="904">
        <f t="shared" si="1888"/>
        <v>-5594.5504257096691</v>
      </c>
      <c r="BT301" s="904">
        <f t="shared" si="1888"/>
        <v>-5925.2474669798148</v>
      </c>
      <c r="BU301" s="904">
        <f t="shared" si="1888"/>
        <v>-6275.6148110407212</v>
      </c>
    </row>
    <row r="302" spans="2:73" s="325" customFormat="1" ht="15" hidden="1" customHeight="1">
      <c r="B302" s="325" t="s">
        <v>316</v>
      </c>
      <c r="C302" s="462" t="str">
        <f>IF(ISNUMBER((C301/#REF!-1)),IF(#REF!=0,"NMF",IF(OR(#REF!*C301&lt;0,C301/#REF!-1&gt;10),"NMF",C301/#REF!-1)),"")</f>
        <v/>
      </c>
      <c r="D302" s="462" t="str">
        <f>IF(ISNUMBER((D301/#REF!-1)),IF(#REF!=0,"NMF",IF(OR(#REF!*D301&lt;0,D301/#REF!-1&gt;10),"NMF",D301/#REF!-1)),"")</f>
        <v/>
      </c>
      <c r="E302" s="462" t="str">
        <f>IF(ISNUMBER((E301/#REF!-1)),IF(#REF!=0,"NMF",IF(OR(#REF!*E301&lt;0,E301/#REF!-1&gt;10),"NMF",E301/#REF!-1)),"")</f>
        <v/>
      </c>
      <c r="F302" s="462" t="str">
        <f>IF(ISNUMBER((F301/A301-1)),IF(A301=0,"NMF",IF(OR(A301*F301&lt;0,F301/A301-1&gt;10),"NMF",F301/A301-1)),"")</f>
        <v/>
      </c>
      <c r="G302" s="471">
        <f t="shared" ref="G302:AA302" si="1889">+G301/C301-1</f>
        <v>1.1519646520435467E-2</v>
      </c>
      <c r="H302" s="471">
        <f t="shared" si="1889"/>
        <v>1.4544417510337748E-2</v>
      </c>
      <c r="I302" s="471">
        <f t="shared" si="1889"/>
        <v>9.2013078000934279E-2</v>
      </c>
      <c r="J302" s="471">
        <f t="shared" si="1889"/>
        <v>-3.7179487179487158E-2</v>
      </c>
      <c r="K302" s="471">
        <f t="shared" si="1889"/>
        <v>-0.18320718404563785</v>
      </c>
      <c r="L302" s="471">
        <f t="shared" si="1889"/>
        <v>1.7595760460674681E-2</v>
      </c>
      <c r="M302" s="471">
        <f t="shared" si="1889"/>
        <v>-6.4471388223613202E-2</v>
      </c>
      <c r="N302" s="471">
        <f t="shared" si="1889"/>
        <v>0.20781884022871333</v>
      </c>
      <c r="O302" s="471">
        <f t="shared" si="1889"/>
        <v>0.31225760347623921</v>
      </c>
      <c r="P302" s="471">
        <f t="shared" si="1889"/>
        <v>6.814822166503709E-2</v>
      </c>
      <c r="Q302" s="471">
        <f t="shared" si="1889"/>
        <v>0.19997604016352133</v>
      </c>
      <c r="R302" s="471">
        <f t="shared" si="1889"/>
        <v>6.6729051707728804E-2</v>
      </c>
      <c r="S302" s="1034">
        <f t="shared" si="1889"/>
        <v>-2.496334833874414E-2</v>
      </c>
      <c r="T302" s="471">
        <f t="shared" si="1889"/>
        <v>-2.6585311571250325E-2</v>
      </c>
      <c r="U302" s="471">
        <f t="shared" si="1889"/>
        <v>0.12268224536449068</v>
      </c>
      <c r="V302" s="471">
        <f t="shared" si="1889"/>
        <v>4.692021496486154E-2</v>
      </c>
      <c r="W302" s="1034">
        <f t="shared" si="1889"/>
        <v>9.5673058859885529E-2</v>
      </c>
      <c r="X302" s="471">
        <f t="shared" si="1889"/>
        <v>0.14443955897980865</v>
      </c>
      <c r="Y302" s="471">
        <f t="shared" si="1889"/>
        <v>0.22357139760791456</v>
      </c>
      <c r="Z302" s="471">
        <f t="shared" si="1889"/>
        <v>0.13382338438937191</v>
      </c>
      <c r="AA302" s="471">
        <f t="shared" si="1889"/>
        <v>0.10210853775510165</v>
      </c>
      <c r="AB302" s="471"/>
      <c r="AC302" s="471"/>
      <c r="AD302" s="471"/>
      <c r="AE302" s="471">
        <f t="shared" ref="AE302:AP302" si="1890">+AE301/AA301-1</f>
        <v>2.9036777814316128E-2</v>
      </c>
      <c r="AF302" s="471" t="e">
        <f t="shared" si="1890"/>
        <v>#DIV/0!</v>
      </c>
      <c r="AG302" s="471" t="e">
        <f t="shared" si="1890"/>
        <v>#DIV/0!</v>
      </c>
      <c r="AH302" s="471" t="e">
        <f t="shared" si="1890"/>
        <v>#DIV/0!</v>
      </c>
      <c r="AI302" s="471">
        <f t="shared" si="1890"/>
        <v>0.21561992307342237</v>
      </c>
      <c r="AJ302" s="471">
        <f t="shared" si="1890"/>
        <v>0.12348887412113374</v>
      </c>
      <c r="AK302" s="471">
        <f t="shared" si="1890"/>
        <v>-65.952906926573334</v>
      </c>
      <c r="AL302" s="471">
        <f t="shared" si="1890"/>
        <v>8.7190767099494026E-2</v>
      </c>
      <c r="AM302" s="1034">
        <f t="shared" si="1890"/>
        <v>5.3213329991605329E-2</v>
      </c>
      <c r="AN302" s="471">
        <f t="shared" si="1890"/>
        <v>6.086924205997124E-2</v>
      </c>
      <c r="AO302" s="471">
        <f t="shared" si="1890"/>
        <v>6.0923746185337579E-2</v>
      </c>
      <c r="AP302" s="471">
        <f t="shared" si="1890"/>
        <v>6.076414164742161E-2</v>
      </c>
      <c r="AQ302" s="471">
        <f t="shared" ref="AQ302" si="1891">+AQ301/AM301-1</f>
        <v>5.3410459907546226E-2</v>
      </c>
      <c r="AR302" s="471">
        <f t="shared" ref="AR302" si="1892">+AR301/AN301-1</f>
        <v>6.0819367765138743E-2</v>
      </c>
      <c r="AS302" s="471">
        <f t="shared" ref="AS302" si="1893">+AS301/AO301-1</f>
        <v>6.0870699886451662E-2</v>
      </c>
      <c r="AT302" s="471">
        <f t="shared" ref="AT302" si="1894">+AT301/AP301-1</f>
        <v>6.072036904097744E-2</v>
      </c>
      <c r="AU302" s="471">
        <f t="shared" ref="AU302" si="1895">+AU301/AQ301-1</f>
        <v>5.3603423860682842E-2</v>
      </c>
      <c r="AV302" s="471">
        <f t="shared" ref="AV302" si="1896">+AV301/AR301-1</f>
        <v>6.077239140803492E-2</v>
      </c>
      <c r="AW302" s="471">
        <f t="shared" ref="AW302" si="1897">+AW301/AS301-1</f>
        <v>6.0820740818409824E-2</v>
      </c>
      <c r="AX302" s="471">
        <f t="shared" ref="AX302" si="1898">+AX301/AT301-1</f>
        <v>6.0679131901302918E-2</v>
      </c>
      <c r="AY302" s="471"/>
      <c r="AZ302" s="471"/>
      <c r="BA302" s="72"/>
      <c r="BB302" s="471">
        <v>6.072036904097744E-2</v>
      </c>
      <c r="BC302" s="2189"/>
      <c r="BD302" s="72"/>
      <c r="BE302" s="471"/>
      <c r="BF302" s="471">
        <f t="shared" ref="BF302:BU302" si="1899">+BF301/BE301-1</f>
        <v>1.7263264788017318E-2</v>
      </c>
      <c r="BG302" s="471">
        <f t="shared" si="1899"/>
        <v>2.1160454583897259E-3</v>
      </c>
      <c r="BH302" s="471">
        <f t="shared" si="1899"/>
        <v>0.14393437336000781</v>
      </c>
      <c r="BI302" s="471"/>
      <c r="BJ302" s="2027">
        <f>+BJ301/BH301-1</f>
        <v>3.2434075612549185E-2</v>
      </c>
      <c r="BK302" s="471">
        <f>+BK301/BJ301-1</f>
        <v>0.15243114920085188</v>
      </c>
      <c r="BL302" s="471">
        <f t="shared" si="1899"/>
        <v>-0.78855301313311021</v>
      </c>
      <c r="BM302" s="471">
        <f t="shared" si="1899"/>
        <v>2.4889468968587312</v>
      </c>
      <c r="BN302" s="471">
        <f t="shared" si="1899"/>
        <v>0.48790792300446584</v>
      </c>
      <c r="BO302" s="1034">
        <f t="shared" si="1899"/>
        <v>5.9007584993200135E-2</v>
      </c>
      <c r="BP302" s="471">
        <f t="shared" si="1899"/>
        <v>5.9027949669827384E-2</v>
      </c>
      <c r="BQ302" s="471">
        <f t="shared" si="1899"/>
        <v>5.9048484633321907E-2</v>
      </c>
      <c r="BR302" s="471">
        <f t="shared" si="1899"/>
        <v>5.9069132979521877E-2</v>
      </c>
      <c r="BS302" s="471">
        <f t="shared" si="1899"/>
        <v>5.9089842594365782E-2</v>
      </c>
      <c r="BT302" s="471">
        <f t="shared" si="1899"/>
        <v>5.9110565837503737E-2</v>
      </c>
      <c r="BU302" s="471">
        <f t="shared" si="1899"/>
        <v>5.9131259245024159E-2</v>
      </c>
    </row>
    <row r="303" spans="2:73" s="325" customFormat="1" ht="15" hidden="1" customHeight="1">
      <c r="B303" s="325" t="s">
        <v>318</v>
      </c>
      <c r="C303" s="471">
        <f t="shared" ref="C303:AA303" si="1900">+C301/C$285</f>
        <v>-0.50985598197763293</v>
      </c>
      <c r="D303" s="471">
        <f t="shared" si="1900"/>
        <v>-0.49776421321598413</v>
      </c>
      <c r="E303" s="471">
        <f t="shared" si="1900"/>
        <v>-0.47155128111005068</v>
      </c>
      <c r="F303" s="471">
        <f t="shared" si="1900"/>
        <v>-0.49373338397265476</v>
      </c>
      <c r="G303" s="471">
        <f t="shared" si="1900"/>
        <v>-0.57145404297049118</v>
      </c>
      <c r="H303" s="471">
        <f t="shared" si="1900"/>
        <v>-0.51700334253742186</v>
      </c>
      <c r="I303" s="471">
        <f t="shared" si="1900"/>
        <v>-0.55424733306993279</v>
      </c>
      <c r="J303" s="471">
        <f t="shared" si="1900"/>
        <v>-0.47782655723102374</v>
      </c>
      <c r="K303" s="471">
        <f t="shared" si="1900"/>
        <v>-0.45175444567867484</v>
      </c>
      <c r="L303" s="471">
        <f t="shared" si="1900"/>
        <v>-0.53839464683182847</v>
      </c>
      <c r="M303" s="471">
        <f t="shared" si="1900"/>
        <v>-0.46951456922678148</v>
      </c>
      <c r="N303" s="471">
        <f t="shared" si="1900"/>
        <v>-0.54199875782886753</v>
      </c>
      <c r="O303" s="471">
        <f t="shared" si="1900"/>
        <v>-0.58803904860973555</v>
      </c>
      <c r="P303" s="471">
        <f t="shared" si="1900"/>
        <v>-0.53904287127837636</v>
      </c>
      <c r="Q303" s="471">
        <f t="shared" si="1900"/>
        <v>-0.51497710922171358</v>
      </c>
      <c r="R303" s="471">
        <f t="shared" si="1900"/>
        <v>-0.51193058568329719</v>
      </c>
      <c r="S303" s="1034">
        <f t="shared" si="1900"/>
        <v>-0.56360424028268552</v>
      </c>
      <c r="T303" s="471">
        <f t="shared" si="1900"/>
        <v>-0.48206967213114754</v>
      </c>
      <c r="U303" s="471">
        <f t="shared" si="1900"/>
        <v>-0.56496452994184188</v>
      </c>
      <c r="V303" s="471">
        <f t="shared" si="1900"/>
        <v>-0.52055498458376159</v>
      </c>
      <c r="W303" s="1034">
        <f t="shared" si="1900"/>
        <v>-0.5623162354479716</v>
      </c>
      <c r="X303" s="471">
        <f t="shared" si="1900"/>
        <v>-0.51130639756377338</v>
      </c>
      <c r="Y303" s="471">
        <f t="shared" si="1900"/>
        <v>-0.52953936917918165</v>
      </c>
      <c r="Z303" s="471">
        <f t="shared" si="1900"/>
        <v>-0.50776440689055424</v>
      </c>
      <c r="AA303" s="471">
        <f t="shared" si="1900"/>
        <v>-0.55041040272463893</v>
      </c>
      <c r="AB303" s="471"/>
      <c r="AC303" s="471"/>
      <c r="AD303" s="471"/>
      <c r="AE303" s="471">
        <f t="shared" ref="AE303:AP303" si="1901">+AE301/AE$285</f>
        <v>-0.54936231551429937</v>
      </c>
      <c r="AF303" s="471">
        <f t="shared" si="1901"/>
        <v>-0.44279292680539706</v>
      </c>
      <c r="AG303" s="471">
        <f t="shared" si="1901"/>
        <v>7.3719267680088163E-3</v>
      </c>
      <c r="AH303" s="471">
        <f t="shared" si="1901"/>
        <v>-0.43399090590429745</v>
      </c>
      <c r="AI303" s="471">
        <f t="shared" si="1901"/>
        <v>-0.53468036487184123</v>
      </c>
      <c r="AJ303" s="471">
        <f t="shared" si="1901"/>
        <v>-0.43371658832205501</v>
      </c>
      <c r="AK303" s="471">
        <f t="shared" si="1901"/>
        <v>-0.4333285730606255</v>
      </c>
      <c r="AL303" s="471">
        <f t="shared" si="1901"/>
        <v>-0.43446676418443592</v>
      </c>
      <c r="AM303" s="1034">
        <f t="shared" si="1901"/>
        <v>-0.53125706374320614</v>
      </c>
      <c r="AN303" s="471">
        <f t="shared" si="1901"/>
        <v>-0.43407225313401415</v>
      </c>
      <c r="AO303" s="471">
        <f t="shared" si="1901"/>
        <v>-0.43370620100059015</v>
      </c>
      <c r="AP303" s="471">
        <f t="shared" si="1901"/>
        <v>-0.43477996621173198</v>
      </c>
      <c r="AQ303" s="471">
        <f t="shared" ref="AQ303:AT303" si="1902">+AQ301/AQ$285</f>
        <v>-0.52795447910081439</v>
      </c>
      <c r="AR303" s="471">
        <f t="shared" si="1902"/>
        <v>-0.43440778597548502</v>
      </c>
      <c r="AS303" s="471">
        <f t="shared" si="1902"/>
        <v>-0.43406245377414165</v>
      </c>
      <c r="AT303" s="471">
        <f t="shared" si="1902"/>
        <v>-0.43507543982238867</v>
      </c>
      <c r="AU303" s="471">
        <f t="shared" ref="AU303:AX303" si="1903">+AU301/AU$285</f>
        <v>-0.5247685347388692</v>
      </c>
      <c r="AV303" s="471">
        <f t="shared" si="1903"/>
        <v>-0.43472432639196701</v>
      </c>
      <c r="AW303" s="471">
        <f t="shared" si="1903"/>
        <v>-0.43439854129636002</v>
      </c>
      <c r="AX303" s="471">
        <f t="shared" si="1903"/>
        <v>-0.43535418851168745</v>
      </c>
      <c r="AY303" s="471"/>
      <c r="AZ303" s="471"/>
      <c r="BA303" s="72"/>
      <c r="BB303" s="471">
        <v>-0.43507543982238867</v>
      </c>
      <c r="BC303" s="2189"/>
      <c r="BD303" s="72"/>
      <c r="BE303" s="471">
        <f>+BE301/BE$285</f>
        <v>-0.49292954573895637</v>
      </c>
      <c r="BF303" s="471">
        <f>+BF301/BF$285</f>
        <v>-0.52574459710220989</v>
      </c>
      <c r="BG303" s="471">
        <f>+BG301/BG$285</f>
        <v>-0.50419737849502333</v>
      </c>
      <c r="BH303" s="471">
        <f>+BH301/BH$285</f>
        <v>-0.53392918254229216</v>
      </c>
      <c r="BI303" s="471"/>
      <c r="BJ303" s="2027">
        <f t="shared" ref="BJ303:BO303" si="1904">+BJ301/BJ$285</f>
        <v>-0.53022728361737126</v>
      </c>
      <c r="BK303" s="471">
        <f t="shared" si="1904"/>
        <v>-0.52444081580466884</v>
      </c>
      <c r="BL303" s="471">
        <f t="shared" si="1904"/>
        <v>-0.11372027830904588</v>
      </c>
      <c r="BM303" s="471">
        <f t="shared" si="1904"/>
        <v>-0.34725784084834832</v>
      </c>
      <c r="BN303" s="471">
        <f t="shared" si="1904"/>
        <v>-0.45452398558857748</v>
      </c>
      <c r="BO303" s="1034">
        <f t="shared" si="1904"/>
        <v>-0.45409844179211656</v>
      </c>
      <c r="BP303" s="471">
        <f t="shared" ref="BP303:BQ303" si="1905">+BP301/BP$285</f>
        <v>-0.45368202052770634</v>
      </c>
      <c r="BQ303" s="471">
        <f t="shared" si="1905"/>
        <v>-0.45327477013702921</v>
      </c>
      <c r="BR303" s="471">
        <f>+BR301/BR$285</f>
        <v>-0.45287671491558068</v>
      </c>
      <c r="BS303" s="471">
        <f>+BS301/BS$285</f>
        <v>-0.45248785727792057</v>
      </c>
      <c r="BT303" s="471">
        <f>+BT301/BT$285</f>
        <v>-0.45210817977001705</v>
      </c>
      <c r="BU303" s="471">
        <f>+BU301/BU$285</f>
        <v>-0.45173764693848484</v>
      </c>
    </row>
    <row r="304" spans="2:73" s="325" customFormat="1" ht="15" hidden="1" customHeight="1">
      <c r="C304" s="462"/>
      <c r="D304" s="462"/>
      <c r="E304" s="462"/>
      <c r="F304" s="462"/>
      <c r="G304" s="462"/>
      <c r="H304" s="462"/>
      <c r="I304" s="462"/>
      <c r="J304" s="462"/>
      <c r="K304" s="462"/>
      <c r="L304" s="462"/>
      <c r="M304" s="462"/>
      <c r="N304" s="462"/>
      <c r="O304" s="462"/>
      <c r="P304" s="462"/>
      <c r="Q304" s="462"/>
      <c r="R304" s="462"/>
      <c r="S304" s="1039"/>
      <c r="T304" s="462"/>
      <c r="U304" s="462"/>
      <c r="V304" s="462"/>
      <c r="W304" s="1039"/>
      <c r="X304" s="462"/>
      <c r="Y304" s="462"/>
      <c r="Z304" s="462"/>
      <c r="AA304" s="462"/>
      <c r="AB304" s="462"/>
      <c r="AC304" s="462"/>
      <c r="AD304" s="462"/>
      <c r="AE304" s="462"/>
      <c r="AF304" s="462"/>
      <c r="AG304" s="462"/>
      <c r="AH304" s="462"/>
      <c r="AI304" s="462"/>
      <c r="AJ304" s="462"/>
      <c r="AK304" s="462"/>
      <c r="AL304" s="462"/>
      <c r="AM304" s="1039"/>
      <c r="AN304" s="462"/>
      <c r="AO304" s="462"/>
      <c r="AP304" s="462"/>
      <c r="AQ304" s="462"/>
      <c r="AR304" s="462"/>
      <c r="AS304" s="462"/>
      <c r="AT304" s="462"/>
      <c r="AU304" s="462"/>
      <c r="AV304" s="462"/>
      <c r="AW304" s="462"/>
      <c r="AX304" s="462"/>
      <c r="AY304" s="462"/>
      <c r="AZ304" s="462"/>
      <c r="BA304" s="72"/>
      <c r="BB304" s="462"/>
      <c r="BC304" s="2189"/>
      <c r="BD304" s="72"/>
      <c r="BE304" s="337"/>
      <c r="BF304" s="337"/>
      <c r="BG304" s="337"/>
      <c r="BH304" s="337"/>
      <c r="BI304" s="337"/>
      <c r="BJ304" s="2022"/>
      <c r="BK304" s="337"/>
      <c r="BL304" s="337"/>
      <c r="BM304" s="337"/>
      <c r="BN304" s="337"/>
      <c r="BO304" s="1966"/>
      <c r="BP304" s="337"/>
      <c r="BQ304" s="337"/>
      <c r="BR304" s="462"/>
      <c r="BS304" s="462"/>
      <c r="BT304" s="462"/>
      <c r="BU304" s="462"/>
    </row>
    <row r="305" spans="1:73" s="325" customFormat="1" ht="15" hidden="1" customHeight="1">
      <c r="C305" s="462"/>
      <c r="D305" s="462"/>
      <c r="E305" s="462"/>
      <c r="F305" s="462"/>
      <c r="G305" s="462"/>
      <c r="H305" s="462"/>
      <c r="I305" s="462"/>
      <c r="J305" s="462"/>
      <c r="K305" s="462"/>
      <c r="L305" s="462"/>
      <c r="M305" s="462"/>
      <c r="N305" s="462"/>
      <c r="O305" s="462"/>
      <c r="P305" s="462"/>
      <c r="Q305" s="462"/>
      <c r="R305" s="462"/>
      <c r="S305" s="1039"/>
      <c r="T305" s="462"/>
      <c r="U305" s="462"/>
      <c r="V305" s="462"/>
      <c r="W305" s="1039"/>
      <c r="X305" s="462"/>
      <c r="Y305" s="462"/>
      <c r="Z305" s="462"/>
      <c r="AA305" s="462"/>
      <c r="AB305" s="462"/>
      <c r="AC305" s="462"/>
      <c r="AD305" s="462"/>
      <c r="AE305" s="462"/>
      <c r="AF305" s="462"/>
      <c r="AG305" s="462"/>
      <c r="AH305" s="462"/>
      <c r="AI305" s="462"/>
      <c r="AJ305" s="462"/>
      <c r="AK305" s="462"/>
      <c r="AL305" s="462"/>
      <c r="AM305" s="1039"/>
      <c r="AN305" s="462"/>
      <c r="AO305" s="462"/>
      <c r="AP305" s="462"/>
      <c r="AQ305" s="462"/>
      <c r="AR305" s="462"/>
      <c r="AS305" s="462"/>
      <c r="AT305" s="462"/>
      <c r="AU305" s="462"/>
      <c r="AV305" s="462"/>
      <c r="AW305" s="462"/>
      <c r="AX305" s="462"/>
      <c r="AY305" s="462"/>
      <c r="AZ305" s="462"/>
      <c r="BA305" s="72"/>
      <c r="BB305" s="462"/>
      <c r="BC305" s="2189"/>
      <c r="BD305" s="72"/>
      <c r="BE305" s="337"/>
      <c r="BF305" s="337"/>
      <c r="BG305" s="337"/>
      <c r="BH305" s="337"/>
      <c r="BI305" s="337"/>
      <c r="BJ305" s="2022"/>
      <c r="BK305" s="337"/>
      <c r="BL305" s="337"/>
      <c r="BM305" s="337"/>
      <c r="BN305" s="337"/>
      <c r="BO305" s="1966"/>
      <c r="BP305" s="337"/>
      <c r="BQ305" s="337"/>
      <c r="BR305" s="462"/>
      <c r="BS305" s="462"/>
      <c r="BT305" s="462"/>
      <c r="BU305" s="462"/>
    </row>
    <row r="306" spans="1:73" s="484" customFormat="1" ht="15" hidden="1" customHeight="1">
      <c r="A306" s="483"/>
      <c r="B306" s="484" t="s">
        <v>323</v>
      </c>
      <c r="C306" s="485">
        <f t="shared" ref="C306:AA306" si="1906">+C290+C301</f>
        <v>222.69999999999993</v>
      </c>
      <c r="D306" s="485">
        <f t="shared" si="1906"/>
        <v>262.29999999999995</v>
      </c>
      <c r="E306" s="485">
        <f t="shared" si="1906"/>
        <v>280.90000000000009</v>
      </c>
      <c r="F306" s="485">
        <f t="shared" si="1906"/>
        <v>292.20000000000005</v>
      </c>
      <c r="G306" s="485">
        <f t="shared" si="1906"/>
        <v>107.10000000000002</v>
      </c>
      <c r="H306" s="485">
        <f t="shared" si="1906"/>
        <v>220.70000000000005</v>
      </c>
      <c r="I306" s="485">
        <f t="shared" si="1906"/>
        <v>168.20000000000005</v>
      </c>
      <c r="J306" s="485">
        <f t="shared" si="1906"/>
        <v>308.29999999999995</v>
      </c>
      <c r="K306" s="485">
        <f t="shared" si="1906"/>
        <v>277.13839830812344</v>
      </c>
      <c r="L306" s="485">
        <f t="shared" si="1906"/>
        <v>204.81820018237988</v>
      </c>
      <c r="M306" s="485">
        <f t="shared" si="1906"/>
        <v>312.23663279311097</v>
      </c>
      <c r="N306" s="485">
        <f t="shared" si="1906"/>
        <v>219.7786589747659</v>
      </c>
      <c r="O306" s="485">
        <f t="shared" si="1906"/>
        <v>126.85311826016891</v>
      </c>
      <c r="P306" s="485">
        <f t="shared" si="1906"/>
        <v>186.95820394785017</v>
      </c>
      <c r="Q306" s="485">
        <f t="shared" si="1906"/>
        <v>287</v>
      </c>
      <c r="R306" s="485">
        <f t="shared" si="1906"/>
        <v>310.19999999999993</v>
      </c>
      <c r="S306" s="1040">
        <f t="shared" si="1906"/>
        <v>142</v>
      </c>
      <c r="T306" s="485">
        <f t="shared" si="1906"/>
        <v>316.40000000000009</v>
      </c>
      <c r="U306" s="485">
        <f t="shared" si="1906"/>
        <v>201.79999999999995</v>
      </c>
      <c r="V306" s="485">
        <f t="shared" si="1906"/>
        <v>327.09999999999991</v>
      </c>
      <c r="W306" s="1040">
        <f t="shared" si="1906"/>
        <v>164.89481005886842</v>
      </c>
      <c r="X306" s="485">
        <f t="shared" si="1906"/>
        <v>298.80684174717351</v>
      </c>
      <c r="Y306" s="485">
        <f t="shared" si="1906"/>
        <v>324.98583415489111</v>
      </c>
      <c r="Z306" s="485">
        <f t="shared" si="1906"/>
        <v>409.14821685508718</v>
      </c>
      <c r="AA306" s="485">
        <f t="shared" si="1906"/>
        <v>203.16099349997626</v>
      </c>
      <c r="AB306" s="485"/>
      <c r="AC306" s="485"/>
      <c r="AD306" s="485"/>
      <c r="AE306" s="485">
        <f t="shared" ref="AE306:AP306" si="1907">+AE290+AE301</f>
        <v>-832.42712675981807</v>
      </c>
      <c r="AF306" s="485">
        <f t="shared" si="1907"/>
        <v>-921.57991500000003</v>
      </c>
      <c r="AG306" s="485">
        <f t="shared" si="1907"/>
        <v>15</v>
      </c>
      <c r="AH306" s="485">
        <f t="shared" si="1907"/>
        <v>-1083.3352723200001</v>
      </c>
      <c r="AI306" s="485">
        <f t="shared" si="1907"/>
        <v>-1011.9149997960001</v>
      </c>
      <c r="AJ306" s="485">
        <f t="shared" si="1907"/>
        <v>-1035.3847811160001</v>
      </c>
      <c r="AK306" s="485">
        <f t="shared" si="1907"/>
        <v>-974.29360389859994</v>
      </c>
      <c r="AL306" s="485">
        <f t="shared" si="1907"/>
        <v>-1177.7921057395201</v>
      </c>
      <c r="AM306" s="1040">
        <f t="shared" si="1907"/>
        <v>-1065.7623666036</v>
      </c>
      <c r="AN306" s="485">
        <f t="shared" si="1907"/>
        <v>-1098.4078679829602</v>
      </c>
      <c r="AO306" s="485">
        <f t="shared" si="1907"/>
        <v>-1033.6512201325161</v>
      </c>
      <c r="AP306" s="485">
        <f t="shared" si="1907"/>
        <v>-1249.3596320838913</v>
      </c>
      <c r="AQ306" s="485">
        <f t="shared" ref="AQ306:AT306" si="1908">+AQ290+AQ301</f>
        <v>-1122.685224756053</v>
      </c>
      <c r="AR306" s="485">
        <f t="shared" si="1908"/>
        <v>-1165.2123400619378</v>
      </c>
      <c r="AS306" s="485">
        <f t="shared" si="1908"/>
        <v>-1096.5702933404671</v>
      </c>
      <c r="AT306" s="485">
        <f t="shared" si="1908"/>
        <v>-1325.2212100089248</v>
      </c>
      <c r="AU306" s="485">
        <f t="shared" ref="AU306:AX306" si="1909">+AU290+AU301</f>
        <v>-1182.8649967207778</v>
      </c>
      <c r="AV306" s="485">
        <f t="shared" si="1909"/>
        <v>-1236.0250804656541</v>
      </c>
      <c r="AW306" s="485">
        <f t="shared" si="1909"/>
        <v>-1163.2645109408952</v>
      </c>
      <c r="AX306" s="485">
        <f t="shared" si="1909"/>
        <v>-1405.6344826094605</v>
      </c>
      <c r="AY306" s="462"/>
      <c r="AZ306" s="462"/>
      <c r="BA306" s="85"/>
      <c r="BB306" s="485">
        <v>-1325.2212100089248</v>
      </c>
      <c r="BC306" s="2198"/>
      <c r="BD306" s="85"/>
      <c r="BE306" s="485">
        <f>+SUM(C306:F306)</f>
        <v>1058.0999999999999</v>
      </c>
      <c r="BF306" s="485">
        <f>+SUM(G306:J306)</f>
        <v>804.30000000000007</v>
      </c>
      <c r="BG306" s="485">
        <f>+SUM(K306:N306)</f>
        <v>1013.9718902583802</v>
      </c>
      <c r="BH306" s="462">
        <f>+SUM(O306:R306)</f>
        <v>911.01132220801901</v>
      </c>
      <c r="BI306" s="462"/>
      <c r="BJ306" s="2045">
        <f>+SUM(S306:V306)</f>
        <v>987.3</v>
      </c>
      <c r="BK306" s="485">
        <f>+SUM(W306:Z306)</f>
        <v>1197.8357028160203</v>
      </c>
      <c r="BL306" s="485">
        <f>+SUM(AA306:AD306)</f>
        <v>203.16099349997626</v>
      </c>
      <c r="BM306" s="485">
        <f>+SUM(AE306:AH306)</f>
        <v>-2822.3423140798182</v>
      </c>
      <c r="BN306" s="485">
        <f>+SUM(AI306:AL306)</f>
        <v>-4199.3854905501203</v>
      </c>
      <c r="BO306" s="1040">
        <f>+SUM(AM306:AP306)</f>
        <v>-4447.1810868029679</v>
      </c>
      <c r="BP306" s="485">
        <f>+SUM(AQ306:AT306)</f>
        <v>-4709.6890681673822</v>
      </c>
      <c r="BQ306" s="485">
        <f>+SUM(AU306:AX306)</f>
        <v>-4987.7890707367878</v>
      </c>
      <c r="BR306" s="485">
        <f t="shared" ref="BR306:BU306" si="1910">+BR290+BR301</f>
        <v>-5282.4134466299447</v>
      </c>
      <c r="BS306" s="485">
        <f t="shared" si="1910"/>
        <v>-5594.5504257096691</v>
      </c>
      <c r="BT306" s="485">
        <f t="shared" si="1910"/>
        <v>-5925.2474669798148</v>
      </c>
      <c r="BU306" s="485">
        <f t="shared" si="1910"/>
        <v>-6275.6148110407212</v>
      </c>
    </row>
    <row r="307" spans="1:73" s="325" customFormat="1" ht="15" hidden="1" customHeight="1">
      <c r="B307" s="325" t="s">
        <v>316</v>
      </c>
      <c r="C307" s="462" t="str">
        <f>IF(ISNUMBER((C306/#REF!-1)),IF(#REF!=0,"NMF",IF(OR(#REF!*C306&lt;0,C306/#REF!-1&gt;10),"NMF",C306/#REF!-1)),"")</f>
        <v/>
      </c>
      <c r="D307" s="462" t="str">
        <f>IF(ISNUMBER((D306/#REF!-1)),IF(#REF!=0,"NMF",IF(OR(#REF!*D306&lt;0,D306/#REF!-1&gt;10),"NMF",D306/#REF!-1)),"")</f>
        <v/>
      </c>
      <c r="E307" s="462" t="str">
        <f>IF(ISNUMBER((E306/#REF!-1)),IF(#REF!=0,"NMF",IF(OR(#REF!*E306&lt;0,E306/#REF!-1&gt;10),"NMF",E306/#REF!-1)),"")</f>
        <v/>
      </c>
      <c r="F307" s="462" t="str">
        <f>IF(ISNUMBER((F306/A306-1)),IF(A306=0,"NMF",IF(OR(A306*F306&lt;0,F306/A306-1&gt;10),"NMF",F306/A306-1)),"")</f>
        <v/>
      </c>
      <c r="G307" s="471">
        <f t="shared" ref="G307:AA307" si="1911">+G306/C306-1</f>
        <v>-0.51908396946564861</v>
      </c>
      <c r="H307" s="471">
        <f t="shared" si="1911"/>
        <v>-0.15859702630575645</v>
      </c>
      <c r="I307" s="471">
        <f t="shared" si="1911"/>
        <v>-0.40121039515841939</v>
      </c>
      <c r="J307" s="471">
        <f t="shared" si="1911"/>
        <v>5.5099247091033199E-2</v>
      </c>
      <c r="K307" s="471">
        <f t="shared" si="1911"/>
        <v>1.5876601149217868</v>
      </c>
      <c r="L307" s="471">
        <f t="shared" si="1911"/>
        <v>-7.1961032250204671E-2</v>
      </c>
      <c r="M307" s="471">
        <f t="shared" si="1911"/>
        <v>0.85634145536926809</v>
      </c>
      <c r="N307" s="471">
        <f t="shared" si="1911"/>
        <v>-0.28712728195015913</v>
      </c>
      <c r="O307" s="471">
        <f t="shared" si="1911"/>
        <v>-0.54227519883717745</v>
      </c>
      <c r="P307" s="471">
        <f t="shared" si="1911"/>
        <v>-8.7199263632950275E-2</v>
      </c>
      <c r="Q307" s="471">
        <f t="shared" si="1911"/>
        <v>-8.0825342521013033E-2</v>
      </c>
      <c r="R307" s="471">
        <f t="shared" si="1911"/>
        <v>0.41142002343191941</v>
      </c>
      <c r="S307" s="1034">
        <f t="shared" si="1911"/>
        <v>0.11940488296681551</v>
      </c>
      <c r="T307" s="471">
        <f t="shared" si="1911"/>
        <v>0.69235686543210595</v>
      </c>
      <c r="U307" s="471">
        <f t="shared" si="1911"/>
        <v>-0.29686411149825798</v>
      </c>
      <c r="V307" s="471">
        <f t="shared" si="1911"/>
        <v>5.448098001289492E-2</v>
      </c>
      <c r="W307" s="1034">
        <f t="shared" si="1911"/>
        <v>0.16123105675259453</v>
      </c>
      <c r="X307" s="471">
        <f t="shared" si="1911"/>
        <v>-5.5604166412220546E-2</v>
      </c>
      <c r="Y307" s="471">
        <f t="shared" si="1911"/>
        <v>0.61043525349301864</v>
      </c>
      <c r="Z307" s="471">
        <f t="shared" si="1911"/>
        <v>0.25083527011643936</v>
      </c>
      <c r="AA307" s="471">
        <f t="shared" si="1911"/>
        <v>0.23206420764514424</v>
      </c>
      <c r="AB307" s="471"/>
      <c r="AC307" s="471"/>
      <c r="AD307" s="471"/>
      <c r="AE307" s="471">
        <f t="shared" ref="AE307:AP307" si="1912">+AE306/AA306-1</f>
        <v>-5.0973767277817306</v>
      </c>
      <c r="AF307" s="471" t="e">
        <f t="shared" si="1912"/>
        <v>#DIV/0!</v>
      </c>
      <c r="AG307" s="471" t="e">
        <f t="shared" si="1912"/>
        <v>#DIV/0!</v>
      </c>
      <c r="AH307" s="471" t="e">
        <f t="shared" si="1912"/>
        <v>#DIV/0!</v>
      </c>
      <c r="AI307" s="471">
        <f t="shared" si="1912"/>
        <v>0.21561992307342237</v>
      </c>
      <c r="AJ307" s="471">
        <f t="shared" si="1912"/>
        <v>0.12348887412113374</v>
      </c>
      <c r="AK307" s="471">
        <f t="shared" si="1912"/>
        <v>-65.952906926573334</v>
      </c>
      <c r="AL307" s="471">
        <f t="shared" si="1912"/>
        <v>8.7190767099494026E-2</v>
      </c>
      <c r="AM307" s="1034">
        <f t="shared" si="1912"/>
        <v>5.3213329991605329E-2</v>
      </c>
      <c r="AN307" s="471">
        <f t="shared" si="1912"/>
        <v>6.086924205997124E-2</v>
      </c>
      <c r="AO307" s="471">
        <f t="shared" si="1912"/>
        <v>6.0923746185337579E-2</v>
      </c>
      <c r="AP307" s="471">
        <f t="shared" si="1912"/>
        <v>6.076414164742161E-2</v>
      </c>
      <c r="AQ307" s="471">
        <f t="shared" ref="AQ307" si="1913">+AQ306/AM306-1</f>
        <v>5.3410459907546226E-2</v>
      </c>
      <c r="AR307" s="471">
        <f t="shared" ref="AR307" si="1914">+AR306/AN306-1</f>
        <v>6.0819367765138743E-2</v>
      </c>
      <c r="AS307" s="471">
        <f t="shared" ref="AS307" si="1915">+AS306/AO306-1</f>
        <v>6.0870699886451662E-2</v>
      </c>
      <c r="AT307" s="471">
        <f t="shared" ref="AT307" si="1916">+AT306/AP306-1</f>
        <v>6.072036904097744E-2</v>
      </c>
      <c r="AU307" s="471">
        <f t="shared" ref="AU307" si="1917">+AU306/AQ306-1</f>
        <v>5.3603423860682842E-2</v>
      </c>
      <c r="AV307" s="471">
        <f t="shared" ref="AV307" si="1918">+AV306/AR306-1</f>
        <v>6.077239140803492E-2</v>
      </c>
      <c r="AW307" s="471">
        <f t="shared" ref="AW307" si="1919">+AW306/AS306-1</f>
        <v>6.0820740818409824E-2</v>
      </c>
      <c r="AX307" s="471">
        <f t="shared" ref="AX307" si="1920">+AX306/AT306-1</f>
        <v>6.0679131901302918E-2</v>
      </c>
      <c r="AY307" s="471"/>
      <c r="AZ307" s="471"/>
      <c r="BA307" s="72"/>
      <c r="BB307" s="471">
        <v>6.072036904097744E-2</v>
      </c>
      <c r="BC307" s="2189"/>
      <c r="BD307" s="72"/>
      <c r="BE307" s="471"/>
      <c r="BF307" s="471">
        <f t="shared" ref="BF307:BU307" si="1921">+BF306/BE306-1</f>
        <v>-0.23986390700311866</v>
      </c>
      <c r="BG307" s="471">
        <f t="shared" si="1921"/>
        <v>0.26068866126865609</v>
      </c>
      <c r="BH307" s="471">
        <f t="shared" si="1921"/>
        <v>-0.10154183665202476</v>
      </c>
      <c r="BI307" s="471"/>
      <c r="BJ307" s="2027">
        <f>+BJ306/BH306-1</f>
        <v>8.3740647269981316E-2</v>
      </c>
      <c r="BK307" s="471">
        <f>+BK306/BJ306-1</f>
        <v>0.21324390035047136</v>
      </c>
      <c r="BL307" s="471">
        <f t="shared" si="1921"/>
        <v>-0.83039327261463303</v>
      </c>
      <c r="BM307" s="471">
        <f t="shared" si="1921"/>
        <v>-14.892146644184175</v>
      </c>
      <c r="BN307" s="471">
        <f t="shared" si="1921"/>
        <v>0.48790792300446584</v>
      </c>
      <c r="BO307" s="1034">
        <f t="shared" si="1921"/>
        <v>5.9007584993200135E-2</v>
      </c>
      <c r="BP307" s="471">
        <f t="shared" si="1921"/>
        <v>5.9027949669827384E-2</v>
      </c>
      <c r="BQ307" s="471">
        <f t="shared" si="1921"/>
        <v>5.9048484633321907E-2</v>
      </c>
      <c r="BR307" s="471">
        <f t="shared" si="1921"/>
        <v>5.9069132979521877E-2</v>
      </c>
      <c r="BS307" s="471">
        <f t="shared" si="1921"/>
        <v>5.9089842594365782E-2</v>
      </c>
      <c r="BT307" s="471">
        <f t="shared" si="1921"/>
        <v>5.9110565837503737E-2</v>
      </c>
      <c r="BU307" s="471">
        <f t="shared" si="1921"/>
        <v>5.9131259245024159E-2</v>
      </c>
    </row>
    <row r="308" spans="1:73" s="326" customFormat="1" ht="15" hidden="1" customHeight="1">
      <c r="B308" s="326" t="s">
        <v>324</v>
      </c>
      <c r="C308" s="643">
        <f t="shared" ref="C308:AA308" si="1922">+C306/C$285</f>
        <v>0.17917772950358027</v>
      </c>
      <c r="D308" s="643">
        <f t="shared" si="1922"/>
        <v>0.18617361061821275</v>
      </c>
      <c r="E308" s="643">
        <f t="shared" si="1922"/>
        <v>0.20622568093385221</v>
      </c>
      <c r="F308" s="643">
        <f t="shared" si="1922"/>
        <v>0.18496012153437147</v>
      </c>
      <c r="G308" s="643">
        <f t="shared" si="1922"/>
        <v>9.5480074886333255E-2</v>
      </c>
      <c r="H308" s="643">
        <f t="shared" si="1922"/>
        <v>0.16036913239354747</v>
      </c>
      <c r="I308" s="643">
        <f t="shared" si="1922"/>
        <v>0.13291189253259586</v>
      </c>
      <c r="J308" s="643">
        <f t="shared" si="1922"/>
        <v>0.19615702742253607</v>
      </c>
      <c r="K308" s="643">
        <f t="shared" si="1922"/>
        <v>0.23912732133557449</v>
      </c>
      <c r="L308" s="643">
        <f t="shared" si="1922"/>
        <v>0.15230672693944711</v>
      </c>
      <c r="M308" s="643">
        <f t="shared" si="1922"/>
        <v>0.22341384971757242</v>
      </c>
      <c r="N308" s="643">
        <f t="shared" si="1922"/>
        <v>0.13132338652010564</v>
      </c>
      <c r="O308" s="643">
        <f t="shared" si="1922"/>
        <v>0.10857210974182582</v>
      </c>
      <c r="P308" s="643">
        <f t="shared" si="1922"/>
        <v>0.1303125127348467</v>
      </c>
      <c r="Q308" s="643">
        <f t="shared" si="1922"/>
        <v>0.18770438194898625</v>
      </c>
      <c r="R308" s="643">
        <f t="shared" si="1922"/>
        <v>0.16411830061901483</v>
      </c>
      <c r="S308" s="1041">
        <f t="shared" si="1922"/>
        <v>0.11946828201245163</v>
      </c>
      <c r="T308" s="643">
        <f t="shared" si="1922"/>
        <v>0.20261270491803285</v>
      </c>
      <c r="U308" s="643">
        <f t="shared" si="1922"/>
        <v>0.1289704096631942</v>
      </c>
      <c r="V308" s="643">
        <f t="shared" si="1922"/>
        <v>0.16808838643371013</v>
      </c>
      <c r="W308" s="1041">
        <f t="shared" si="1922"/>
        <v>0.12632713556950007</v>
      </c>
      <c r="X308" s="643">
        <f t="shared" si="1922"/>
        <v>0.17733697345369828</v>
      </c>
      <c r="Y308" s="643">
        <f t="shared" si="1922"/>
        <v>0.15910400183828999</v>
      </c>
      <c r="Z308" s="643">
        <f t="shared" si="1922"/>
        <v>0.18087896412691742</v>
      </c>
      <c r="AA308" s="643">
        <f t="shared" si="1922"/>
        <v>0.13823296829283271</v>
      </c>
      <c r="AB308" s="643"/>
      <c r="AC308" s="643"/>
      <c r="AD308" s="643"/>
      <c r="AE308" s="643">
        <f t="shared" ref="AE308:AP308" si="1923">+AE306/AE$285</f>
        <v>-0.54936231551429937</v>
      </c>
      <c r="AF308" s="643">
        <f t="shared" si="1923"/>
        <v>-0.44279292680539706</v>
      </c>
      <c r="AG308" s="643">
        <f t="shared" si="1923"/>
        <v>7.3719267680088163E-3</v>
      </c>
      <c r="AH308" s="643">
        <f t="shared" si="1923"/>
        <v>-0.43399090590429745</v>
      </c>
      <c r="AI308" s="643">
        <f t="shared" si="1923"/>
        <v>-0.53468036487184123</v>
      </c>
      <c r="AJ308" s="643">
        <f t="shared" si="1923"/>
        <v>-0.43371658832205501</v>
      </c>
      <c r="AK308" s="643">
        <f t="shared" si="1923"/>
        <v>-0.4333285730606255</v>
      </c>
      <c r="AL308" s="643">
        <f t="shared" si="1923"/>
        <v>-0.43446676418443592</v>
      </c>
      <c r="AM308" s="1041">
        <f t="shared" si="1923"/>
        <v>-0.53125706374320614</v>
      </c>
      <c r="AN308" s="643">
        <f t="shared" si="1923"/>
        <v>-0.43407225313401415</v>
      </c>
      <c r="AO308" s="643">
        <f t="shared" si="1923"/>
        <v>-0.43370620100059015</v>
      </c>
      <c r="AP308" s="643">
        <f t="shared" si="1923"/>
        <v>-0.43477996621173198</v>
      </c>
      <c r="AQ308" s="643">
        <f t="shared" ref="AQ308:AT308" si="1924">+AQ306/AQ$285</f>
        <v>-0.52795447910081439</v>
      </c>
      <c r="AR308" s="643">
        <f t="shared" si="1924"/>
        <v>-0.43440778597548502</v>
      </c>
      <c r="AS308" s="643">
        <f t="shared" si="1924"/>
        <v>-0.43406245377414165</v>
      </c>
      <c r="AT308" s="643">
        <f t="shared" si="1924"/>
        <v>-0.43507543982238867</v>
      </c>
      <c r="AU308" s="643">
        <f t="shared" ref="AU308:AX308" si="1925">+AU306/AU$285</f>
        <v>-0.5247685347388692</v>
      </c>
      <c r="AV308" s="643">
        <f t="shared" si="1925"/>
        <v>-0.43472432639196701</v>
      </c>
      <c r="AW308" s="643">
        <f t="shared" si="1925"/>
        <v>-0.43439854129636002</v>
      </c>
      <c r="AX308" s="643">
        <f t="shared" si="1925"/>
        <v>-0.43535418851168745</v>
      </c>
      <c r="AY308" s="643"/>
      <c r="AZ308" s="643"/>
      <c r="BA308" s="85"/>
      <c r="BB308" s="643">
        <v>-0.43507543982238867</v>
      </c>
      <c r="BC308" s="2197"/>
      <c r="BD308" s="85"/>
      <c r="BE308" s="643">
        <f>+BE306/BE$285</f>
        <v>0.18915923270822532</v>
      </c>
      <c r="BF308" s="643">
        <f>+BF306/BF$285</f>
        <v>0.1507563119716594</v>
      </c>
      <c r="BG308" s="643">
        <f>+BG306/BG$285</f>
        <v>0.18188257763822122</v>
      </c>
      <c r="BH308" s="643">
        <f>+BH306/BH$285</f>
        <v>0.15127631070590244</v>
      </c>
      <c r="BI308" s="643"/>
      <c r="BJ308" s="2037">
        <f t="shared" ref="BJ308:BO308" si="1926">+BJ306/BJ$285</f>
        <v>0.15769298343688606</v>
      </c>
      <c r="BK308" s="643">
        <f t="shared" si="1926"/>
        <v>0.16420255521280286</v>
      </c>
      <c r="BL308" s="643">
        <f t="shared" si="1926"/>
        <v>2.8560309812332613E-2</v>
      </c>
      <c r="BM308" s="643">
        <f t="shared" si="1926"/>
        <v>-0.34725784084834832</v>
      </c>
      <c r="BN308" s="643">
        <f t="shared" si="1926"/>
        <v>-0.45452398558857748</v>
      </c>
      <c r="BO308" s="1041">
        <f t="shared" si="1926"/>
        <v>-0.45409844179211656</v>
      </c>
      <c r="BP308" s="643">
        <f t="shared" ref="BP308:BQ308" si="1927">+BP306/BP$285</f>
        <v>-0.45368202052770634</v>
      </c>
      <c r="BQ308" s="643">
        <f t="shared" si="1927"/>
        <v>-0.45327477013702921</v>
      </c>
      <c r="BR308" s="643">
        <f>+BR306/BR$285</f>
        <v>-0.45287671491558068</v>
      </c>
      <c r="BS308" s="643">
        <f>+BS306/BS$285</f>
        <v>-0.45248785727792057</v>
      </c>
      <c r="BT308" s="643">
        <f>+BT306/BT$285</f>
        <v>-0.45210817977001705</v>
      </c>
      <c r="BU308" s="643">
        <f>+BU306/BU$285</f>
        <v>-0.45173764693848484</v>
      </c>
    </row>
    <row r="309" spans="1:73" s="325" customFormat="1" ht="15" hidden="1" customHeight="1">
      <c r="C309" s="462"/>
      <c r="D309" s="462"/>
      <c r="E309" s="462"/>
      <c r="F309" s="462"/>
      <c r="G309" s="462"/>
      <c r="H309" s="462"/>
      <c r="I309" s="462"/>
      <c r="J309" s="462"/>
      <c r="K309" s="462"/>
      <c r="L309" s="462"/>
      <c r="M309" s="462"/>
      <c r="N309" s="462"/>
      <c r="O309" s="462"/>
      <c r="P309" s="462"/>
      <c r="Q309" s="462"/>
      <c r="R309" s="462"/>
      <c r="S309" s="1039"/>
      <c r="T309" s="462"/>
      <c r="U309" s="462"/>
      <c r="V309" s="462"/>
      <c r="W309" s="1039"/>
      <c r="X309" s="462"/>
      <c r="Y309" s="462"/>
      <c r="Z309" s="462"/>
      <c r="AA309" s="462"/>
      <c r="AB309" s="462"/>
      <c r="AC309" s="462"/>
      <c r="AD309" s="462"/>
      <c r="AE309" s="462"/>
      <c r="AF309" s="462"/>
      <c r="AG309" s="462"/>
      <c r="AH309" s="462"/>
      <c r="AI309" s="462"/>
      <c r="AJ309" s="462"/>
      <c r="AK309" s="462"/>
      <c r="AL309" s="462"/>
      <c r="AM309" s="1039"/>
      <c r="AN309" s="462"/>
      <c r="AO309" s="462"/>
      <c r="AP309" s="462"/>
      <c r="AQ309" s="462"/>
      <c r="AR309" s="462"/>
      <c r="AS309" s="462"/>
      <c r="AT309" s="462"/>
      <c r="AU309" s="462"/>
      <c r="AV309" s="462"/>
      <c r="AW309" s="462"/>
      <c r="AX309" s="462"/>
      <c r="AY309" s="462"/>
      <c r="AZ309" s="462"/>
      <c r="BA309" s="72"/>
      <c r="BB309" s="462"/>
      <c r="BC309" s="2189"/>
      <c r="BD309" s="72"/>
      <c r="BE309" s="337"/>
      <c r="BF309" s="337"/>
      <c r="BG309" s="337"/>
      <c r="BH309" s="337"/>
      <c r="BI309" s="337"/>
      <c r="BJ309" s="2022"/>
      <c r="BK309" s="337"/>
      <c r="BL309" s="337"/>
      <c r="BM309" s="337"/>
      <c r="BN309" s="337"/>
      <c r="BO309" s="1966"/>
      <c r="BP309" s="337"/>
      <c r="BQ309" s="337"/>
      <c r="BR309" s="462"/>
      <c r="BS309" s="462"/>
      <c r="BT309" s="462"/>
      <c r="BU309" s="462"/>
    </row>
    <row r="310" spans="1:73" s="326" customFormat="1" ht="15" hidden="1" customHeight="1">
      <c r="B310" s="326" t="s">
        <v>325</v>
      </c>
      <c r="C310" s="817">
        <v>45.800000000000068</v>
      </c>
      <c r="D310" s="817">
        <v>43.400000000000034</v>
      </c>
      <c r="E310" s="817">
        <v>50.799999999999898</v>
      </c>
      <c r="F310" s="817">
        <v>53.199999999999932</v>
      </c>
      <c r="G310" s="817">
        <v>49.200000000000031</v>
      </c>
      <c r="H310" s="817">
        <v>50.19999999999996</v>
      </c>
      <c r="I310" s="817">
        <v>50.099999999999994</v>
      </c>
      <c r="J310" s="817">
        <v>50.200000000000102</v>
      </c>
      <c r="K310" s="817">
        <v>49.021532159999936</v>
      </c>
      <c r="L310" s="817">
        <v>50.843608549999999</v>
      </c>
      <c r="M310" s="817">
        <v>50.3</v>
      </c>
      <c r="N310" s="817">
        <v>93.103618089999983</v>
      </c>
      <c r="O310" s="817">
        <v>60.546761868282282</v>
      </c>
      <c r="P310" s="817">
        <v>67.759587905635144</v>
      </c>
      <c r="Q310" s="817">
        <v>63.9</v>
      </c>
      <c r="R310" s="817">
        <v>81.8</v>
      </c>
      <c r="S310" s="1036">
        <f>57.8+5.2</f>
        <v>63</v>
      </c>
      <c r="T310" s="817">
        <f>60.8+6.3</f>
        <v>67.099999999999994</v>
      </c>
      <c r="U310" s="817">
        <f>63+7.3</f>
        <v>70.3</v>
      </c>
      <c r="V310" s="817">
        <f>72.3+9.8</f>
        <v>82.1</v>
      </c>
      <c r="W310" s="1847"/>
      <c r="X310" s="677"/>
      <c r="Y310" s="677"/>
      <c r="Z310" s="677"/>
      <c r="AA310" s="677"/>
      <c r="AB310" s="677"/>
      <c r="AC310" s="677"/>
      <c r="AD310" s="677"/>
      <c r="AE310" s="677"/>
      <c r="AF310" s="677"/>
      <c r="AG310" s="677"/>
      <c r="AH310" s="677"/>
      <c r="AI310" s="677"/>
      <c r="AJ310" s="677"/>
      <c r="AK310" s="677"/>
      <c r="AL310" s="677"/>
      <c r="AM310" s="1847"/>
      <c r="AN310" s="677"/>
      <c r="AO310" s="677"/>
      <c r="AP310" s="677"/>
      <c r="AQ310" s="677"/>
      <c r="AR310" s="677"/>
      <c r="AS310" s="677"/>
      <c r="AT310" s="677"/>
      <c r="AU310" s="677"/>
      <c r="AV310" s="677"/>
      <c r="AW310" s="677"/>
      <c r="AX310" s="677"/>
      <c r="AY310" s="677"/>
      <c r="AZ310" s="677"/>
      <c r="BA310" s="85"/>
      <c r="BB310" s="677"/>
      <c r="BC310" s="2197"/>
      <c r="BD310" s="85"/>
      <c r="BE310" s="330">
        <f>+SUM(C310:F310)</f>
        <v>193.19999999999993</v>
      </c>
      <c r="BF310" s="330">
        <f>+SUM(G310:J310)</f>
        <v>199.7000000000001</v>
      </c>
      <c r="BG310" s="330">
        <f>+SUM(K310:N310)</f>
        <v>243.26875879999994</v>
      </c>
      <c r="BH310" s="330">
        <f>+SUM(O310:R310)</f>
        <v>274.00634977391741</v>
      </c>
      <c r="BI310" s="330"/>
      <c r="BJ310" s="2038">
        <f>+SUM(S310:V310)</f>
        <v>282.5</v>
      </c>
      <c r="BK310" s="330">
        <f>+SUM(W310:Z310)</f>
        <v>0</v>
      </c>
      <c r="BL310" s="330">
        <f>+SUM(AA310:AD310)</f>
        <v>0</v>
      </c>
      <c r="BM310" s="330"/>
      <c r="BN310" s="330"/>
      <c r="BO310" s="1859"/>
      <c r="BP310" s="330"/>
      <c r="BQ310" s="330"/>
      <c r="BR310" s="677"/>
      <c r="BS310" s="677"/>
      <c r="BT310" s="677"/>
      <c r="BU310" s="677"/>
    </row>
    <row r="311" spans="1:73" s="325" customFormat="1" ht="15" hidden="1" customHeight="1">
      <c r="B311" s="325" t="s">
        <v>318</v>
      </c>
      <c r="C311" s="471">
        <f t="shared" ref="C311:V311" si="1928">+C310/C285</f>
        <v>3.6849304046986935E-2</v>
      </c>
      <c r="D311" s="471">
        <f t="shared" si="1928"/>
        <v>3.0804173468663518E-2</v>
      </c>
      <c r="E311" s="471">
        <f t="shared" si="1928"/>
        <v>3.7295352764114165E-2</v>
      </c>
      <c r="F311" s="471">
        <f t="shared" si="1928"/>
        <v>3.3675148753006666E-2</v>
      </c>
      <c r="G311" s="471">
        <f t="shared" si="1928"/>
        <v>4.3861995185878605E-2</v>
      </c>
      <c r="H311" s="471">
        <f t="shared" si="1928"/>
        <v>3.647725621275974E-2</v>
      </c>
      <c r="I311" s="471">
        <f t="shared" si="1928"/>
        <v>3.9589095219280911E-2</v>
      </c>
      <c r="J311" s="471">
        <f t="shared" si="1928"/>
        <v>3.1939937647133744E-2</v>
      </c>
      <c r="K311" s="471">
        <f t="shared" si="1928"/>
        <v>4.2297955623433713E-2</v>
      </c>
      <c r="L311" s="471">
        <f t="shared" si="1928"/>
        <v>3.7808278742541043E-2</v>
      </c>
      <c r="M311" s="471">
        <f t="shared" si="1928"/>
        <v>3.5991025589364595E-2</v>
      </c>
      <c r="N311" s="471">
        <f t="shared" si="1928"/>
        <v>5.5631800111480278E-2</v>
      </c>
      <c r="O311" s="471">
        <f t="shared" si="1928"/>
        <v>5.1821269861045557E-2</v>
      </c>
      <c r="P311" s="471">
        <f t="shared" si="1928"/>
        <v>4.7229391251127177E-2</v>
      </c>
      <c r="Q311" s="471">
        <f t="shared" si="1928"/>
        <v>4.1792020928711572E-2</v>
      </c>
      <c r="R311" s="471">
        <f t="shared" si="1928"/>
        <v>4.3278133432093538E-2</v>
      </c>
      <c r="S311" s="1034">
        <f t="shared" si="1928"/>
        <v>5.3003533568904596E-2</v>
      </c>
      <c r="T311" s="471">
        <f t="shared" si="1928"/>
        <v>4.296875E-2</v>
      </c>
      <c r="U311" s="471">
        <f t="shared" si="1928"/>
        <v>4.4928740333610273E-2</v>
      </c>
      <c r="V311" s="471">
        <f t="shared" si="1928"/>
        <v>4.2189105858170602E-2</v>
      </c>
      <c r="W311" s="1034"/>
      <c r="X311" s="471"/>
      <c r="Y311" s="471"/>
      <c r="Z311" s="471"/>
      <c r="AA311" s="471"/>
      <c r="AB311" s="471"/>
      <c r="AC311" s="471"/>
      <c r="AD311" s="471"/>
      <c r="AE311" s="471"/>
      <c r="AF311" s="471"/>
      <c r="AG311" s="471"/>
      <c r="AH311" s="471"/>
      <c r="AI311" s="471"/>
      <c r="AJ311" s="471"/>
      <c r="AK311" s="471"/>
      <c r="AL311" s="471"/>
      <c r="AM311" s="1034"/>
      <c r="AN311" s="471"/>
      <c r="AO311" s="471"/>
      <c r="AP311" s="471"/>
      <c r="AQ311" s="471"/>
      <c r="AR311" s="471"/>
      <c r="AS311" s="471"/>
      <c r="AT311" s="471"/>
      <c r="AU311" s="471"/>
      <c r="AV311" s="471"/>
      <c r="AW311" s="471"/>
      <c r="AX311" s="471"/>
      <c r="AY311" s="471"/>
      <c r="AZ311" s="471"/>
      <c r="BA311" s="72"/>
      <c r="BB311" s="471"/>
      <c r="BC311" s="2189"/>
      <c r="BD311" s="72"/>
      <c r="BE311" s="471">
        <f t="shared" ref="BE311:BL311" si="1929">+BE310/BE285</f>
        <v>3.4538856213239884E-2</v>
      </c>
      <c r="BF311" s="471">
        <f t="shared" si="1929"/>
        <v>3.7431350865025977E-2</v>
      </c>
      <c r="BG311" s="471">
        <f t="shared" si="1929"/>
        <v>4.3636662253151666E-2</v>
      </c>
      <c r="BH311" s="471">
        <f t="shared" si="1929"/>
        <v>4.5499620798702345E-2</v>
      </c>
      <c r="BI311" s="471"/>
      <c r="BJ311" s="2027">
        <f t="shared" si="1929"/>
        <v>4.5121308438083985E-2</v>
      </c>
      <c r="BK311" s="471">
        <f t="shared" si="1929"/>
        <v>0</v>
      </c>
      <c r="BL311" s="471">
        <f t="shared" si="1929"/>
        <v>0</v>
      </c>
      <c r="BM311" s="471"/>
      <c r="BN311" s="471"/>
      <c r="BO311" s="1034"/>
      <c r="BP311" s="471"/>
      <c r="BQ311" s="471"/>
      <c r="BR311" s="471"/>
      <c r="BS311" s="471"/>
      <c r="BT311" s="471"/>
      <c r="BU311" s="471"/>
    </row>
    <row r="312" spans="1:73" s="325" customFormat="1" ht="15" hidden="1" customHeight="1">
      <c r="B312" s="325" t="s">
        <v>326</v>
      </c>
      <c r="C312" s="471">
        <f t="shared" ref="C312:V312" si="1930">+C310/C$89</f>
        <v>0.80116013946354947</v>
      </c>
      <c r="D312" s="471">
        <f t="shared" si="1930"/>
        <v>0.81979944721035558</v>
      </c>
      <c r="E312" s="471">
        <f t="shared" si="1930"/>
        <v>0.81260698386913299</v>
      </c>
      <c r="F312" s="471">
        <f t="shared" si="1930"/>
        <v>0.79638043552198678</v>
      </c>
      <c r="G312" s="471">
        <f t="shared" si="1930"/>
        <v>0.78004479183369713</v>
      </c>
      <c r="H312" s="471">
        <f t="shared" si="1930"/>
        <v>0.77980998870650919</v>
      </c>
      <c r="I312" s="471">
        <f t="shared" si="1930"/>
        <v>0.51372758105700611</v>
      </c>
      <c r="J312" s="471">
        <f t="shared" si="1930"/>
        <v>0.77292823534220767</v>
      </c>
      <c r="K312" s="471">
        <f t="shared" si="1930"/>
        <v>0.72805210197298964</v>
      </c>
      <c r="L312" s="471">
        <f t="shared" si="1930"/>
        <v>0.76317782261267453</v>
      </c>
      <c r="M312" s="471">
        <f t="shared" si="1930"/>
        <v>0.6055981485607127</v>
      </c>
      <c r="N312" s="471">
        <f t="shared" si="1930"/>
        <v>0.55987436068101237</v>
      </c>
      <c r="O312" s="471">
        <f t="shared" si="1930"/>
        <v>0.47205684763186057</v>
      </c>
      <c r="P312" s="471">
        <f t="shared" si="1930"/>
        <v>0.46839321025633157</v>
      </c>
      <c r="Q312" s="471">
        <f t="shared" si="1930"/>
        <v>0.44659006532855233</v>
      </c>
      <c r="R312" s="471">
        <f t="shared" si="1930"/>
        <v>0.47828637301633908</v>
      </c>
      <c r="S312" s="1034">
        <f t="shared" si="1930"/>
        <v>0.2383654937570942</v>
      </c>
      <c r="T312" s="471">
        <f t="shared" si="1930"/>
        <v>0.24632892804698972</v>
      </c>
      <c r="U312" s="471">
        <f t="shared" si="1930"/>
        <v>0.24858557284299856</v>
      </c>
      <c r="V312" s="471">
        <f t="shared" si="1930"/>
        <v>0.27568838146406982</v>
      </c>
      <c r="W312" s="1034"/>
      <c r="X312" s="471"/>
      <c r="Y312" s="471"/>
      <c r="Z312" s="471"/>
      <c r="AA312" s="471"/>
      <c r="AB312" s="471"/>
      <c r="AC312" s="471"/>
      <c r="AD312" s="471"/>
      <c r="AE312" s="471"/>
      <c r="AF312" s="471"/>
      <c r="AG312" s="471"/>
      <c r="AH312" s="471"/>
      <c r="AI312" s="471"/>
      <c r="AJ312" s="471"/>
      <c r="AK312" s="471"/>
      <c r="AL312" s="471"/>
      <c r="AM312" s="1034"/>
      <c r="AN312" s="471"/>
      <c r="AO312" s="471"/>
      <c r="AP312" s="471"/>
      <c r="AQ312" s="471"/>
      <c r="AR312" s="471"/>
      <c r="AS312" s="471"/>
      <c r="AT312" s="471"/>
      <c r="AU312" s="471"/>
      <c r="AV312" s="471"/>
      <c r="AW312" s="471"/>
      <c r="AX312" s="471"/>
      <c r="AY312" s="471"/>
      <c r="AZ312" s="471"/>
      <c r="BA312" s="72"/>
      <c r="BB312" s="471"/>
      <c r="BC312" s="2189"/>
      <c r="BD312" s="72"/>
      <c r="BE312" s="471">
        <f t="shared" ref="BE312:BL312" si="1931">+BE310/BE$89</f>
        <v>0.80693676906546674</v>
      </c>
      <c r="BF312" s="471">
        <f t="shared" si="1931"/>
        <v>0.68881480203306955</v>
      </c>
      <c r="BG312" s="471">
        <f t="shared" si="1931"/>
        <v>0.63466020481958085</v>
      </c>
      <c r="BH312" s="471">
        <f t="shared" si="1931"/>
        <v>0.46676165696245603</v>
      </c>
      <c r="BI312" s="471"/>
      <c r="BJ312" s="2027">
        <f t="shared" si="1931"/>
        <v>0.25284167188758616</v>
      </c>
      <c r="BK312" s="471">
        <f t="shared" si="1931"/>
        <v>0</v>
      </c>
      <c r="BL312" s="471">
        <f t="shared" si="1931"/>
        <v>0</v>
      </c>
      <c r="BM312" s="471"/>
      <c r="BN312" s="471"/>
      <c r="BO312" s="1034"/>
      <c r="BP312" s="471"/>
      <c r="BQ312" s="471"/>
      <c r="BR312" s="471"/>
      <c r="BS312" s="471"/>
      <c r="BT312" s="471"/>
      <c r="BU312" s="471"/>
    </row>
    <row r="313" spans="1:73" s="325" customFormat="1" ht="15" hidden="1" customHeight="1">
      <c r="C313" s="462"/>
      <c r="D313" s="462"/>
      <c r="E313" s="462"/>
      <c r="F313" s="462"/>
      <c r="G313" s="462"/>
      <c r="H313" s="462"/>
      <c r="I313" s="462"/>
      <c r="J313" s="462"/>
      <c r="K313" s="462"/>
      <c r="L313" s="462"/>
      <c r="M313" s="462"/>
      <c r="N313" s="462"/>
      <c r="O313" s="462"/>
      <c r="P313" s="462"/>
      <c r="Q313" s="462"/>
      <c r="R313" s="462"/>
      <c r="S313" s="1039"/>
      <c r="T313" s="462"/>
      <c r="U313" s="462"/>
      <c r="V313" s="462"/>
      <c r="W313" s="1039"/>
      <c r="X313" s="462"/>
      <c r="Y313" s="462"/>
      <c r="Z313" s="462"/>
      <c r="AA313" s="462"/>
      <c r="AB313" s="462"/>
      <c r="AC313" s="462"/>
      <c r="AD313" s="462"/>
      <c r="AE313" s="462"/>
      <c r="AF313" s="462"/>
      <c r="AG313" s="462"/>
      <c r="AH313" s="462"/>
      <c r="AI313" s="462"/>
      <c r="AJ313" s="462"/>
      <c r="AK313" s="462"/>
      <c r="AL313" s="462"/>
      <c r="AM313" s="1039"/>
      <c r="AN313" s="462"/>
      <c r="AO313" s="462"/>
      <c r="AP313" s="462"/>
      <c r="AQ313" s="462"/>
      <c r="AR313" s="462"/>
      <c r="AS313" s="462"/>
      <c r="AT313" s="462"/>
      <c r="AU313" s="462"/>
      <c r="AV313" s="462"/>
      <c r="AW313" s="462"/>
      <c r="AX313" s="462"/>
      <c r="AY313" s="462"/>
      <c r="AZ313" s="462"/>
      <c r="BA313" s="72"/>
      <c r="BB313" s="462"/>
      <c r="BC313" s="2189"/>
      <c r="BD313" s="72"/>
      <c r="BE313" s="337"/>
      <c r="BF313" s="337"/>
      <c r="BG313" s="337"/>
      <c r="BH313" s="337"/>
      <c r="BI313" s="337"/>
      <c r="BJ313" s="2022"/>
      <c r="BK313" s="337"/>
      <c r="BL313" s="337"/>
      <c r="BM313" s="337"/>
      <c r="BN313" s="337"/>
      <c r="BO313" s="1966"/>
      <c r="BP313" s="337"/>
      <c r="BQ313" s="337"/>
      <c r="BR313" s="462"/>
      <c r="BS313" s="462"/>
      <c r="BT313" s="462"/>
      <c r="BU313" s="462"/>
    </row>
    <row r="314" spans="1:73" s="484" customFormat="1" ht="15" hidden="1" customHeight="1">
      <c r="A314" s="483"/>
      <c r="B314" s="484" t="s">
        <v>114</v>
      </c>
      <c r="C314" s="485">
        <f t="shared" ref="C314:AA314" si="1932">C306+C310</f>
        <v>268.5</v>
      </c>
      <c r="D314" s="485">
        <f t="shared" si="1932"/>
        <v>305.7</v>
      </c>
      <c r="E314" s="485">
        <f t="shared" si="1932"/>
        <v>331.7</v>
      </c>
      <c r="F314" s="485">
        <f t="shared" si="1932"/>
        <v>345.4</v>
      </c>
      <c r="G314" s="485">
        <f t="shared" si="1932"/>
        <v>156.30000000000007</v>
      </c>
      <c r="H314" s="485">
        <f t="shared" si="1932"/>
        <v>270.89999999999998</v>
      </c>
      <c r="I314" s="485">
        <f t="shared" si="1932"/>
        <v>218.30000000000004</v>
      </c>
      <c r="J314" s="485">
        <f t="shared" si="1932"/>
        <v>358.50000000000006</v>
      </c>
      <c r="K314" s="485">
        <f t="shared" si="1932"/>
        <v>326.15993046812338</v>
      </c>
      <c r="L314" s="485">
        <f t="shared" si="1932"/>
        <v>255.66180873237988</v>
      </c>
      <c r="M314" s="485">
        <f t="shared" si="1932"/>
        <v>362.53663279311098</v>
      </c>
      <c r="N314" s="485">
        <f t="shared" si="1932"/>
        <v>312.8822770647659</v>
      </c>
      <c r="O314" s="485">
        <f t="shared" si="1932"/>
        <v>187.3998801284512</v>
      </c>
      <c r="P314" s="485">
        <f t="shared" si="1932"/>
        <v>254.71779185348532</v>
      </c>
      <c r="Q314" s="485">
        <f t="shared" si="1932"/>
        <v>350.9</v>
      </c>
      <c r="R314" s="485">
        <f t="shared" si="1932"/>
        <v>391.99999999999994</v>
      </c>
      <c r="S314" s="1040">
        <f t="shared" si="1932"/>
        <v>205</v>
      </c>
      <c r="T314" s="485">
        <f t="shared" si="1932"/>
        <v>383.50000000000011</v>
      </c>
      <c r="U314" s="485">
        <f t="shared" si="1932"/>
        <v>272.09999999999997</v>
      </c>
      <c r="V314" s="485">
        <f t="shared" si="1932"/>
        <v>409.19999999999993</v>
      </c>
      <c r="W314" s="1040">
        <f t="shared" si="1932"/>
        <v>164.89481005886842</v>
      </c>
      <c r="X314" s="485">
        <f t="shared" si="1932"/>
        <v>298.80684174717351</v>
      </c>
      <c r="Y314" s="485">
        <f t="shared" si="1932"/>
        <v>324.98583415489111</v>
      </c>
      <c r="Z314" s="485">
        <f t="shared" si="1932"/>
        <v>409.14821685508718</v>
      </c>
      <c r="AA314" s="485">
        <f t="shared" si="1932"/>
        <v>203.16099349997626</v>
      </c>
      <c r="AB314" s="485"/>
      <c r="AC314" s="485"/>
      <c r="AD314" s="485"/>
      <c r="AE314" s="485">
        <f t="shared" ref="AE314:AP314" si="1933">AE306+AE310</f>
        <v>-832.42712675981807</v>
      </c>
      <c r="AF314" s="485">
        <f t="shared" si="1933"/>
        <v>-921.57991500000003</v>
      </c>
      <c r="AG314" s="485">
        <f t="shared" si="1933"/>
        <v>15</v>
      </c>
      <c r="AH314" s="485">
        <f t="shared" si="1933"/>
        <v>-1083.3352723200001</v>
      </c>
      <c r="AI314" s="485">
        <f t="shared" si="1933"/>
        <v>-1011.9149997960001</v>
      </c>
      <c r="AJ314" s="485">
        <f t="shared" si="1933"/>
        <v>-1035.3847811160001</v>
      </c>
      <c r="AK314" s="485">
        <f t="shared" si="1933"/>
        <v>-974.29360389859994</v>
      </c>
      <c r="AL314" s="485">
        <f t="shared" si="1933"/>
        <v>-1177.7921057395201</v>
      </c>
      <c r="AM314" s="1040">
        <f t="shared" si="1933"/>
        <v>-1065.7623666036</v>
      </c>
      <c r="AN314" s="485">
        <f t="shared" si="1933"/>
        <v>-1098.4078679829602</v>
      </c>
      <c r="AO314" s="485">
        <f t="shared" si="1933"/>
        <v>-1033.6512201325161</v>
      </c>
      <c r="AP314" s="485">
        <f t="shared" si="1933"/>
        <v>-1249.3596320838913</v>
      </c>
      <c r="AQ314" s="485">
        <f t="shared" ref="AQ314:AT314" si="1934">AQ306+AQ310</f>
        <v>-1122.685224756053</v>
      </c>
      <c r="AR314" s="485">
        <f t="shared" si="1934"/>
        <v>-1165.2123400619378</v>
      </c>
      <c r="AS314" s="485">
        <f t="shared" si="1934"/>
        <v>-1096.5702933404671</v>
      </c>
      <c r="AT314" s="485">
        <f t="shared" si="1934"/>
        <v>-1325.2212100089248</v>
      </c>
      <c r="AU314" s="485">
        <f t="shared" ref="AU314:AX314" si="1935">AU306+AU310</f>
        <v>-1182.8649967207778</v>
      </c>
      <c r="AV314" s="485">
        <f t="shared" si="1935"/>
        <v>-1236.0250804656541</v>
      </c>
      <c r="AW314" s="485">
        <f t="shared" si="1935"/>
        <v>-1163.2645109408952</v>
      </c>
      <c r="AX314" s="485">
        <f t="shared" si="1935"/>
        <v>-1405.6344826094605</v>
      </c>
      <c r="AY314" s="462"/>
      <c r="AZ314" s="462"/>
      <c r="BA314" s="85"/>
      <c r="BB314" s="485">
        <v>-1325.2212100089248</v>
      </c>
      <c r="BC314" s="2198"/>
      <c r="BD314" s="85"/>
      <c r="BE314" s="485">
        <f>+SUM(C314:F314)</f>
        <v>1251.3000000000002</v>
      </c>
      <c r="BF314" s="485">
        <f>+SUM(G314:J314)</f>
        <v>1004.0000000000002</v>
      </c>
      <c r="BG314" s="485">
        <f>+SUM(K314:N314)</f>
        <v>1257.2406490583803</v>
      </c>
      <c r="BH314" s="462">
        <f>+SUM(O314:R314)</f>
        <v>1185.0176719819365</v>
      </c>
      <c r="BI314" s="462"/>
      <c r="BJ314" s="2045">
        <f>+SUM(S314:V314)</f>
        <v>1269.8000000000002</v>
      </c>
      <c r="BK314" s="485">
        <f>+SUM(W314:Z314)</f>
        <v>1197.8357028160203</v>
      </c>
      <c r="BL314" s="485">
        <f>+SUM(AA314:AD314)</f>
        <v>203.16099349997626</v>
      </c>
      <c r="BM314" s="485">
        <f>+SUM(AE314:AH314)</f>
        <v>-2822.3423140798182</v>
      </c>
      <c r="BN314" s="485">
        <f>+SUM(AI314:AL314)</f>
        <v>-4199.3854905501203</v>
      </c>
      <c r="BO314" s="1040">
        <f>+SUM(AM314:AP314)</f>
        <v>-4447.1810868029679</v>
      </c>
      <c r="BP314" s="485">
        <f>+SUM(AQ314:AT314)</f>
        <v>-4709.6890681673822</v>
      </c>
      <c r="BQ314" s="485">
        <f>+SUM(AU314:AX314)</f>
        <v>-4987.7890707367878</v>
      </c>
      <c r="BR314" s="485">
        <f t="shared" ref="BR314:BU314" si="1936">BR306+BR310</f>
        <v>-5282.4134466299447</v>
      </c>
      <c r="BS314" s="485">
        <f t="shared" si="1936"/>
        <v>-5594.5504257096691</v>
      </c>
      <c r="BT314" s="485">
        <f t="shared" si="1936"/>
        <v>-5925.2474669798148</v>
      </c>
      <c r="BU314" s="485">
        <f t="shared" si="1936"/>
        <v>-6275.6148110407212</v>
      </c>
    </row>
    <row r="315" spans="1:73" s="325" customFormat="1" ht="15" hidden="1" customHeight="1">
      <c r="B315" s="325" t="s">
        <v>316</v>
      </c>
      <c r="C315" s="462" t="str">
        <f>IF(ISNUMBER((C314/#REF!-1)),IF(#REF!=0,"NMF",IF(OR(#REF!*C314&lt;0,C314/#REF!-1&gt;10),"NMF",C314/#REF!-1)),"")</f>
        <v/>
      </c>
      <c r="D315" s="462" t="str">
        <f>IF(ISNUMBER((D314/#REF!-1)),IF(#REF!=0,"NMF",IF(OR(#REF!*D314&lt;0,D314/#REF!-1&gt;10),"NMF",D314/#REF!-1)),"")</f>
        <v/>
      </c>
      <c r="E315" s="462" t="str">
        <f>IF(ISNUMBER((E314/#REF!-1)),IF(#REF!=0,"NMF",IF(OR(#REF!*E314&lt;0,E314/#REF!-1&gt;10),"NMF",E314/#REF!-1)),"")</f>
        <v/>
      </c>
      <c r="F315" s="462" t="str">
        <f>IF(ISNUMBER((F314/A314-1)),IF(A314=0,"NMF",IF(OR(A314*F314&lt;0,F314/A314-1&gt;10),"NMF",F314/A314-1)),"")</f>
        <v/>
      </c>
      <c r="G315" s="471">
        <f t="shared" ref="G315:AA315" si="1937">+G314/C314-1</f>
        <v>-0.41787709497206682</v>
      </c>
      <c r="H315" s="471">
        <f t="shared" si="1937"/>
        <v>-0.11383709519136409</v>
      </c>
      <c r="I315" s="471">
        <f t="shared" si="1937"/>
        <v>-0.34187518842327391</v>
      </c>
      <c r="J315" s="471">
        <f t="shared" si="1937"/>
        <v>3.7927041111754711E-2</v>
      </c>
      <c r="K315" s="471">
        <f t="shared" si="1937"/>
        <v>1.0867557931421832</v>
      </c>
      <c r="L315" s="471">
        <f t="shared" si="1937"/>
        <v>-5.6250244620229206E-2</v>
      </c>
      <c r="M315" s="471">
        <f t="shared" si="1937"/>
        <v>0.66072667335369184</v>
      </c>
      <c r="N315" s="471">
        <f t="shared" si="1937"/>
        <v>-0.127246089080151</v>
      </c>
      <c r="O315" s="471">
        <f t="shared" si="1937"/>
        <v>-0.42543561418018405</v>
      </c>
      <c r="P315" s="471">
        <f t="shared" si="1937"/>
        <v>-3.6924438717506058E-3</v>
      </c>
      <c r="Q315" s="471">
        <f t="shared" si="1937"/>
        <v>-3.2097812305085571E-2</v>
      </c>
      <c r="R315" s="471">
        <f t="shared" si="1937"/>
        <v>0.25286738410835863</v>
      </c>
      <c r="S315" s="1034">
        <f t="shared" si="1937"/>
        <v>9.391745533393614E-2</v>
      </c>
      <c r="T315" s="471">
        <f t="shared" si="1937"/>
        <v>0.50558780055925912</v>
      </c>
      <c r="U315" s="471">
        <f t="shared" si="1937"/>
        <v>-0.22456540324878893</v>
      </c>
      <c r="V315" s="471">
        <f t="shared" si="1937"/>
        <v>4.3877551020408134E-2</v>
      </c>
      <c r="W315" s="1034">
        <f t="shared" si="1937"/>
        <v>-0.19563507288356874</v>
      </c>
      <c r="X315" s="471">
        <f t="shared" si="1937"/>
        <v>-0.22084265515730528</v>
      </c>
      <c r="Y315" s="471">
        <f t="shared" si="1937"/>
        <v>0.19436175727633653</v>
      </c>
      <c r="Z315" s="471">
        <f t="shared" si="1937"/>
        <v>-1.2654727495786666E-4</v>
      </c>
      <c r="AA315" s="471">
        <f t="shared" si="1937"/>
        <v>0.23206420764514424</v>
      </c>
      <c r="AB315" s="471"/>
      <c r="AC315" s="471"/>
      <c r="AD315" s="471"/>
      <c r="AE315" s="471">
        <f t="shared" ref="AE315:AP315" si="1938">+AE314/AA314-1</f>
        <v>-5.0973767277817306</v>
      </c>
      <c r="AF315" s="471" t="e">
        <f t="shared" si="1938"/>
        <v>#DIV/0!</v>
      </c>
      <c r="AG315" s="471" t="e">
        <f t="shared" si="1938"/>
        <v>#DIV/0!</v>
      </c>
      <c r="AH315" s="471" t="e">
        <f t="shared" si="1938"/>
        <v>#DIV/0!</v>
      </c>
      <c r="AI315" s="471">
        <f t="shared" si="1938"/>
        <v>0.21561992307342237</v>
      </c>
      <c r="AJ315" s="471">
        <f t="shared" si="1938"/>
        <v>0.12348887412113374</v>
      </c>
      <c r="AK315" s="471">
        <f t="shared" si="1938"/>
        <v>-65.952906926573334</v>
      </c>
      <c r="AL315" s="471">
        <f t="shared" si="1938"/>
        <v>8.7190767099494026E-2</v>
      </c>
      <c r="AM315" s="1034">
        <f t="shared" si="1938"/>
        <v>5.3213329991605329E-2</v>
      </c>
      <c r="AN315" s="471">
        <f t="shared" si="1938"/>
        <v>6.086924205997124E-2</v>
      </c>
      <c r="AO315" s="471">
        <f t="shared" si="1938"/>
        <v>6.0923746185337579E-2</v>
      </c>
      <c r="AP315" s="471">
        <f t="shared" si="1938"/>
        <v>6.076414164742161E-2</v>
      </c>
      <c r="AQ315" s="471">
        <f t="shared" ref="AQ315" si="1939">+AQ314/AM314-1</f>
        <v>5.3410459907546226E-2</v>
      </c>
      <c r="AR315" s="471">
        <f t="shared" ref="AR315" si="1940">+AR314/AN314-1</f>
        <v>6.0819367765138743E-2</v>
      </c>
      <c r="AS315" s="471">
        <f t="shared" ref="AS315" si="1941">+AS314/AO314-1</f>
        <v>6.0870699886451662E-2</v>
      </c>
      <c r="AT315" s="471">
        <f t="shared" ref="AT315" si="1942">+AT314/AP314-1</f>
        <v>6.072036904097744E-2</v>
      </c>
      <c r="AU315" s="471">
        <f t="shared" ref="AU315" si="1943">+AU314/AQ314-1</f>
        <v>5.3603423860682842E-2</v>
      </c>
      <c r="AV315" s="471">
        <f t="shared" ref="AV315" si="1944">+AV314/AR314-1</f>
        <v>6.077239140803492E-2</v>
      </c>
      <c r="AW315" s="471">
        <f t="shared" ref="AW315" si="1945">+AW314/AS314-1</f>
        <v>6.0820740818409824E-2</v>
      </c>
      <c r="AX315" s="471">
        <f t="shared" ref="AX315" si="1946">+AX314/AT314-1</f>
        <v>6.0679131901302918E-2</v>
      </c>
      <c r="AY315" s="471"/>
      <c r="AZ315" s="471"/>
      <c r="BA315" s="72"/>
      <c r="BB315" s="471">
        <v>6.072036904097744E-2</v>
      </c>
      <c r="BC315" s="2189"/>
      <c r="BD315" s="72"/>
      <c r="BE315" s="471"/>
      <c r="BF315" s="471">
        <f t="shared" ref="BF315:BU315" si="1947">+BF314/BE314-1</f>
        <v>-0.19763446016143205</v>
      </c>
      <c r="BG315" s="471">
        <f t="shared" si="1947"/>
        <v>0.25223172216970124</v>
      </c>
      <c r="BH315" s="471">
        <f t="shared" si="1947"/>
        <v>-5.7445626762494317E-2</v>
      </c>
      <c r="BI315" s="471"/>
      <c r="BJ315" s="2027">
        <f>+BJ314/BH314-1</f>
        <v>7.1545201411440384E-2</v>
      </c>
      <c r="BK315" s="471">
        <f>+BK314/BJ314-1</f>
        <v>-5.6673725928476748E-2</v>
      </c>
      <c r="BL315" s="471">
        <f t="shared" si="1947"/>
        <v>-0.83039327261463303</v>
      </c>
      <c r="BM315" s="471">
        <f t="shared" si="1947"/>
        <v>-14.892146644184175</v>
      </c>
      <c r="BN315" s="471">
        <f t="shared" si="1947"/>
        <v>0.48790792300446584</v>
      </c>
      <c r="BO315" s="1034">
        <f t="shared" si="1947"/>
        <v>5.9007584993200135E-2</v>
      </c>
      <c r="BP315" s="471">
        <f t="shared" si="1947"/>
        <v>5.9027949669827384E-2</v>
      </c>
      <c r="BQ315" s="471">
        <f t="shared" si="1947"/>
        <v>5.9048484633321907E-2</v>
      </c>
      <c r="BR315" s="471">
        <f t="shared" si="1947"/>
        <v>5.9069132979521877E-2</v>
      </c>
      <c r="BS315" s="471">
        <f t="shared" si="1947"/>
        <v>5.9089842594365782E-2</v>
      </c>
      <c r="BT315" s="471">
        <f t="shared" si="1947"/>
        <v>5.9110565837503737E-2</v>
      </c>
      <c r="BU315" s="471">
        <f t="shared" si="1947"/>
        <v>5.9131259245024159E-2</v>
      </c>
    </row>
    <row r="316" spans="1:73" s="468" customFormat="1" ht="15" hidden="1" customHeight="1">
      <c r="B316" s="468" t="s">
        <v>30</v>
      </c>
      <c r="C316" s="902">
        <f t="shared" ref="C316:AA316" si="1948">+C314/C$285</f>
        <v>0.21602703355056721</v>
      </c>
      <c r="D316" s="902">
        <f t="shared" si="1948"/>
        <v>0.21697778408687626</v>
      </c>
      <c r="E316" s="902">
        <f t="shared" si="1948"/>
        <v>0.24352103369796638</v>
      </c>
      <c r="F316" s="902">
        <f t="shared" si="1948"/>
        <v>0.21863527028737814</v>
      </c>
      <c r="G316" s="902">
        <f t="shared" si="1948"/>
        <v>0.13934207007221189</v>
      </c>
      <c r="H316" s="902">
        <f t="shared" si="1948"/>
        <v>0.19684638860630721</v>
      </c>
      <c r="I316" s="902">
        <f t="shared" si="1948"/>
        <v>0.17250098775187675</v>
      </c>
      <c r="J316" s="902">
        <f t="shared" si="1948"/>
        <v>0.22809696506966981</v>
      </c>
      <c r="K316" s="902">
        <f t="shared" si="1948"/>
        <v>0.28142527695900821</v>
      </c>
      <c r="L316" s="902">
        <f t="shared" si="1948"/>
        <v>0.19011500568198816</v>
      </c>
      <c r="M316" s="902">
        <f t="shared" si="1948"/>
        <v>0.25940487530693701</v>
      </c>
      <c r="N316" s="902">
        <f t="shared" si="1948"/>
        <v>0.18695518663158595</v>
      </c>
      <c r="O316" s="902">
        <f t="shared" si="1948"/>
        <v>0.16039337960287139</v>
      </c>
      <c r="P316" s="902">
        <f t="shared" si="1948"/>
        <v>0.17754190398597389</v>
      </c>
      <c r="Q316" s="902">
        <f t="shared" si="1948"/>
        <v>0.22949640287769782</v>
      </c>
      <c r="R316" s="902">
        <f t="shared" si="1948"/>
        <v>0.20739643405110839</v>
      </c>
      <c r="S316" s="1037">
        <f t="shared" si="1948"/>
        <v>0.17247181558135624</v>
      </c>
      <c r="T316" s="902">
        <f t="shared" si="1948"/>
        <v>0.24558145491803288</v>
      </c>
      <c r="U316" s="902">
        <f t="shared" si="1948"/>
        <v>0.17389914999680448</v>
      </c>
      <c r="V316" s="902">
        <f t="shared" si="1948"/>
        <v>0.21027749229188075</v>
      </c>
      <c r="W316" s="1037">
        <f t="shared" si="1948"/>
        <v>0.12632713556950007</v>
      </c>
      <c r="X316" s="902">
        <f t="shared" si="1948"/>
        <v>0.17733697345369828</v>
      </c>
      <c r="Y316" s="902">
        <f t="shared" si="1948"/>
        <v>0.15910400183828999</v>
      </c>
      <c r="Z316" s="902">
        <f t="shared" si="1948"/>
        <v>0.18087896412691742</v>
      </c>
      <c r="AA316" s="902">
        <f t="shared" si="1948"/>
        <v>0.13823296829283271</v>
      </c>
      <c r="AB316" s="902"/>
      <c r="AC316" s="902"/>
      <c r="AD316" s="902"/>
      <c r="AE316" s="902">
        <f t="shared" ref="AE316:AP316" si="1949">+AE314/AE$285</f>
        <v>-0.54936231551429937</v>
      </c>
      <c r="AF316" s="902">
        <f t="shared" si="1949"/>
        <v>-0.44279292680539706</v>
      </c>
      <c r="AG316" s="902">
        <f t="shared" si="1949"/>
        <v>7.3719267680088163E-3</v>
      </c>
      <c r="AH316" s="902">
        <f t="shared" si="1949"/>
        <v>-0.43399090590429745</v>
      </c>
      <c r="AI316" s="902">
        <f t="shared" si="1949"/>
        <v>-0.53468036487184123</v>
      </c>
      <c r="AJ316" s="902">
        <f t="shared" si="1949"/>
        <v>-0.43371658832205501</v>
      </c>
      <c r="AK316" s="902">
        <f t="shared" si="1949"/>
        <v>-0.4333285730606255</v>
      </c>
      <c r="AL316" s="902">
        <f t="shared" si="1949"/>
        <v>-0.43446676418443592</v>
      </c>
      <c r="AM316" s="1037">
        <f t="shared" si="1949"/>
        <v>-0.53125706374320614</v>
      </c>
      <c r="AN316" s="902">
        <f t="shared" si="1949"/>
        <v>-0.43407225313401415</v>
      </c>
      <c r="AO316" s="902">
        <f t="shared" si="1949"/>
        <v>-0.43370620100059015</v>
      </c>
      <c r="AP316" s="902">
        <f t="shared" si="1949"/>
        <v>-0.43477996621173198</v>
      </c>
      <c r="AQ316" s="902">
        <f t="shared" ref="AQ316:AT316" si="1950">+AQ314/AQ$285</f>
        <v>-0.52795447910081439</v>
      </c>
      <c r="AR316" s="902">
        <f t="shared" si="1950"/>
        <v>-0.43440778597548502</v>
      </c>
      <c r="AS316" s="902">
        <f t="shared" si="1950"/>
        <v>-0.43406245377414165</v>
      </c>
      <c r="AT316" s="902">
        <f t="shared" si="1950"/>
        <v>-0.43507543982238867</v>
      </c>
      <c r="AU316" s="902">
        <f t="shared" ref="AU316:AX316" si="1951">+AU314/AU$285</f>
        <v>-0.5247685347388692</v>
      </c>
      <c r="AV316" s="902">
        <f t="shared" si="1951"/>
        <v>-0.43472432639196701</v>
      </c>
      <c r="AW316" s="902">
        <f t="shared" si="1951"/>
        <v>-0.43439854129636002</v>
      </c>
      <c r="AX316" s="902">
        <f t="shared" si="1951"/>
        <v>-0.43535418851168745</v>
      </c>
      <c r="AY316" s="902"/>
      <c r="AZ316" s="902"/>
      <c r="BA316" s="2257"/>
      <c r="BB316" s="902">
        <v>-0.43507543982238867</v>
      </c>
      <c r="BC316" s="2200"/>
      <c r="BD316" s="2257"/>
      <c r="BE316" s="902">
        <f>+BE314/BE$285</f>
        <v>0.22369808892146525</v>
      </c>
      <c r="BF316" s="902">
        <f>+BF314/BF$285</f>
        <v>0.18818766283668537</v>
      </c>
      <c r="BG316" s="902">
        <f>+BG314/BG$285</f>
        <v>0.22551923989137293</v>
      </c>
      <c r="BH316" s="902">
        <f>+BH314/BH$285</f>
        <v>0.19677593150460479</v>
      </c>
      <c r="BI316" s="902"/>
      <c r="BJ316" s="2033">
        <f t="shared" ref="BJ316:BO316" si="1952">+BJ314/BJ$285</f>
        <v>0.2028142918749701</v>
      </c>
      <c r="BK316" s="902">
        <f t="shared" si="1952"/>
        <v>0.16420255521280286</v>
      </c>
      <c r="BL316" s="902">
        <f t="shared" si="1952"/>
        <v>2.8560309812332613E-2</v>
      </c>
      <c r="BM316" s="902">
        <f t="shared" si="1952"/>
        <v>-0.34725784084834832</v>
      </c>
      <c r="BN316" s="902">
        <f t="shared" si="1952"/>
        <v>-0.45452398558857748</v>
      </c>
      <c r="BO316" s="1037">
        <f t="shared" si="1952"/>
        <v>-0.45409844179211656</v>
      </c>
      <c r="BP316" s="902">
        <f t="shared" ref="BP316:BQ316" si="1953">+BP314/BP$285</f>
        <v>-0.45368202052770634</v>
      </c>
      <c r="BQ316" s="902">
        <f t="shared" si="1953"/>
        <v>-0.45327477013702921</v>
      </c>
      <c r="BR316" s="902">
        <f>+BR314/BR$285</f>
        <v>-0.45287671491558068</v>
      </c>
      <c r="BS316" s="902">
        <f>+BS314/BS$285</f>
        <v>-0.45248785727792057</v>
      </c>
      <c r="BT316" s="902">
        <f>+BT314/BT$285</f>
        <v>-0.45210817977001705</v>
      </c>
      <c r="BU316" s="902">
        <f>+BU314/BU$285</f>
        <v>-0.45173764693848484</v>
      </c>
    </row>
    <row r="317" spans="1:73" s="325" customFormat="1" ht="15" hidden="1" customHeight="1">
      <c r="B317" s="325" t="s">
        <v>331</v>
      </c>
      <c r="C317" s="673"/>
      <c r="D317" s="673"/>
      <c r="E317" s="673"/>
      <c r="F317" s="673"/>
      <c r="G317" s="673">
        <f t="shared" ref="G317:AA317" si="1954">+G316-C316</f>
        <v>-7.6684963478355322E-2</v>
      </c>
      <c r="H317" s="673">
        <f t="shared" si="1954"/>
        <v>-2.0131395480569053E-2</v>
      </c>
      <c r="I317" s="673">
        <f t="shared" si="1954"/>
        <v>-7.1020045946089627E-2</v>
      </c>
      <c r="J317" s="673">
        <f t="shared" si="1954"/>
        <v>9.4616947822916686E-3</v>
      </c>
      <c r="K317" s="673">
        <f t="shared" si="1954"/>
        <v>0.14208320688679632</v>
      </c>
      <c r="L317" s="673">
        <f t="shared" si="1954"/>
        <v>-6.7313829243190459E-3</v>
      </c>
      <c r="M317" s="673">
        <f t="shared" si="1954"/>
        <v>8.6903887555060261E-2</v>
      </c>
      <c r="N317" s="673">
        <f t="shared" si="1954"/>
        <v>-4.1141778438083865E-2</v>
      </c>
      <c r="O317" s="673">
        <f t="shared" si="1954"/>
        <v>-0.12103189735613681</v>
      </c>
      <c r="P317" s="673">
        <f t="shared" si="1954"/>
        <v>-1.2573101696014277E-2</v>
      </c>
      <c r="Q317" s="673">
        <f t="shared" si="1954"/>
        <v>-2.9908472429239191E-2</v>
      </c>
      <c r="R317" s="673">
        <f t="shared" si="1954"/>
        <v>2.044124741952244E-2</v>
      </c>
      <c r="S317" s="1832">
        <f t="shared" si="1954"/>
        <v>1.2078435978484847E-2</v>
      </c>
      <c r="T317" s="673">
        <f t="shared" si="1954"/>
        <v>6.803955093205899E-2</v>
      </c>
      <c r="U317" s="673">
        <f t="shared" si="1954"/>
        <v>-5.5597252880893344E-2</v>
      </c>
      <c r="V317" s="673">
        <f t="shared" si="1954"/>
        <v>2.8810582407723662E-3</v>
      </c>
      <c r="W317" s="1832">
        <f t="shared" si="1954"/>
        <v>-4.6144680011856176E-2</v>
      </c>
      <c r="X317" s="673">
        <f t="shared" si="1954"/>
        <v>-6.8244481464334594E-2</v>
      </c>
      <c r="Y317" s="673">
        <f t="shared" si="1954"/>
        <v>-1.4795148158514487E-2</v>
      </c>
      <c r="Z317" s="673">
        <f t="shared" si="1954"/>
        <v>-2.9398528164963328E-2</v>
      </c>
      <c r="AA317" s="673">
        <f t="shared" si="1954"/>
        <v>1.1905832723332649E-2</v>
      </c>
      <c r="AB317" s="673"/>
      <c r="AC317" s="673"/>
      <c r="AD317" s="673"/>
      <c r="AE317" s="673">
        <f t="shared" ref="AE317:AP317" si="1955">+AE316-AA316</f>
        <v>-0.68759528380713208</v>
      </c>
      <c r="AF317" s="673">
        <f t="shared" si="1955"/>
        <v>-0.44279292680539706</v>
      </c>
      <c r="AG317" s="673">
        <f t="shared" si="1955"/>
        <v>7.3719267680088163E-3</v>
      </c>
      <c r="AH317" s="673">
        <f t="shared" si="1955"/>
        <v>-0.43399090590429745</v>
      </c>
      <c r="AI317" s="673">
        <f t="shared" si="1955"/>
        <v>1.4681950642458141E-2</v>
      </c>
      <c r="AJ317" s="673">
        <f t="shared" si="1955"/>
        <v>9.0763384833420502E-3</v>
      </c>
      <c r="AK317" s="673">
        <f t="shared" si="1955"/>
        <v>-0.4407004998286343</v>
      </c>
      <c r="AL317" s="673">
        <f t="shared" si="1955"/>
        <v>-4.7585828013846365E-4</v>
      </c>
      <c r="AM317" s="1832">
        <f t="shared" si="1955"/>
        <v>3.4233011286350923E-3</v>
      </c>
      <c r="AN317" s="673">
        <f t="shared" si="1955"/>
        <v>-3.5566481195914434E-4</v>
      </c>
      <c r="AO317" s="673">
        <f t="shared" si="1955"/>
        <v>-3.7762793996465316E-4</v>
      </c>
      <c r="AP317" s="673">
        <f t="shared" si="1955"/>
        <v>-3.1320202729606672E-4</v>
      </c>
      <c r="AQ317" s="673">
        <f t="shared" ref="AQ317" si="1956">+AQ316-AM316</f>
        <v>3.3025846423917482E-3</v>
      </c>
      <c r="AR317" s="673">
        <f t="shared" ref="AR317" si="1957">+AR316-AN316</f>
        <v>-3.3553284147086471E-4</v>
      </c>
      <c r="AS317" s="673">
        <f t="shared" ref="AS317" si="1958">+AS316-AO316</f>
        <v>-3.5625277355150198E-4</v>
      </c>
      <c r="AT317" s="673">
        <f t="shared" ref="AT317" si="1959">+AT316-AP316</f>
        <v>-2.9547361065668243E-4</v>
      </c>
      <c r="AU317" s="673">
        <f t="shared" ref="AU317" si="1960">+AU316-AQ316</f>
        <v>3.1859443619451921E-3</v>
      </c>
      <c r="AV317" s="673">
        <f t="shared" ref="AV317" si="1961">+AV316-AR316</f>
        <v>-3.1654041648199183E-4</v>
      </c>
      <c r="AW317" s="673">
        <f t="shared" ref="AW317" si="1962">+AW316-AS316</f>
        <v>-3.3608752221836458E-4</v>
      </c>
      <c r="AX317" s="673">
        <f t="shared" ref="AX317" si="1963">+AX316-AT316</f>
        <v>-2.7874868929878005E-4</v>
      </c>
      <c r="AY317" s="673"/>
      <c r="AZ317" s="673"/>
      <c r="BA317" s="72"/>
      <c r="BB317" s="673">
        <v>-2.9547361065668243E-4</v>
      </c>
      <c r="BC317" s="2189"/>
      <c r="BD317" s="72"/>
      <c r="BE317" s="337"/>
      <c r="BF317" s="673">
        <f t="shared" ref="BF317:BU317" si="1964">+BF316-BE316</f>
        <v>-3.5510426084779889E-2</v>
      </c>
      <c r="BG317" s="673">
        <f t="shared" si="1964"/>
        <v>3.7331577054687565E-2</v>
      </c>
      <c r="BH317" s="673">
        <f t="shared" si="1964"/>
        <v>-2.874330838676814E-2</v>
      </c>
      <c r="BI317" s="673"/>
      <c r="BJ317" s="2039">
        <f>+BJ316-BH316</f>
        <v>6.0383603703653144E-3</v>
      </c>
      <c r="BK317" s="673">
        <f>+BK316-BJ316</f>
        <v>-3.8611736662167245E-2</v>
      </c>
      <c r="BL317" s="673">
        <f t="shared" si="1964"/>
        <v>-0.13564224540047023</v>
      </c>
      <c r="BM317" s="673">
        <f t="shared" si="1964"/>
        <v>-0.37581815066068092</v>
      </c>
      <c r="BN317" s="673">
        <f t="shared" si="1964"/>
        <v>-0.10726614474022916</v>
      </c>
      <c r="BO317" s="1832">
        <f t="shared" si="1964"/>
        <v>4.2554379646092544E-4</v>
      </c>
      <c r="BP317" s="673">
        <f t="shared" si="1964"/>
        <v>4.164212644102161E-4</v>
      </c>
      <c r="BQ317" s="673">
        <f t="shared" si="1964"/>
        <v>4.0725039067712743E-4</v>
      </c>
      <c r="BR317" s="673">
        <f t="shared" si="1964"/>
        <v>3.9805522144853445E-4</v>
      </c>
      <c r="BS317" s="673">
        <f t="shared" si="1964"/>
        <v>3.8885763766011161E-4</v>
      </c>
      <c r="BT317" s="673">
        <f t="shared" si="1964"/>
        <v>3.7967750790351973E-4</v>
      </c>
      <c r="BU317" s="673">
        <f t="shared" si="1964"/>
        <v>3.7053283153221095E-4</v>
      </c>
    </row>
    <row r="318" spans="1:73" s="325" customFormat="1" ht="15" hidden="1" customHeight="1">
      <c r="C318" s="337"/>
      <c r="D318" s="337"/>
      <c r="E318" s="337"/>
      <c r="F318" s="337"/>
      <c r="G318" s="337"/>
      <c r="H318" s="337"/>
      <c r="I318" s="337"/>
      <c r="J318" s="337"/>
      <c r="K318" s="337"/>
      <c r="L318" s="337"/>
      <c r="M318" s="337"/>
      <c r="N318" s="337"/>
      <c r="O318" s="337"/>
      <c r="P318" s="337"/>
      <c r="Q318" s="337"/>
      <c r="R318" s="337"/>
      <c r="S318" s="1966"/>
      <c r="T318" s="337"/>
      <c r="U318" s="803"/>
      <c r="V318" s="338"/>
      <c r="W318" s="1818"/>
      <c r="X318" s="338"/>
      <c r="Y318" s="338"/>
      <c r="Z318" s="338"/>
      <c r="AA318" s="338"/>
      <c r="AB318" s="338"/>
      <c r="AC318" s="338"/>
      <c r="AD318" s="338"/>
      <c r="AE318" s="338"/>
      <c r="AF318" s="338"/>
      <c r="AG318" s="338"/>
      <c r="AH318" s="338"/>
      <c r="AI318" s="338"/>
      <c r="AJ318" s="338"/>
      <c r="AK318" s="338"/>
      <c r="AL318" s="338"/>
      <c r="AM318" s="1818"/>
      <c r="AN318" s="338"/>
      <c r="AO318" s="338"/>
      <c r="AP318" s="338"/>
      <c r="AQ318" s="338"/>
      <c r="AR318" s="338"/>
      <c r="AS318" s="338"/>
      <c r="AT318" s="338"/>
      <c r="AU318" s="338"/>
      <c r="AV318" s="338"/>
      <c r="AW318" s="338"/>
      <c r="AX318" s="338"/>
      <c r="AY318" s="338"/>
      <c r="AZ318" s="338"/>
      <c r="BA318" s="72"/>
      <c r="BB318" s="338"/>
      <c r="BC318" s="2189"/>
      <c r="BD318" s="72"/>
      <c r="BE318" s="337"/>
      <c r="BF318" s="337"/>
      <c r="BG318" s="337"/>
      <c r="BH318" s="337"/>
      <c r="BI318" s="337"/>
      <c r="BJ318" s="2022"/>
      <c r="BK318" s="337"/>
      <c r="BL318" s="337"/>
      <c r="BM318" s="337"/>
      <c r="BN318" s="337"/>
      <c r="BO318" s="1966"/>
      <c r="BP318" s="337"/>
      <c r="BQ318" s="337"/>
      <c r="BR318" s="338"/>
      <c r="BS318" s="338"/>
      <c r="BT318" s="338"/>
      <c r="BU318" s="338"/>
    </row>
    <row r="319" spans="1:73" s="336" customFormat="1" ht="15" hidden="1" customHeight="1">
      <c r="B319" s="336" t="s">
        <v>334</v>
      </c>
      <c r="G319" s="668"/>
      <c r="H319" s="668"/>
      <c r="I319" s="668"/>
      <c r="J319" s="668"/>
      <c r="K319" s="668">
        <f t="shared" ref="K319:R319" si="1965">+K314</f>
        <v>326.15993046812338</v>
      </c>
      <c r="L319" s="668">
        <f t="shared" si="1965"/>
        <v>255.66180873237988</v>
      </c>
      <c r="M319" s="668">
        <f t="shared" si="1965"/>
        <v>362.53663279311098</v>
      </c>
      <c r="N319" s="668">
        <f t="shared" si="1965"/>
        <v>312.8822770647659</v>
      </c>
      <c r="O319" s="668">
        <f t="shared" si="1965"/>
        <v>187.3998801284512</v>
      </c>
      <c r="P319" s="668">
        <f t="shared" si="1965"/>
        <v>254.71779185348532</v>
      </c>
      <c r="Q319" s="668">
        <f t="shared" si="1965"/>
        <v>350.9</v>
      </c>
      <c r="R319" s="668">
        <f t="shared" si="1965"/>
        <v>391.99999999999994</v>
      </c>
      <c r="S319" s="1829">
        <v>200</v>
      </c>
      <c r="T319" s="669">
        <v>376.1</v>
      </c>
      <c r="U319" s="669">
        <v>265.89999999999998</v>
      </c>
      <c r="V319" s="669">
        <v>398.1</v>
      </c>
      <c r="W319" s="1848">
        <f>+W320*W285</f>
        <v>157.44936812669994</v>
      </c>
      <c r="X319" s="670">
        <f>+X320*X285</f>
        <v>289.19577954779027</v>
      </c>
      <c r="Y319" s="670">
        <f>+Y320*Y285</f>
        <v>313.33482696064658</v>
      </c>
      <c r="Z319" s="670">
        <f>+Z320*Z285</f>
        <v>396.24575025693724</v>
      </c>
      <c r="AA319" s="670">
        <f>+AA320*AA285</f>
        <v>194.77781261611196</v>
      </c>
      <c r="AB319" s="670"/>
      <c r="AC319" s="670"/>
      <c r="AD319" s="670"/>
      <c r="AE319" s="670">
        <f t="shared" ref="AE319:AP319" si="1966">+AE320*AE285</f>
        <v>-832.42712675981807</v>
      </c>
      <c r="AF319" s="670">
        <f t="shared" si="1966"/>
        <v>-921.57991500000003</v>
      </c>
      <c r="AG319" s="670">
        <f t="shared" si="1966"/>
        <v>15</v>
      </c>
      <c r="AH319" s="670">
        <f t="shared" si="1966"/>
        <v>-1083.3352723200001</v>
      </c>
      <c r="AI319" s="670">
        <f t="shared" si="1966"/>
        <v>-1011.914999796</v>
      </c>
      <c r="AJ319" s="670">
        <f t="shared" si="1966"/>
        <v>-1035.3847811160001</v>
      </c>
      <c r="AK319" s="670">
        <f t="shared" si="1966"/>
        <v>-974.29360389859994</v>
      </c>
      <c r="AL319" s="670">
        <f t="shared" si="1966"/>
        <v>-1177.7921057395201</v>
      </c>
      <c r="AM319" s="1848">
        <f t="shared" si="1966"/>
        <v>-1065.7623666036</v>
      </c>
      <c r="AN319" s="670">
        <f t="shared" si="1966"/>
        <v>-1098.4078679829602</v>
      </c>
      <c r="AO319" s="670">
        <f t="shared" si="1966"/>
        <v>-1033.6512201325161</v>
      </c>
      <c r="AP319" s="670">
        <f t="shared" si="1966"/>
        <v>-1249.3596320838913</v>
      </c>
      <c r="AQ319" s="670">
        <f t="shared" ref="AQ319:AT319" si="1967">+AQ320*AQ285</f>
        <v>-1122.685224756053</v>
      </c>
      <c r="AR319" s="670">
        <f t="shared" si="1967"/>
        <v>-1165.2123400619378</v>
      </c>
      <c r="AS319" s="670">
        <f t="shared" si="1967"/>
        <v>-1096.5702933404671</v>
      </c>
      <c r="AT319" s="670">
        <f t="shared" si="1967"/>
        <v>-1325.2212100089248</v>
      </c>
      <c r="AU319" s="670">
        <f t="shared" ref="AU319:AX319" si="1968">+AU320*AU285</f>
        <v>-1182.8649967207778</v>
      </c>
      <c r="AV319" s="670">
        <f t="shared" si="1968"/>
        <v>-1236.0250804656541</v>
      </c>
      <c r="AW319" s="670">
        <f t="shared" si="1968"/>
        <v>-1163.2645109408952</v>
      </c>
      <c r="AX319" s="670">
        <f t="shared" si="1968"/>
        <v>-1405.6344826094605</v>
      </c>
      <c r="AY319" s="670"/>
      <c r="AZ319" s="670"/>
      <c r="BA319" s="985"/>
      <c r="BB319" s="670">
        <v>-1325.2212100089248</v>
      </c>
      <c r="BC319" s="2188"/>
      <c r="BD319" s="985"/>
      <c r="BE319" s="336">
        <f>+SUM(C319:F319)</f>
        <v>0</v>
      </c>
      <c r="BF319" s="336">
        <f>+SUM(G319:J319)</f>
        <v>0</v>
      </c>
      <c r="BG319" s="336">
        <f>+SUM(K319:N319)</f>
        <v>1257.2406490583803</v>
      </c>
      <c r="BH319" s="336">
        <f>+SUM(O319:R319)</f>
        <v>1185.0176719819365</v>
      </c>
      <c r="BJ319" s="2050">
        <f>+SUM(S319:V319)</f>
        <v>1240.0999999999999</v>
      </c>
      <c r="BK319" s="336">
        <f>+SUM(W319:Z319)</f>
        <v>1156.2257248920741</v>
      </c>
      <c r="BL319" s="336">
        <f>+SUM(AA319:AD319)</f>
        <v>194.77781261611196</v>
      </c>
      <c r="BM319" s="336">
        <f>+SUM(AE319:AH319)</f>
        <v>-2822.3423140798182</v>
      </c>
      <c r="BN319" s="336">
        <f>+SUM(AI319:AL319)</f>
        <v>-4199.3854905501203</v>
      </c>
      <c r="BO319" s="2470">
        <f>+SUM(AM319:AP319)</f>
        <v>-4447.1810868029679</v>
      </c>
      <c r="BP319" s="336">
        <f>+SUM(AQ319:AT319)</f>
        <v>-4709.6890681673822</v>
      </c>
      <c r="BQ319" s="336">
        <f>+SUM(AU319:AX319)</f>
        <v>-4987.7890707367878</v>
      </c>
      <c r="BR319" s="670">
        <f t="shared" ref="BR319:BU319" si="1969">+BR320*BR285</f>
        <v>-5282.4134466299447</v>
      </c>
      <c r="BS319" s="670">
        <f t="shared" si="1969"/>
        <v>-5594.5504257096691</v>
      </c>
      <c r="BT319" s="670">
        <f t="shared" si="1969"/>
        <v>-5925.2474669798148</v>
      </c>
      <c r="BU319" s="670">
        <f t="shared" si="1969"/>
        <v>-6275.6148110407212</v>
      </c>
    </row>
    <row r="320" spans="1:73" s="326" customFormat="1" ht="15" hidden="1" customHeight="1">
      <c r="B320" s="326" t="s">
        <v>30</v>
      </c>
      <c r="G320" s="643">
        <f t="shared" ref="G320:V320" si="1970">+G319/G$285</f>
        <v>0</v>
      </c>
      <c r="H320" s="643">
        <f t="shared" si="1970"/>
        <v>0</v>
      </c>
      <c r="I320" s="643">
        <f t="shared" si="1970"/>
        <v>0</v>
      </c>
      <c r="J320" s="643">
        <f t="shared" si="1970"/>
        <v>0</v>
      </c>
      <c r="K320" s="643">
        <f t="shared" si="1970"/>
        <v>0.28142527695900821</v>
      </c>
      <c r="L320" s="643">
        <f t="shared" si="1970"/>
        <v>0.19011500568198816</v>
      </c>
      <c r="M320" s="643">
        <f t="shared" si="1970"/>
        <v>0.25940487530693701</v>
      </c>
      <c r="N320" s="643">
        <f t="shared" si="1970"/>
        <v>0.18695518663158595</v>
      </c>
      <c r="O320" s="643">
        <f t="shared" si="1970"/>
        <v>0.16039337960287139</v>
      </c>
      <c r="P320" s="643">
        <f t="shared" si="1970"/>
        <v>0.17754190398597389</v>
      </c>
      <c r="Q320" s="643">
        <f t="shared" si="1970"/>
        <v>0.22949640287769782</v>
      </c>
      <c r="R320" s="643">
        <f t="shared" si="1970"/>
        <v>0.20739643405110839</v>
      </c>
      <c r="S320" s="1041">
        <f t="shared" si="1970"/>
        <v>0.16826518593303047</v>
      </c>
      <c r="T320" s="643">
        <f t="shared" si="1970"/>
        <v>0.24084272540983609</v>
      </c>
      <c r="U320" s="643">
        <f t="shared" si="1970"/>
        <v>0.16993672908544766</v>
      </c>
      <c r="V320" s="643">
        <f t="shared" si="1970"/>
        <v>0.20457348406988696</v>
      </c>
      <c r="W320" s="1849">
        <f>+W316+W322</f>
        <v>0.12062312734750627</v>
      </c>
      <c r="X320" s="671">
        <f>+X316+X322</f>
        <v>0.17163296523170449</v>
      </c>
      <c r="Y320" s="671">
        <f>+Y316+Y322</f>
        <v>0.15339999361629619</v>
      </c>
      <c r="Z320" s="671">
        <f>+Z316+Z322</f>
        <v>0.17517495590492363</v>
      </c>
      <c r="AA320" s="671">
        <f>+AA316+AA322</f>
        <v>0.13252896007083892</v>
      </c>
      <c r="AB320" s="671"/>
      <c r="AC320" s="671"/>
      <c r="AD320" s="671"/>
      <c r="AE320" s="671">
        <f t="shared" ref="AE320:AP320" si="1971">+AE316+AE322</f>
        <v>-0.54936231551429937</v>
      </c>
      <c r="AF320" s="671">
        <f t="shared" si="1971"/>
        <v>-0.44279292680539706</v>
      </c>
      <c r="AG320" s="671">
        <f t="shared" si="1971"/>
        <v>7.3719267680088163E-3</v>
      </c>
      <c r="AH320" s="671">
        <f t="shared" si="1971"/>
        <v>-0.43399090590429745</v>
      </c>
      <c r="AI320" s="671">
        <f t="shared" si="1971"/>
        <v>-0.53468036487184123</v>
      </c>
      <c r="AJ320" s="671">
        <f t="shared" si="1971"/>
        <v>-0.43371658832205501</v>
      </c>
      <c r="AK320" s="671">
        <f t="shared" si="1971"/>
        <v>-0.4333285730606255</v>
      </c>
      <c r="AL320" s="671">
        <f t="shared" si="1971"/>
        <v>-0.43446676418443592</v>
      </c>
      <c r="AM320" s="1849">
        <f t="shared" si="1971"/>
        <v>-0.53125706374320614</v>
      </c>
      <c r="AN320" s="671">
        <f t="shared" si="1971"/>
        <v>-0.43407225313401415</v>
      </c>
      <c r="AO320" s="671">
        <f t="shared" si="1971"/>
        <v>-0.43370620100059015</v>
      </c>
      <c r="AP320" s="671">
        <f t="shared" si="1971"/>
        <v>-0.43477996621173198</v>
      </c>
      <c r="AQ320" s="671">
        <f t="shared" ref="AQ320:AT320" si="1972">+AQ316+AQ322</f>
        <v>-0.52795447910081439</v>
      </c>
      <c r="AR320" s="671">
        <f t="shared" si="1972"/>
        <v>-0.43440778597548502</v>
      </c>
      <c r="AS320" s="671">
        <f t="shared" si="1972"/>
        <v>-0.43406245377414165</v>
      </c>
      <c r="AT320" s="671">
        <f t="shared" si="1972"/>
        <v>-0.43507543982238867</v>
      </c>
      <c r="AU320" s="671">
        <f t="shared" ref="AU320:AX320" si="1973">+AU316+AU322</f>
        <v>-0.5247685347388692</v>
      </c>
      <c r="AV320" s="671">
        <f t="shared" si="1973"/>
        <v>-0.43472432639196701</v>
      </c>
      <c r="AW320" s="671">
        <f t="shared" si="1973"/>
        <v>-0.43439854129636002</v>
      </c>
      <c r="AX320" s="671">
        <f t="shared" si="1973"/>
        <v>-0.43535418851168745</v>
      </c>
      <c r="AY320" s="671"/>
      <c r="AZ320" s="671"/>
      <c r="BA320" s="85"/>
      <c r="BB320" s="671">
        <v>-0.43507543982238867</v>
      </c>
      <c r="BC320" s="2197"/>
      <c r="BD320" s="85"/>
      <c r="BE320" s="643">
        <f t="shared" ref="BE320:BO320" si="1974">+BE319/BE$285</f>
        <v>0</v>
      </c>
      <c r="BF320" s="643">
        <f t="shared" si="1974"/>
        <v>0</v>
      </c>
      <c r="BG320" s="643">
        <f t="shared" si="1974"/>
        <v>0.22551923989137293</v>
      </c>
      <c r="BH320" s="643">
        <f t="shared" si="1974"/>
        <v>0.19677593150460479</v>
      </c>
      <c r="BI320" s="643"/>
      <c r="BJ320" s="2037">
        <f t="shared" si="1974"/>
        <v>0.19807056493475378</v>
      </c>
      <c r="BK320" s="643">
        <f t="shared" si="1974"/>
        <v>0.15849854699080909</v>
      </c>
      <c r="BL320" s="643">
        <f t="shared" si="1974"/>
        <v>2.7381804829012493E-2</v>
      </c>
      <c r="BM320" s="643">
        <f t="shared" si="1974"/>
        <v>-0.34725784084834832</v>
      </c>
      <c r="BN320" s="643">
        <f t="shared" si="1974"/>
        <v>-0.45452398558857748</v>
      </c>
      <c r="BO320" s="1041">
        <f t="shared" si="1974"/>
        <v>-0.45409844179211656</v>
      </c>
      <c r="BP320" s="643">
        <f t="shared" ref="BP320:BQ320" si="1975">+BP319/BP$285</f>
        <v>-0.45368202052770634</v>
      </c>
      <c r="BQ320" s="643">
        <f t="shared" si="1975"/>
        <v>-0.45327477013702921</v>
      </c>
      <c r="BR320" s="671">
        <f t="shared" ref="BR320:BU320" si="1976">+BR316+BR322</f>
        <v>-0.45287671491558068</v>
      </c>
      <c r="BS320" s="671">
        <f t="shared" si="1976"/>
        <v>-0.45248785727792057</v>
      </c>
      <c r="BT320" s="671">
        <f t="shared" si="1976"/>
        <v>-0.45210817977001705</v>
      </c>
      <c r="BU320" s="671">
        <f t="shared" si="1976"/>
        <v>-0.45173764693848484</v>
      </c>
    </row>
    <row r="321" spans="2:73" s="325" customFormat="1" ht="15" hidden="1" customHeight="1">
      <c r="B321" s="325" t="s">
        <v>108</v>
      </c>
      <c r="G321" s="672"/>
      <c r="H321" s="672"/>
      <c r="I321" s="672"/>
      <c r="J321" s="672"/>
      <c r="K321" s="673">
        <f t="shared" ref="K321:AA321" si="1977">+K320-G320</f>
        <v>0.28142527695900821</v>
      </c>
      <c r="L321" s="673">
        <f t="shared" si="1977"/>
        <v>0.19011500568198816</v>
      </c>
      <c r="M321" s="673">
        <f t="shared" si="1977"/>
        <v>0.25940487530693701</v>
      </c>
      <c r="N321" s="673">
        <f t="shared" si="1977"/>
        <v>0.18695518663158595</v>
      </c>
      <c r="O321" s="673">
        <f t="shared" si="1977"/>
        <v>-0.12103189735613681</v>
      </c>
      <c r="P321" s="673">
        <f t="shared" si="1977"/>
        <v>-1.2573101696014277E-2</v>
      </c>
      <c r="Q321" s="673">
        <f t="shared" si="1977"/>
        <v>-2.9908472429239191E-2</v>
      </c>
      <c r="R321" s="673">
        <f t="shared" si="1977"/>
        <v>2.044124741952244E-2</v>
      </c>
      <c r="S321" s="1832">
        <f t="shared" si="1977"/>
        <v>7.8718063301590757E-3</v>
      </c>
      <c r="T321" s="673">
        <f t="shared" si="1977"/>
        <v>6.3300821423862202E-2</v>
      </c>
      <c r="U321" s="673">
        <f t="shared" si="1977"/>
        <v>-5.9559673792250162E-2</v>
      </c>
      <c r="V321" s="673">
        <f t="shared" si="1977"/>
        <v>-2.8229499812214287E-3</v>
      </c>
      <c r="W321" s="1832">
        <f t="shared" si="1977"/>
        <v>-4.76420585855242E-2</v>
      </c>
      <c r="X321" s="673">
        <f t="shared" si="1977"/>
        <v>-6.9209760178131602E-2</v>
      </c>
      <c r="Y321" s="673">
        <f t="shared" si="1977"/>
        <v>-1.6536735469151465E-2</v>
      </c>
      <c r="Z321" s="673">
        <f t="shared" si="1977"/>
        <v>-2.9398528164963328E-2</v>
      </c>
      <c r="AA321" s="673">
        <f t="shared" si="1977"/>
        <v>1.1905832723332649E-2</v>
      </c>
      <c r="AB321" s="673"/>
      <c r="AC321" s="673"/>
      <c r="AD321" s="673"/>
      <c r="AE321" s="673">
        <f t="shared" ref="AE321:AP321" si="1978">+AE320-AA320</f>
        <v>-0.68189127558513829</v>
      </c>
      <c r="AF321" s="673">
        <f t="shared" si="1978"/>
        <v>-0.44279292680539706</v>
      </c>
      <c r="AG321" s="673">
        <f t="shared" si="1978"/>
        <v>7.3719267680088163E-3</v>
      </c>
      <c r="AH321" s="673">
        <f t="shared" si="1978"/>
        <v>-0.43399090590429745</v>
      </c>
      <c r="AI321" s="673">
        <f t="shared" si="1978"/>
        <v>1.4681950642458141E-2</v>
      </c>
      <c r="AJ321" s="673">
        <f t="shared" si="1978"/>
        <v>9.0763384833420502E-3</v>
      </c>
      <c r="AK321" s="673">
        <f t="shared" si="1978"/>
        <v>-0.4407004998286343</v>
      </c>
      <c r="AL321" s="673">
        <f t="shared" si="1978"/>
        <v>-4.7585828013846365E-4</v>
      </c>
      <c r="AM321" s="1832">
        <f t="shared" si="1978"/>
        <v>3.4233011286350923E-3</v>
      </c>
      <c r="AN321" s="673">
        <f t="shared" si="1978"/>
        <v>-3.5566481195914434E-4</v>
      </c>
      <c r="AO321" s="673">
        <f t="shared" si="1978"/>
        <v>-3.7762793996465316E-4</v>
      </c>
      <c r="AP321" s="673">
        <f t="shared" si="1978"/>
        <v>-3.1320202729606672E-4</v>
      </c>
      <c r="AQ321" s="673">
        <f t="shared" ref="AQ321" si="1979">+AQ320-AM320</f>
        <v>3.3025846423917482E-3</v>
      </c>
      <c r="AR321" s="673">
        <f t="shared" ref="AR321" si="1980">+AR320-AN320</f>
        <v>-3.3553284147086471E-4</v>
      </c>
      <c r="AS321" s="673">
        <f t="shared" ref="AS321" si="1981">+AS320-AO320</f>
        <v>-3.5625277355150198E-4</v>
      </c>
      <c r="AT321" s="673">
        <f t="shared" ref="AT321" si="1982">+AT320-AP320</f>
        <v>-2.9547361065668243E-4</v>
      </c>
      <c r="AU321" s="673">
        <f t="shared" ref="AU321" si="1983">+AU320-AQ320</f>
        <v>3.1859443619451921E-3</v>
      </c>
      <c r="AV321" s="673">
        <f t="shared" ref="AV321" si="1984">+AV320-AR320</f>
        <v>-3.1654041648199183E-4</v>
      </c>
      <c r="AW321" s="673">
        <f t="shared" ref="AW321" si="1985">+AW320-AS320</f>
        <v>-3.3608752221836458E-4</v>
      </c>
      <c r="AX321" s="673">
        <f t="shared" ref="AX321" si="1986">+AX320-AT320</f>
        <v>-2.7874868929878005E-4</v>
      </c>
      <c r="AY321" s="673"/>
      <c r="AZ321" s="673"/>
      <c r="BA321" s="72"/>
      <c r="BB321" s="673">
        <v>-2.9547361065668243E-4</v>
      </c>
      <c r="BC321" s="2189"/>
      <c r="BD321" s="72"/>
      <c r="BE321" s="673"/>
      <c r="BF321" s="673"/>
      <c r="BG321" s="673"/>
      <c r="BH321" s="673">
        <f t="shared" ref="BH321:BU321" si="1987">+BH320-BG320</f>
        <v>-2.874330838676814E-2</v>
      </c>
      <c r="BI321" s="673"/>
      <c r="BJ321" s="2039">
        <f>+BJ320-BH320</f>
        <v>1.2946334301489892E-3</v>
      </c>
      <c r="BK321" s="673">
        <f>+BK320-BJ320</f>
        <v>-3.9572017943944687E-2</v>
      </c>
      <c r="BL321" s="673">
        <f t="shared" si="1987"/>
        <v>-0.13111674216179658</v>
      </c>
      <c r="BM321" s="673">
        <f t="shared" si="1987"/>
        <v>-0.3746396456773608</v>
      </c>
      <c r="BN321" s="673">
        <f t="shared" si="1987"/>
        <v>-0.10726614474022916</v>
      </c>
      <c r="BO321" s="1832">
        <f t="shared" si="1987"/>
        <v>4.2554379646092544E-4</v>
      </c>
      <c r="BP321" s="673">
        <f t="shared" si="1987"/>
        <v>4.164212644102161E-4</v>
      </c>
      <c r="BQ321" s="673">
        <f t="shared" si="1987"/>
        <v>4.0725039067712743E-4</v>
      </c>
      <c r="BR321" s="673">
        <f t="shared" si="1987"/>
        <v>3.9805522144853445E-4</v>
      </c>
      <c r="BS321" s="673">
        <f t="shared" si="1987"/>
        <v>3.8885763766011161E-4</v>
      </c>
      <c r="BT321" s="673">
        <f t="shared" si="1987"/>
        <v>3.7967750790351973E-4</v>
      </c>
      <c r="BU321" s="673">
        <f t="shared" si="1987"/>
        <v>3.7053283153221095E-4</v>
      </c>
    </row>
    <row r="322" spans="2:73" s="325" customFormat="1" ht="15" hidden="1" customHeight="1">
      <c r="B322" s="325" t="s">
        <v>335</v>
      </c>
      <c r="G322" s="672"/>
      <c r="H322" s="672"/>
      <c r="I322" s="672"/>
      <c r="J322" s="672"/>
      <c r="K322" s="673"/>
      <c r="L322" s="673"/>
      <c r="M322" s="673"/>
      <c r="N322" s="673"/>
      <c r="O322" s="673"/>
      <c r="P322" s="673"/>
      <c r="Q322" s="673"/>
      <c r="R322" s="673"/>
      <c r="S322" s="1968">
        <f>+S320-S316</f>
        <v>-4.2066296483257715E-3</v>
      </c>
      <c r="T322" s="674">
        <f>+T320-T316</f>
        <v>-4.7387295081967873E-3</v>
      </c>
      <c r="U322" s="674">
        <f>+U320-U316</f>
        <v>-3.9624209113568176E-3</v>
      </c>
      <c r="V322" s="674">
        <f>+V320-V316</f>
        <v>-5.7040082219937949E-3</v>
      </c>
      <c r="W322" s="1850">
        <f>+V322</f>
        <v>-5.7040082219937949E-3</v>
      </c>
      <c r="X322" s="675">
        <f>+W322</f>
        <v>-5.7040082219937949E-3</v>
      </c>
      <c r="Y322" s="675">
        <f>+X322</f>
        <v>-5.7040082219937949E-3</v>
      </c>
      <c r="Z322" s="675">
        <f>+Y322</f>
        <v>-5.7040082219937949E-3</v>
      </c>
      <c r="AA322" s="675">
        <f>+Z322</f>
        <v>-5.7040082219937949E-3</v>
      </c>
      <c r="AB322" s="675"/>
      <c r="AC322" s="675"/>
      <c r="AD322" s="675"/>
      <c r="AE322" s="675">
        <f t="shared" ref="AE322:AP322" si="1988">+AD322</f>
        <v>0</v>
      </c>
      <c r="AF322" s="675">
        <f t="shared" si="1988"/>
        <v>0</v>
      </c>
      <c r="AG322" s="675">
        <f t="shared" si="1988"/>
        <v>0</v>
      </c>
      <c r="AH322" s="675">
        <f t="shared" si="1988"/>
        <v>0</v>
      </c>
      <c r="AI322" s="675">
        <f t="shared" si="1988"/>
        <v>0</v>
      </c>
      <c r="AJ322" s="675">
        <f t="shared" si="1988"/>
        <v>0</v>
      </c>
      <c r="AK322" s="675">
        <f t="shared" si="1988"/>
        <v>0</v>
      </c>
      <c r="AL322" s="675">
        <f t="shared" si="1988"/>
        <v>0</v>
      </c>
      <c r="AM322" s="1850">
        <f t="shared" si="1988"/>
        <v>0</v>
      </c>
      <c r="AN322" s="675">
        <f t="shared" si="1988"/>
        <v>0</v>
      </c>
      <c r="AO322" s="675">
        <f t="shared" si="1988"/>
        <v>0</v>
      </c>
      <c r="AP322" s="675">
        <f t="shared" si="1988"/>
        <v>0</v>
      </c>
      <c r="AQ322" s="675">
        <f t="shared" ref="AQ322" si="1989">+AP322</f>
        <v>0</v>
      </c>
      <c r="AR322" s="675">
        <f t="shared" ref="AR322" si="1990">+AQ322</f>
        <v>0</v>
      </c>
      <c r="AS322" s="675">
        <f t="shared" ref="AS322" si="1991">+AR322</f>
        <v>0</v>
      </c>
      <c r="AT322" s="675">
        <f t="shared" ref="AT322" si="1992">+AS322</f>
        <v>0</v>
      </c>
      <c r="AU322" s="675">
        <f t="shared" ref="AU322" si="1993">+AT322</f>
        <v>0</v>
      </c>
      <c r="AV322" s="675">
        <f t="shared" ref="AV322" si="1994">+AU322</f>
        <v>0</v>
      </c>
      <c r="AW322" s="675">
        <f t="shared" ref="AW322" si="1995">+AV322</f>
        <v>0</v>
      </c>
      <c r="AX322" s="675">
        <f t="shared" ref="AX322" si="1996">+AW322</f>
        <v>0</v>
      </c>
      <c r="AY322" s="675"/>
      <c r="AZ322" s="675"/>
      <c r="BA322" s="72"/>
      <c r="BB322" s="675">
        <v>0</v>
      </c>
      <c r="BC322" s="2189"/>
      <c r="BD322" s="72"/>
      <c r="BE322" s="674"/>
      <c r="BF322" s="674"/>
      <c r="BG322" s="674"/>
      <c r="BH322" s="674">
        <f t="shared" ref="BH322:BO322" si="1997">+BH320-BH316</f>
        <v>0</v>
      </c>
      <c r="BI322" s="674"/>
      <c r="BJ322" s="2051">
        <f t="shared" si="1997"/>
        <v>-4.7437269402163251E-3</v>
      </c>
      <c r="BK322" s="674">
        <f t="shared" si="1997"/>
        <v>-5.7040082219937671E-3</v>
      </c>
      <c r="BL322" s="674">
        <f t="shared" si="1997"/>
        <v>-1.1785049833201201E-3</v>
      </c>
      <c r="BM322" s="674">
        <f t="shared" si="1997"/>
        <v>0</v>
      </c>
      <c r="BN322" s="674">
        <f t="shared" si="1997"/>
        <v>0</v>
      </c>
      <c r="BO322" s="1968">
        <f t="shared" si="1997"/>
        <v>0</v>
      </c>
      <c r="BP322" s="674">
        <f t="shared" ref="BP322:BQ322" si="1998">+BP320-BP316</f>
        <v>0</v>
      </c>
      <c r="BQ322" s="674">
        <f t="shared" si="1998"/>
        <v>0</v>
      </c>
      <c r="BR322" s="675">
        <f t="shared" ref="BR322:BU322" si="1999">+BQ322</f>
        <v>0</v>
      </c>
      <c r="BS322" s="675">
        <f t="shared" si="1999"/>
        <v>0</v>
      </c>
      <c r="BT322" s="675">
        <f t="shared" si="1999"/>
        <v>0</v>
      </c>
      <c r="BU322" s="675">
        <f t="shared" si="1999"/>
        <v>0</v>
      </c>
    </row>
    <row r="323" spans="2:73" s="325" customFormat="1" ht="15" hidden="1" customHeight="1">
      <c r="C323" s="337"/>
      <c r="D323" s="337"/>
      <c r="E323" s="337"/>
      <c r="F323" s="337"/>
      <c r="G323" s="337"/>
      <c r="H323" s="337"/>
      <c r="I323" s="337"/>
      <c r="J323" s="337"/>
      <c r="K323" s="337"/>
      <c r="L323" s="337"/>
      <c r="M323" s="337"/>
      <c r="N323" s="337"/>
      <c r="O323" s="337"/>
      <c r="P323" s="337"/>
      <c r="Q323" s="337"/>
      <c r="R323" s="337"/>
      <c r="S323" s="1966"/>
      <c r="T323" s="337"/>
      <c r="U323" s="338"/>
      <c r="V323" s="338"/>
      <c r="W323" s="1818"/>
      <c r="X323" s="338"/>
      <c r="Y323" s="338"/>
      <c r="Z323" s="338"/>
      <c r="AA323" s="338"/>
      <c r="AB323" s="803"/>
      <c r="AC323" s="803"/>
      <c r="AD323" s="803"/>
      <c r="AE323" s="803">
        <f t="shared" ref="AE323:AP323" si="2000">+AE285-AD285</f>
        <v>-601.97130000000016</v>
      </c>
      <c r="AF323" s="803">
        <f t="shared" si="2000"/>
        <v>566.02800000000025</v>
      </c>
      <c r="AG323" s="803">
        <f t="shared" si="2000"/>
        <v>-46.542497000000139</v>
      </c>
      <c r="AH323" s="803">
        <f t="shared" si="2000"/>
        <v>461.470325</v>
      </c>
      <c r="AI323" s="803">
        <f t="shared" si="2000"/>
        <v>-603.65591369999993</v>
      </c>
      <c r="AJ323" s="803">
        <f t="shared" si="2000"/>
        <v>494.6775246000002</v>
      </c>
      <c r="AK323" s="803">
        <f t="shared" si="2000"/>
        <v>-138.84358458500037</v>
      </c>
      <c r="AL323" s="803">
        <f t="shared" si="2000"/>
        <v>462.49659509300045</v>
      </c>
      <c r="AM323" s="2409">
        <f t="shared" si="2000"/>
        <v>-704.77689825000016</v>
      </c>
      <c r="AN323" s="803">
        <f t="shared" si="2000"/>
        <v>524.35817607600029</v>
      </c>
      <c r="AO323" s="803">
        <f t="shared" si="2000"/>
        <v>-147.17419966010038</v>
      </c>
      <c r="AP323" s="803">
        <f t="shared" si="2000"/>
        <v>490.24639079858025</v>
      </c>
      <c r="AQ323" s="803">
        <f t="shared" ref="AQ323" si="2001">+AQ285-AP285</f>
        <v>-747.063512145</v>
      </c>
      <c r="AR323" s="803">
        <f t="shared" ref="AR323" si="2002">+AR285-AQ285</f>
        <v>555.81966664056017</v>
      </c>
      <c r="AS323" s="803">
        <f t="shared" ref="AS323" si="2003">+AS285-AR285</f>
        <v>-156.00465163970648</v>
      </c>
      <c r="AT323" s="803">
        <f t="shared" ref="AT323" si="2004">+AT285-AS285</f>
        <v>519.66117424649519</v>
      </c>
      <c r="AU323" s="803">
        <f t="shared" ref="AU323" si="2005">+AU285-AT285</f>
        <v>-791.88732287369976</v>
      </c>
      <c r="AV323" s="803">
        <f t="shared" ref="AV323" si="2006">+AV285-AU285</f>
        <v>589.16884663899373</v>
      </c>
      <c r="AW323" s="803">
        <f t="shared" ref="AW323" si="2007">+AW285-AV285</f>
        <v>-165.36493073808879</v>
      </c>
      <c r="AX323" s="803">
        <f t="shared" ref="AX323" si="2008">+AX285-AW285</f>
        <v>550.84084470128482</v>
      </c>
      <c r="AY323" s="803"/>
      <c r="AZ323" s="803"/>
      <c r="BA323" s="72"/>
      <c r="BB323" s="803">
        <v>519.66117424649519</v>
      </c>
      <c r="BC323" s="2189"/>
      <c r="BD323" s="72"/>
      <c r="BE323" s="337"/>
      <c r="BF323" s="337"/>
      <c r="BG323" s="337"/>
      <c r="BH323" s="337"/>
      <c r="BI323" s="337"/>
      <c r="BJ323" s="2022"/>
      <c r="BK323" s="337"/>
      <c r="BL323" s="337"/>
      <c r="BM323" s="337"/>
      <c r="BN323" s="337"/>
      <c r="BO323" s="1966"/>
      <c r="BP323" s="337"/>
      <c r="BQ323" s="337"/>
      <c r="BR323" s="338"/>
      <c r="BS323" s="338"/>
      <c r="BT323" s="338"/>
      <c r="BU323" s="338"/>
    </row>
    <row r="324" spans="2:73" s="325" customFormat="1" ht="15" hidden="1" customHeight="1">
      <c r="S324" s="1030"/>
      <c r="W324" s="1030"/>
      <c r="AM324" s="1030"/>
      <c r="BA324" s="72"/>
      <c r="BC324" s="2189"/>
      <c r="BD324" s="72"/>
      <c r="BJ324" s="2019"/>
      <c r="BO324" s="1030"/>
    </row>
    <row r="325" spans="2:73" s="325" customFormat="1" ht="15" hidden="1" customHeight="1">
      <c r="B325" s="326" t="s">
        <v>336</v>
      </c>
      <c r="S325" s="1030"/>
      <c r="W325" s="1030"/>
      <c r="AM325" s="1030"/>
      <c r="BA325" s="72"/>
      <c r="BC325" s="2189"/>
      <c r="BD325" s="72"/>
      <c r="BJ325" s="2019"/>
      <c r="BO325" s="1030"/>
    </row>
    <row r="326" spans="2:73" s="325" customFormat="1" ht="15" hidden="1" customHeight="1">
      <c r="B326" s="325" t="s">
        <v>314</v>
      </c>
      <c r="C326" s="822">
        <v>0.41888227533108485</v>
      </c>
      <c r="D326" s="822">
        <v>0.41888227533108485</v>
      </c>
      <c r="E326" s="822">
        <v>0.41888227533108485</v>
      </c>
      <c r="F326" s="822">
        <v>0.41888227533108485</v>
      </c>
      <c r="G326" s="822">
        <v>0.40219370771069507</v>
      </c>
      <c r="H326" s="822">
        <v>0.40219370771069507</v>
      </c>
      <c r="I326" s="822">
        <v>0.40219370771069507</v>
      </c>
      <c r="J326" s="822">
        <v>0.40219370771069507</v>
      </c>
      <c r="K326" s="822">
        <v>0.42460282565305829</v>
      </c>
      <c r="L326" s="822">
        <v>0.42460282565305829</v>
      </c>
      <c r="M326" s="822">
        <v>0.42460282565305829</v>
      </c>
      <c r="N326" s="822">
        <v>0.42460282565305829</v>
      </c>
      <c r="O326" s="822">
        <v>0.33754451021215048</v>
      </c>
      <c r="P326" s="822">
        <v>0.33754451021215048</v>
      </c>
      <c r="Q326" s="822">
        <v>0.33754451021215048</v>
      </c>
      <c r="R326" s="822">
        <v>0.33754451021215048</v>
      </c>
      <c r="S326" s="1969">
        <v>0.27302516586286996</v>
      </c>
      <c r="T326" s="822">
        <v>0.26823157820453458</v>
      </c>
      <c r="U326" s="822">
        <v>0.31470898061398855</v>
      </c>
      <c r="V326" s="822">
        <v>0.31470898061398855</v>
      </c>
      <c r="W326" s="1851">
        <f t="shared" ref="W326:AA330" si="2009">+V326</f>
        <v>0.31470898061398855</v>
      </c>
      <c r="X326" s="460">
        <f t="shared" si="2009"/>
        <v>0.31470898061398855</v>
      </c>
      <c r="Y326" s="460">
        <f t="shared" si="2009"/>
        <v>0.31470898061398855</v>
      </c>
      <c r="Z326" s="460">
        <f t="shared" si="2009"/>
        <v>0.31470898061398855</v>
      </c>
      <c r="AA326" s="460">
        <f t="shared" si="2009"/>
        <v>0.31470898061398855</v>
      </c>
      <c r="AB326" s="460"/>
      <c r="AC326" s="460"/>
      <c r="AD326" s="460"/>
      <c r="AE326" s="460">
        <f t="shared" ref="AE326:AP326" si="2010">+AD326</f>
        <v>0</v>
      </c>
      <c r="AF326" s="460">
        <f t="shared" si="2010"/>
        <v>0</v>
      </c>
      <c r="AG326" s="460">
        <f t="shared" si="2010"/>
        <v>0</v>
      </c>
      <c r="AH326" s="460">
        <f t="shared" si="2010"/>
        <v>0</v>
      </c>
      <c r="AI326" s="460">
        <f t="shared" si="2010"/>
        <v>0</v>
      </c>
      <c r="AJ326" s="460">
        <f t="shared" si="2010"/>
        <v>0</v>
      </c>
      <c r="AK326" s="460">
        <f t="shared" si="2010"/>
        <v>0</v>
      </c>
      <c r="AL326" s="460">
        <f t="shared" si="2010"/>
        <v>0</v>
      </c>
      <c r="AM326" s="1851">
        <f t="shared" si="2010"/>
        <v>0</v>
      </c>
      <c r="AN326" s="460">
        <f t="shared" si="2010"/>
        <v>0</v>
      </c>
      <c r="AO326" s="460">
        <f t="shared" si="2010"/>
        <v>0</v>
      </c>
      <c r="AP326" s="460">
        <f t="shared" si="2010"/>
        <v>0</v>
      </c>
      <c r="AQ326" s="460">
        <f t="shared" ref="AQ326:AQ330" si="2011">+AP326</f>
        <v>0</v>
      </c>
      <c r="AR326" s="460">
        <f t="shared" ref="AR326:AR330" si="2012">+AQ326</f>
        <v>0</v>
      </c>
      <c r="AS326" s="460">
        <f t="shared" ref="AS326:AS330" si="2013">+AR326</f>
        <v>0</v>
      </c>
      <c r="AT326" s="460">
        <f t="shared" ref="AT326:AT330" si="2014">+AS326</f>
        <v>0</v>
      </c>
      <c r="AU326" s="460">
        <f t="shared" ref="AU326:AU330" si="2015">+AT326</f>
        <v>0</v>
      </c>
      <c r="AV326" s="460">
        <f t="shared" ref="AV326:AV330" si="2016">+AU326</f>
        <v>0</v>
      </c>
      <c r="AW326" s="460">
        <f t="shared" ref="AW326:AW330" si="2017">+AV326</f>
        <v>0</v>
      </c>
      <c r="AX326" s="460">
        <f t="shared" ref="AX326:AX330" si="2018">+AW326</f>
        <v>0</v>
      </c>
      <c r="AY326" s="460"/>
      <c r="AZ326" s="460"/>
      <c r="BA326" s="72"/>
      <c r="BB326" s="460">
        <v>0</v>
      </c>
      <c r="BC326" s="2189"/>
      <c r="BD326" s="72"/>
      <c r="BE326" s="533">
        <f>+F326</f>
        <v>0.41888227533108485</v>
      </c>
      <c r="BF326" s="533">
        <f>+J326</f>
        <v>0.40219370771069507</v>
      </c>
      <c r="BG326" s="533">
        <f>+N326</f>
        <v>0.42460282565305829</v>
      </c>
      <c r="BH326" s="533">
        <f>+R326</f>
        <v>0.33754451021215048</v>
      </c>
      <c r="BI326" s="533"/>
      <c r="BJ326" s="2052">
        <f>+V326</f>
        <v>0.31470898061398855</v>
      </c>
      <c r="BK326" s="533">
        <f t="shared" ref="BK326:BL330" si="2019">+Z326</f>
        <v>0.31470898061398855</v>
      </c>
      <c r="BL326" s="533">
        <f t="shared" si="2019"/>
        <v>0.31470898061398855</v>
      </c>
      <c r="BM326" s="533">
        <f t="shared" ref="BM326:BN330" si="2020">+AH326</f>
        <v>0</v>
      </c>
      <c r="BN326" s="533">
        <f t="shared" si="2020"/>
        <v>0</v>
      </c>
      <c r="BO326" s="2222">
        <f>+AM326</f>
        <v>0</v>
      </c>
      <c r="BP326" s="533">
        <f>+AQ326</f>
        <v>0</v>
      </c>
      <c r="BQ326" s="533">
        <f>+AU326</f>
        <v>0</v>
      </c>
      <c r="BR326" s="460">
        <f t="shared" ref="BR326:BU330" si="2021">+BQ326</f>
        <v>0</v>
      </c>
      <c r="BS326" s="460">
        <f t="shared" si="2021"/>
        <v>0</v>
      </c>
      <c r="BT326" s="460">
        <f t="shared" si="2021"/>
        <v>0</v>
      </c>
      <c r="BU326" s="460">
        <f t="shared" si="2021"/>
        <v>0</v>
      </c>
    </row>
    <row r="327" spans="2:73" s="325" customFormat="1" ht="15" hidden="1" customHeight="1">
      <c r="B327" s="325" t="s">
        <v>337</v>
      </c>
      <c r="C327" s="822">
        <v>0.16051622666695775</v>
      </c>
      <c r="D327" s="822">
        <v>0.16051622666695775</v>
      </c>
      <c r="E327" s="822">
        <v>0.16051622666695775</v>
      </c>
      <c r="F327" s="822">
        <v>0.16051622666695775</v>
      </c>
      <c r="G327" s="822">
        <v>0.16143100120286588</v>
      </c>
      <c r="H327" s="822">
        <v>0.16143100120286588</v>
      </c>
      <c r="I327" s="822">
        <v>0.16143100120286588</v>
      </c>
      <c r="J327" s="822">
        <v>0.16143100120286588</v>
      </c>
      <c r="K327" s="822">
        <v>0.14667718758021067</v>
      </c>
      <c r="L327" s="822">
        <v>0.14667718758021067</v>
      </c>
      <c r="M327" s="822">
        <v>0.14667718758021067</v>
      </c>
      <c r="N327" s="822">
        <v>0.14667718758021067</v>
      </c>
      <c r="O327" s="822">
        <v>0.16387632678717251</v>
      </c>
      <c r="P327" s="822">
        <v>0.16387632678717251</v>
      </c>
      <c r="Q327" s="822">
        <v>0.16387632678717251</v>
      </c>
      <c r="R327" s="822">
        <v>0.16387632678717251</v>
      </c>
      <c r="S327" s="1969">
        <v>0.16687796504885707</v>
      </c>
      <c r="T327" s="822">
        <v>0.17207250818994635</v>
      </c>
      <c r="U327" s="822">
        <v>0.15940675949068533</v>
      </c>
      <c r="V327" s="822">
        <v>0.15940675949068533</v>
      </c>
      <c r="W327" s="1851">
        <f t="shared" si="2009"/>
        <v>0.15940675949068533</v>
      </c>
      <c r="X327" s="460">
        <f t="shared" si="2009"/>
        <v>0.15940675949068533</v>
      </c>
      <c r="Y327" s="460">
        <f t="shared" si="2009"/>
        <v>0.15940675949068533</v>
      </c>
      <c r="Z327" s="460">
        <f t="shared" si="2009"/>
        <v>0.15940675949068533</v>
      </c>
      <c r="AA327" s="460">
        <f t="shared" si="2009"/>
        <v>0.15940675949068533</v>
      </c>
      <c r="AB327" s="460"/>
      <c r="AC327" s="460"/>
      <c r="AD327" s="460"/>
      <c r="AE327" s="460">
        <f t="shared" ref="AE327:AP327" si="2022">+AD327</f>
        <v>0</v>
      </c>
      <c r="AF327" s="460">
        <f t="shared" si="2022"/>
        <v>0</v>
      </c>
      <c r="AG327" s="460">
        <f t="shared" si="2022"/>
        <v>0</v>
      </c>
      <c r="AH327" s="460">
        <f t="shared" si="2022"/>
        <v>0</v>
      </c>
      <c r="AI327" s="460">
        <f t="shared" si="2022"/>
        <v>0</v>
      </c>
      <c r="AJ327" s="460">
        <f t="shared" si="2022"/>
        <v>0</v>
      </c>
      <c r="AK327" s="460">
        <f t="shared" si="2022"/>
        <v>0</v>
      </c>
      <c r="AL327" s="460">
        <f t="shared" si="2022"/>
        <v>0</v>
      </c>
      <c r="AM327" s="1851">
        <f t="shared" si="2022"/>
        <v>0</v>
      </c>
      <c r="AN327" s="460">
        <f t="shared" si="2022"/>
        <v>0</v>
      </c>
      <c r="AO327" s="460">
        <f t="shared" si="2022"/>
        <v>0</v>
      </c>
      <c r="AP327" s="460">
        <f t="shared" si="2022"/>
        <v>0</v>
      </c>
      <c r="AQ327" s="460">
        <f t="shared" si="2011"/>
        <v>0</v>
      </c>
      <c r="AR327" s="460">
        <f t="shared" si="2012"/>
        <v>0</v>
      </c>
      <c r="AS327" s="460">
        <f t="shared" si="2013"/>
        <v>0</v>
      </c>
      <c r="AT327" s="460">
        <f t="shared" si="2014"/>
        <v>0</v>
      </c>
      <c r="AU327" s="460">
        <f t="shared" si="2015"/>
        <v>0</v>
      </c>
      <c r="AV327" s="460">
        <f t="shared" si="2016"/>
        <v>0</v>
      </c>
      <c r="AW327" s="460">
        <f t="shared" si="2017"/>
        <v>0</v>
      </c>
      <c r="AX327" s="460">
        <f t="shared" si="2018"/>
        <v>0</v>
      </c>
      <c r="AY327" s="460"/>
      <c r="AZ327" s="460"/>
      <c r="BA327" s="72"/>
      <c r="BB327" s="460">
        <v>0</v>
      </c>
      <c r="BC327" s="2189"/>
      <c r="BD327" s="72"/>
      <c r="BE327" s="533">
        <f>+F327</f>
        <v>0.16051622666695775</v>
      </c>
      <c r="BF327" s="533">
        <f>+J327</f>
        <v>0.16143100120286588</v>
      </c>
      <c r="BG327" s="533">
        <f>+N327</f>
        <v>0.14667718758021067</v>
      </c>
      <c r="BH327" s="533">
        <f>+R327</f>
        <v>0.16387632678717251</v>
      </c>
      <c r="BI327" s="533"/>
      <c r="BJ327" s="2052">
        <f>+V327</f>
        <v>0.15940675949068533</v>
      </c>
      <c r="BK327" s="533">
        <f t="shared" si="2019"/>
        <v>0.15940675949068533</v>
      </c>
      <c r="BL327" s="533">
        <f t="shared" si="2019"/>
        <v>0.15940675949068533</v>
      </c>
      <c r="BM327" s="533">
        <f t="shared" si="2020"/>
        <v>0</v>
      </c>
      <c r="BN327" s="533">
        <f t="shared" si="2020"/>
        <v>0</v>
      </c>
      <c r="BO327" s="2222">
        <f>+AM327</f>
        <v>0</v>
      </c>
      <c r="BP327" s="533">
        <f>+AQ327</f>
        <v>0</v>
      </c>
      <c r="BQ327" s="533">
        <f>+AU327</f>
        <v>0</v>
      </c>
      <c r="BR327" s="460">
        <f t="shared" si="2021"/>
        <v>0</v>
      </c>
      <c r="BS327" s="460">
        <f t="shared" si="2021"/>
        <v>0</v>
      </c>
      <c r="BT327" s="460">
        <f t="shared" si="2021"/>
        <v>0</v>
      </c>
      <c r="BU327" s="460">
        <f t="shared" si="2021"/>
        <v>0</v>
      </c>
    </row>
    <row r="328" spans="2:73" s="325" customFormat="1" ht="15" hidden="1" customHeight="1">
      <c r="B328" s="325" t="s">
        <v>338</v>
      </c>
      <c r="C328" s="822">
        <v>0.13348994080705795</v>
      </c>
      <c r="D328" s="822">
        <v>0.13348994080705795</v>
      </c>
      <c r="E328" s="822">
        <v>0.13348994080705795</v>
      </c>
      <c r="F328" s="822">
        <v>0.13348994080705795</v>
      </c>
      <c r="G328" s="822">
        <v>0.13858826847444289</v>
      </c>
      <c r="H328" s="822">
        <v>0.13858826847444289</v>
      </c>
      <c r="I328" s="822">
        <v>0.13858826847444289</v>
      </c>
      <c r="J328" s="822">
        <v>0.13858826847444289</v>
      </c>
      <c r="K328" s="822">
        <v>0.11575041866584689</v>
      </c>
      <c r="L328" s="822">
        <v>0.11575041866584689</v>
      </c>
      <c r="M328" s="822">
        <v>0.11575041866584689</v>
      </c>
      <c r="N328" s="822">
        <v>0.11575041866584689</v>
      </c>
      <c r="O328" s="822">
        <v>0.12402375191784461</v>
      </c>
      <c r="P328" s="822">
        <v>0.12402375191784461</v>
      </c>
      <c r="Q328" s="822">
        <v>0.12402375191784461</v>
      </c>
      <c r="R328" s="822">
        <v>0.12402375191784461</v>
      </c>
      <c r="S328" s="1969">
        <v>0.12629543109453101</v>
      </c>
      <c r="T328" s="822">
        <v>0.1302267294247266</v>
      </c>
      <c r="U328" s="822">
        <v>0.12064112480856387</v>
      </c>
      <c r="V328" s="822">
        <v>0.12064112480856387</v>
      </c>
      <c r="W328" s="1851">
        <f t="shared" si="2009"/>
        <v>0.12064112480856387</v>
      </c>
      <c r="X328" s="460">
        <f t="shared" si="2009"/>
        <v>0.12064112480856387</v>
      </c>
      <c r="Y328" s="460">
        <f t="shared" si="2009"/>
        <v>0.12064112480856387</v>
      </c>
      <c r="Z328" s="460">
        <f t="shared" si="2009"/>
        <v>0.12064112480856387</v>
      </c>
      <c r="AA328" s="460">
        <f t="shared" si="2009"/>
        <v>0.12064112480856387</v>
      </c>
      <c r="AB328" s="460"/>
      <c r="AC328" s="460"/>
      <c r="AD328" s="460"/>
      <c r="AE328" s="460">
        <f t="shared" ref="AE328:AP328" si="2023">+AD328</f>
        <v>0</v>
      </c>
      <c r="AF328" s="460">
        <f t="shared" si="2023"/>
        <v>0</v>
      </c>
      <c r="AG328" s="460">
        <f t="shared" si="2023"/>
        <v>0</v>
      </c>
      <c r="AH328" s="460">
        <f t="shared" si="2023"/>
        <v>0</v>
      </c>
      <c r="AI328" s="460">
        <f t="shared" si="2023"/>
        <v>0</v>
      </c>
      <c r="AJ328" s="460">
        <f t="shared" si="2023"/>
        <v>0</v>
      </c>
      <c r="AK328" s="460">
        <f t="shared" si="2023"/>
        <v>0</v>
      </c>
      <c r="AL328" s="460">
        <f t="shared" si="2023"/>
        <v>0</v>
      </c>
      <c r="AM328" s="1851">
        <f t="shared" si="2023"/>
        <v>0</v>
      </c>
      <c r="AN328" s="460">
        <f t="shared" si="2023"/>
        <v>0</v>
      </c>
      <c r="AO328" s="460">
        <f t="shared" si="2023"/>
        <v>0</v>
      </c>
      <c r="AP328" s="460">
        <f t="shared" si="2023"/>
        <v>0</v>
      </c>
      <c r="AQ328" s="460">
        <f t="shared" si="2011"/>
        <v>0</v>
      </c>
      <c r="AR328" s="460">
        <f t="shared" si="2012"/>
        <v>0</v>
      </c>
      <c r="AS328" s="460">
        <f t="shared" si="2013"/>
        <v>0</v>
      </c>
      <c r="AT328" s="460">
        <f t="shared" si="2014"/>
        <v>0</v>
      </c>
      <c r="AU328" s="460">
        <f t="shared" si="2015"/>
        <v>0</v>
      </c>
      <c r="AV328" s="460">
        <f t="shared" si="2016"/>
        <v>0</v>
      </c>
      <c r="AW328" s="460">
        <f t="shared" si="2017"/>
        <v>0</v>
      </c>
      <c r="AX328" s="460">
        <f t="shared" si="2018"/>
        <v>0</v>
      </c>
      <c r="AY328" s="460"/>
      <c r="AZ328" s="460"/>
      <c r="BA328" s="72"/>
      <c r="BB328" s="460">
        <v>0</v>
      </c>
      <c r="BC328" s="2189"/>
      <c r="BD328" s="72"/>
      <c r="BE328" s="533">
        <f>+F328</f>
        <v>0.13348994080705795</v>
      </c>
      <c r="BF328" s="533">
        <f>+J328</f>
        <v>0.13858826847444289</v>
      </c>
      <c r="BG328" s="533">
        <f>+N328</f>
        <v>0.11575041866584689</v>
      </c>
      <c r="BH328" s="533">
        <f>+R328</f>
        <v>0.12402375191784461</v>
      </c>
      <c r="BI328" s="533"/>
      <c r="BJ328" s="2052">
        <f>+V328</f>
        <v>0.12064112480856387</v>
      </c>
      <c r="BK328" s="533">
        <f t="shared" si="2019"/>
        <v>0.12064112480856387</v>
      </c>
      <c r="BL328" s="533">
        <f t="shared" si="2019"/>
        <v>0.12064112480856387</v>
      </c>
      <c r="BM328" s="533">
        <f t="shared" si="2020"/>
        <v>0</v>
      </c>
      <c r="BN328" s="533">
        <f t="shared" si="2020"/>
        <v>0</v>
      </c>
      <c r="BO328" s="2222">
        <f>+AM328</f>
        <v>0</v>
      </c>
      <c r="BP328" s="533">
        <f>+AQ328</f>
        <v>0</v>
      </c>
      <c r="BQ328" s="533">
        <f>+AU328</f>
        <v>0</v>
      </c>
      <c r="BR328" s="460">
        <f t="shared" si="2021"/>
        <v>0</v>
      </c>
      <c r="BS328" s="460">
        <f t="shared" si="2021"/>
        <v>0</v>
      </c>
      <c r="BT328" s="460">
        <f t="shared" si="2021"/>
        <v>0</v>
      </c>
      <c r="BU328" s="460">
        <f t="shared" si="2021"/>
        <v>0</v>
      </c>
    </row>
    <row r="329" spans="2:73" s="325" customFormat="1" ht="15" hidden="1" customHeight="1">
      <c r="B329" s="325" t="s">
        <v>313</v>
      </c>
      <c r="C329" s="822">
        <v>0.17654465564866428</v>
      </c>
      <c r="D329" s="822">
        <v>0.17654465564866428</v>
      </c>
      <c r="E329" s="822">
        <v>0.17654465564866428</v>
      </c>
      <c r="F329" s="822">
        <v>0.17654465564866428</v>
      </c>
      <c r="G329" s="822">
        <v>0.17369568011490338</v>
      </c>
      <c r="H329" s="822">
        <v>0.17369568011490338</v>
      </c>
      <c r="I329" s="822">
        <v>0.17369568011490338</v>
      </c>
      <c r="J329" s="822">
        <v>0.17369568011490338</v>
      </c>
      <c r="K329" s="822">
        <v>0.18610638047318012</v>
      </c>
      <c r="L329" s="822">
        <v>0.18610638047318012</v>
      </c>
      <c r="M329" s="822">
        <v>0.18610638047318012</v>
      </c>
      <c r="N329" s="822">
        <v>0.18610638047318012</v>
      </c>
      <c r="O329" s="822">
        <v>0.22767591926187258</v>
      </c>
      <c r="P329" s="822">
        <v>0.22767591926187258</v>
      </c>
      <c r="Q329" s="822">
        <v>0.22767591926187258</v>
      </c>
      <c r="R329" s="822">
        <v>0.22767591926187258</v>
      </c>
      <c r="S329" s="1969">
        <v>0.2842316301817534</v>
      </c>
      <c r="T329" s="822">
        <v>0.27524359800371939</v>
      </c>
      <c r="U329" s="822">
        <v>0.26236963843324479</v>
      </c>
      <c r="V329" s="822">
        <v>0.26236963843324479</v>
      </c>
      <c r="W329" s="1851">
        <f t="shared" si="2009"/>
        <v>0.26236963843324479</v>
      </c>
      <c r="X329" s="460">
        <f t="shared" si="2009"/>
        <v>0.26236963843324479</v>
      </c>
      <c r="Y329" s="460">
        <f t="shared" si="2009"/>
        <v>0.26236963843324479</v>
      </c>
      <c r="Z329" s="460">
        <f t="shared" si="2009"/>
        <v>0.26236963843324479</v>
      </c>
      <c r="AA329" s="460">
        <f t="shared" si="2009"/>
        <v>0.26236963843324479</v>
      </c>
      <c r="AB329" s="460"/>
      <c r="AC329" s="460"/>
      <c r="AD329" s="460"/>
      <c r="AE329" s="460">
        <f t="shared" ref="AE329:AP329" si="2024">+AD329</f>
        <v>0</v>
      </c>
      <c r="AF329" s="460">
        <f t="shared" si="2024"/>
        <v>0</v>
      </c>
      <c r="AG329" s="460">
        <f t="shared" si="2024"/>
        <v>0</v>
      </c>
      <c r="AH329" s="460">
        <f t="shared" si="2024"/>
        <v>0</v>
      </c>
      <c r="AI329" s="460">
        <f t="shared" si="2024"/>
        <v>0</v>
      </c>
      <c r="AJ329" s="460">
        <f t="shared" si="2024"/>
        <v>0</v>
      </c>
      <c r="AK329" s="460">
        <f t="shared" si="2024"/>
        <v>0</v>
      </c>
      <c r="AL329" s="460">
        <f t="shared" si="2024"/>
        <v>0</v>
      </c>
      <c r="AM329" s="1851">
        <f t="shared" si="2024"/>
        <v>0</v>
      </c>
      <c r="AN329" s="460">
        <f t="shared" si="2024"/>
        <v>0</v>
      </c>
      <c r="AO329" s="460">
        <f t="shared" si="2024"/>
        <v>0</v>
      </c>
      <c r="AP329" s="460">
        <f t="shared" si="2024"/>
        <v>0</v>
      </c>
      <c r="AQ329" s="460">
        <f t="shared" si="2011"/>
        <v>0</v>
      </c>
      <c r="AR329" s="460">
        <f t="shared" si="2012"/>
        <v>0</v>
      </c>
      <c r="AS329" s="460">
        <f t="shared" si="2013"/>
        <v>0</v>
      </c>
      <c r="AT329" s="460">
        <f t="shared" si="2014"/>
        <v>0</v>
      </c>
      <c r="AU329" s="460">
        <f t="shared" si="2015"/>
        <v>0</v>
      </c>
      <c r="AV329" s="460">
        <f t="shared" si="2016"/>
        <v>0</v>
      </c>
      <c r="AW329" s="460">
        <f t="shared" si="2017"/>
        <v>0</v>
      </c>
      <c r="AX329" s="460">
        <f t="shared" si="2018"/>
        <v>0</v>
      </c>
      <c r="AY329" s="460"/>
      <c r="AZ329" s="460"/>
      <c r="BA329" s="72"/>
      <c r="BB329" s="460">
        <v>0</v>
      </c>
      <c r="BC329" s="2189"/>
      <c r="BD329" s="72"/>
      <c r="BE329" s="533">
        <f>+F329</f>
        <v>0.17654465564866428</v>
      </c>
      <c r="BF329" s="533">
        <f>+J329</f>
        <v>0.17369568011490338</v>
      </c>
      <c r="BG329" s="533">
        <f>+N329</f>
        <v>0.18610638047318012</v>
      </c>
      <c r="BH329" s="533">
        <f>+R329</f>
        <v>0.22767591926187258</v>
      </c>
      <c r="BI329" s="533"/>
      <c r="BJ329" s="2052">
        <f>+V329</f>
        <v>0.26236963843324479</v>
      </c>
      <c r="BK329" s="533">
        <f t="shared" si="2019"/>
        <v>0.26236963843324479</v>
      </c>
      <c r="BL329" s="533">
        <f t="shared" si="2019"/>
        <v>0.26236963843324479</v>
      </c>
      <c r="BM329" s="533">
        <f t="shared" si="2020"/>
        <v>0</v>
      </c>
      <c r="BN329" s="533">
        <f t="shared" si="2020"/>
        <v>0</v>
      </c>
      <c r="BO329" s="2222">
        <f>+AM329</f>
        <v>0</v>
      </c>
      <c r="BP329" s="533">
        <f>+AQ329</f>
        <v>0</v>
      </c>
      <c r="BQ329" s="533">
        <f>+AU329</f>
        <v>0</v>
      </c>
      <c r="BR329" s="460">
        <f t="shared" si="2021"/>
        <v>0</v>
      </c>
      <c r="BS329" s="460">
        <f t="shared" si="2021"/>
        <v>0</v>
      </c>
      <c r="BT329" s="460">
        <f t="shared" si="2021"/>
        <v>0</v>
      </c>
      <c r="BU329" s="460">
        <f t="shared" si="2021"/>
        <v>0</v>
      </c>
    </row>
    <row r="330" spans="2:73" s="325" customFormat="1" ht="15" hidden="1" customHeight="1">
      <c r="B330" s="325" t="s">
        <v>339</v>
      </c>
      <c r="C330" s="822">
        <v>0.11056690154623512</v>
      </c>
      <c r="D330" s="822">
        <v>0.11056690154623512</v>
      </c>
      <c r="E330" s="822">
        <v>0.11056690154623512</v>
      </c>
      <c r="F330" s="822">
        <v>0.11056690154623512</v>
      </c>
      <c r="G330" s="822">
        <v>0.12409134249709274</v>
      </c>
      <c r="H330" s="822">
        <v>0.12409134249709274</v>
      </c>
      <c r="I330" s="822">
        <v>0.12409134249709274</v>
      </c>
      <c r="J330" s="822">
        <v>0.12409134249709274</v>
      </c>
      <c r="K330" s="822">
        <v>0.12686318762770391</v>
      </c>
      <c r="L330" s="822">
        <v>0.12686318762770391</v>
      </c>
      <c r="M330" s="822">
        <v>0.12686318762770391</v>
      </c>
      <c r="N330" s="822">
        <v>0.12686318762770391</v>
      </c>
      <c r="O330" s="822">
        <v>0.14687949182095983</v>
      </c>
      <c r="P330" s="822">
        <v>0.14687949182095983</v>
      </c>
      <c r="Q330" s="822">
        <v>0.14687949182095983</v>
      </c>
      <c r="R330" s="822">
        <v>0.14687949182095983</v>
      </c>
      <c r="S330" s="1969">
        <v>0.14956980781198848</v>
      </c>
      <c r="T330" s="822">
        <v>0.15422558617707316</v>
      </c>
      <c r="U330" s="822">
        <v>0.14287349665351745</v>
      </c>
      <c r="V330" s="822">
        <v>0.14287349665351745</v>
      </c>
      <c r="W330" s="1851">
        <f t="shared" si="2009"/>
        <v>0.14287349665351745</v>
      </c>
      <c r="X330" s="460">
        <f t="shared" si="2009"/>
        <v>0.14287349665351745</v>
      </c>
      <c r="Y330" s="460">
        <f t="shared" si="2009"/>
        <v>0.14287349665351745</v>
      </c>
      <c r="Z330" s="460">
        <f t="shared" si="2009"/>
        <v>0.14287349665351745</v>
      </c>
      <c r="AA330" s="460">
        <f t="shared" si="2009"/>
        <v>0.14287349665351745</v>
      </c>
      <c r="AB330" s="460"/>
      <c r="AC330" s="460"/>
      <c r="AD330" s="460"/>
      <c r="AE330" s="460">
        <f t="shared" ref="AE330:AP330" si="2025">+AD330</f>
        <v>0</v>
      </c>
      <c r="AF330" s="460">
        <f t="shared" si="2025"/>
        <v>0</v>
      </c>
      <c r="AG330" s="460">
        <f t="shared" si="2025"/>
        <v>0</v>
      </c>
      <c r="AH330" s="460">
        <f t="shared" si="2025"/>
        <v>0</v>
      </c>
      <c r="AI330" s="460">
        <f t="shared" si="2025"/>
        <v>0</v>
      </c>
      <c r="AJ330" s="460">
        <f t="shared" si="2025"/>
        <v>0</v>
      </c>
      <c r="AK330" s="460">
        <f t="shared" si="2025"/>
        <v>0</v>
      </c>
      <c r="AL330" s="460">
        <f t="shared" si="2025"/>
        <v>0</v>
      </c>
      <c r="AM330" s="1851">
        <f t="shared" si="2025"/>
        <v>0</v>
      </c>
      <c r="AN330" s="460">
        <f t="shared" si="2025"/>
        <v>0</v>
      </c>
      <c r="AO330" s="460">
        <f t="shared" si="2025"/>
        <v>0</v>
      </c>
      <c r="AP330" s="460">
        <f t="shared" si="2025"/>
        <v>0</v>
      </c>
      <c r="AQ330" s="460">
        <f t="shared" si="2011"/>
        <v>0</v>
      </c>
      <c r="AR330" s="460">
        <f t="shared" si="2012"/>
        <v>0</v>
      </c>
      <c r="AS330" s="460">
        <f t="shared" si="2013"/>
        <v>0</v>
      </c>
      <c r="AT330" s="460">
        <f t="shared" si="2014"/>
        <v>0</v>
      </c>
      <c r="AU330" s="460">
        <f t="shared" si="2015"/>
        <v>0</v>
      </c>
      <c r="AV330" s="460">
        <f t="shared" si="2016"/>
        <v>0</v>
      </c>
      <c r="AW330" s="460">
        <f t="shared" si="2017"/>
        <v>0</v>
      </c>
      <c r="AX330" s="460">
        <f t="shared" si="2018"/>
        <v>0</v>
      </c>
      <c r="AY330" s="460"/>
      <c r="AZ330" s="460"/>
      <c r="BA330" s="72"/>
      <c r="BB330" s="460">
        <v>0</v>
      </c>
      <c r="BC330" s="2189"/>
      <c r="BD330" s="72"/>
      <c r="BE330" s="533">
        <f>+F330</f>
        <v>0.11056690154623512</v>
      </c>
      <c r="BF330" s="533">
        <f>+J330</f>
        <v>0.12409134249709274</v>
      </c>
      <c r="BG330" s="533">
        <f>+N330</f>
        <v>0.12686318762770391</v>
      </c>
      <c r="BH330" s="533">
        <f>+R330</f>
        <v>0.14687949182095983</v>
      </c>
      <c r="BI330" s="533"/>
      <c r="BJ330" s="2052">
        <f>+V330</f>
        <v>0.14287349665351745</v>
      </c>
      <c r="BK330" s="533">
        <f t="shared" si="2019"/>
        <v>0.14287349665351745</v>
      </c>
      <c r="BL330" s="533">
        <f t="shared" si="2019"/>
        <v>0.14287349665351745</v>
      </c>
      <c r="BM330" s="533">
        <f t="shared" si="2020"/>
        <v>0</v>
      </c>
      <c r="BN330" s="533">
        <f t="shared" si="2020"/>
        <v>0</v>
      </c>
      <c r="BO330" s="2222">
        <f>+AM330</f>
        <v>0</v>
      </c>
      <c r="BP330" s="533">
        <f>+AQ330</f>
        <v>0</v>
      </c>
      <c r="BQ330" s="533">
        <f>+AU330</f>
        <v>0</v>
      </c>
      <c r="BR330" s="460">
        <f t="shared" si="2021"/>
        <v>0</v>
      </c>
      <c r="BS330" s="460">
        <f t="shared" si="2021"/>
        <v>0</v>
      </c>
      <c r="BT330" s="460">
        <f t="shared" si="2021"/>
        <v>0</v>
      </c>
      <c r="BU330" s="460">
        <f t="shared" si="2021"/>
        <v>0</v>
      </c>
    </row>
    <row r="331" spans="2:73" s="325" customFormat="1" ht="15" hidden="1" customHeight="1">
      <c r="B331" s="326" t="s">
        <v>340</v>
      </c>
      <c r="C331" s="437">
        <f t="shared" ref="C331:AA331" si="2026">+SUM(C326:C330)</f>
        <v>1</v>
      </c>
      <c r="D331" s="437">
        <f t="shared" si="2026"/>
        <v>1</v>
      </c>
      <c r="E331" s="437">
        <f t="shared" si="2026"/>
        <v>1</v>
      </c>
      <c r="F331" s="437">
        <f t="shared" si="2026"/>
        <v>1</v>
      </c>
      <c r="G331" s="437">
        <f t="shared" si="2026"/>
        <v>1</v>
      </c>
      <c r="H331" s="437">
        <f t="shared" si="2026"/>
        <v>1</v>
      </c>
      <c r="I331" s="437">
        <f t="shared" si="2026"/>
        <v>1</v>
      </c>
      <c r="J331" s="437">
        <f t="shared" si="2026"/>
        <v>1</v>
      </c>
      <c r="K331" s="437">
        <f t="shared" si="2026"/>
        <v>0.99999999999999989</v>
      </c>
      <c r="L331" s="437">
        <f t="shared" si="2026"/>
        <v>0.99999999999999989</v>
      </c>
      <c r="M331" s="437">
        <f t="shared" si="2026"/>
        <v>0.99999999999999989</v>
      </c>
      <c r="N331" s="437">
        <f t="shared" si="2026"/>
        <v>0.99999999999999989</v>
      </c>
      <c r="O331" s="437">
        <f t="shared" si="2026"/>
        <v>1</v>
      </c>
      <c r="P331" s="437">
        <f t="shared" si="2026"/>
        <v>1</v>
      </c>
      <c r="Q331" s="437">
        <f t="shared" si="2026"/>
        <v>1</v>
      </c>
      <c r="R331" s="437">
        <f t="shared" si="2026"/>
        <v>1</v>
      </c>
      <c r="S331" s="1852">
        <f t="shared" si="2026"/>
        <v>1</v>
      </c>
      <c r="T331" s="437">
        <f t="shared" si="2026"/>
        <v>1</v>
      </c>
      <c r="U331" s="437">
        <f t="shared" si="2026"/>
        <v>1</v>
      </c>
      <c r="V331" s="437">
        <f t="shared" si="2026"/>
        <v>1</v>
      </c>
      <c r="W331" s="1852">
        <f t="shared" si="2026"/>
        <v>1</v>
      </c>
      <c r="X331" s="437">
        <f t="shared" si="2026"/>
        <v>1</v>
      </c>
      <c r="Y331" s="437">
        <f t="shared" si="2026"/>
        <v>1</v>
      </c>
      <c r="Z331" s="437">
        <f t="shared" si="2026"/>
        <v>1</v>
      </c>
      <c r="AA331" s="437">
        <f t="shared" si="2026"/>
        <v>1</v>
      </c>
      <c r="AB331" s="437"/>
      <c r="AC331" s="437"/>
      <c r="AD331" s="437"/>
      <c r="AE331" s="437">
        <f t="shared" ref="AE331:AP331" si="2027">+SUM(AE326:AE330)</f>
        <v>0</v>
      </c>
      <c r="AF331" s="437">
        <f t="shared" si="2027"/>
        <v>0</v>
      </c>
      <c r="AG331" s="437">
        <f t="shared" si="2027"/>
        <v>0</v>
      </c>
      <c r="AH331" s="437">
        <f t="shared" si="2027"/>
        <v>0</v>
      </c>
      <c r="AI331" s="437">
        <f t="shared" si="2027"/>
        <v>0</v>
      </c>
      <c r="AJ331" s="437">
        <f t="shared" si="2027"/>
        <v>0</v>
      </c>
      <c r="AK331" s="437">
        <f t="shared" si="2027"/>
        <v>0</v>
      </c>
      <c r="AL331" s="437">
        <f t="shared" si="2027"/>
        <v>0</v>
      </c>
      <c r="AM331" s="1852">
        <f t="shared" si="2027"/>
        <v>0</v>
      </c>
      <c r="AN331" s="437">
        <f t="shared" si="2027"/>
        <v>0</v>
      </c>
      <c r="AO331" s="437">
        <f t="shared" si="2027"/>
        <v>0</v>
      </c>
      <c r="AP331" s="437">
        <f t="shared" si="2027"/>
        <v>0</v>
      </c>
      <c r="AQ331" s="437">
        <f t="shared" ref="AQ331:AT331" si="2028">+SUM(AQ326:AQ330)</f>
        <v>0</v>
      </c>
      <c r="AR331" s="437">
        <f t="shared" si="2028"/>
        <v>0</v>
      </c>
      <c r="AS331" s="437">
        <f t="shared" si="2028"/>
        <v>0</v>
      </c>
      <c r="AT331" s="437">
        <f t="shared" si="2028"/>
        <v>0</v>
      </c>
      <c r="AU331" s="437">
        <f t="shared" ref="AU331:AX331" si="2029">+SUM(AU326:AU330)</f>
        <v>0</v>
      </c>
      <c r="AV331" s="437">
        <f t="shared" si="2029"/>
        <v>0</v>
      </c>
      <c r="AW331" s="437">
        <f t="shared" si="2029"/>
        <v>0</v>
      </c>
      <c r="AX331" s="437">
        <f t="shared" si="2029"/>
        <v>0</v>
      </c>
      <c r="AY331" s="437"/>
      <c r="AZ331" s="437"/>
      <c r="BA331" s="72"/>
      <c r="BB331" s="437">
        <v>0</v>
      </c>
      <c r="BC331" s="2189"/>
      <c r="BD331" s="72"/>
      <c r="BE331" s="437">
        <f t="shared" ref="BE331:BU331" si="2030">+SUM(BE326:BE330)</f>
        <v>1</v>
      </c>
      <c r="BF331" s="437">
        <f t="shared" si="2030"/>
        <v>1</v>
      </c>
      <c r="BG331" s="437">
        <f t="shared" si="2030"/>
        <v>0.99999999999999989</v>
      </c>
      <c r="BH331" s="437">
        <f t="shared" si="2030"/>
        <v>1</v>
      </c>
      <c r="BI331" s="437"/>
      <c r="BJ331" s="2053">
        <f t="shared" si="2030"/>
        <v>1</v>
      </c>
      <c r="BK331" s="437">
        <f t="shared" si="2030"/>
        <v>1</v>
      </c>
      <c r="BL331" s="437">
        <f t="shared" si="2030"/>
        <v>1</v>
      </c>
      <c r="BM331" s="437">
        <f t="shared" si="2030"/>
        <v>0</v>
      </c>
      <c r="BN331" s="437">
        <f t="shared" si="2030"/>
        <v>0</v>
      </c>
      <c r="BO331" s="1852">
        <f t="shared" si="2030"/>
        <v>0</v>
      </c>
      <c r="BP331" s="437">
        <f t="shared" ref="BP331:BQ331" si="2031">+SUM(BP326:BP330)</f>
        <v>0</v>
      </c>
      <c r="BQ331" s="437">
        <f t="shared" si="2031"/>
        <v>0</v>
      </c>
      <c r="BR331" s="437">
        <f t="shared" si="2030"/>
        <v>0</v>
      </c>
      <c r="BS331" s="437">
        <f t="shared" si="2030"/>
        <v>0</v>
      </c>
      <c r="BT331" s="437">
        <f t="shared" si="2030"/>
        <v>0</v>
      </c>
      <c r="BU331" s="437">
        <f t="shared" si="2030"/>
        <v>0</v>
      </c>
    </row>
    <row r="332" spans="2:73" s="325" customFormat="1" ht="15" hidden="1" customHeight="1">
      <c r="B332" s="326"/>
      <c r="S332" s="1030"/>
      <c r="W332" s="1030"/>
      <c r="AM332" s="1030"/>
      <c r="BA332" s="72"/>
      <c r="BC332" s="2189"/>
      <c r="BD332" s="72"/>
      <c r="BJ332" s="2019"/>
      <c r="BO332" s="1030"/>
    </row>
    <row r="333" spans="2:73" s="325" customFormat="1" ht="15" hidden="1" customHeight="1">
      <c r="B333" s="326" t="s">
        <v>341</v>
      </c>
      <c r="C333" s="459"/>
      <c r="D333" s="459"/>
      <c r="E333" s="459"/>
      <c r="F333" s="459"/>
      <c r="G333" s="459" t="e">
        <f t="shared" ref="G333:AA333" si="2032">+G334+G335+G334*G335</f>
        <v>#REF!</v>
      </c>
      <c r="H333" s="459" t="e">
        <f t="shared" si="2032"/>
        <v>#REF!</v>
      </c>
      <c r="I333" s="459" t="e">
        <f t="shared" si="2032"/>
        <v>#REF!</v>
      </c>
      <c r="J333" s="459" t="e">
        <f t="shared" si="2032"/>
        <v>#REF!</v>
      </c>
      <c r="K333" s="459" t="e">
        <f t="shared" si="2032"/>
        <v>#REF!</v>
      </c>
      <c r="L333" s="459" t="e">
        <f t="shared" si="2032"/>
        <v>#REF!</v>
      </c>
      <c r="M333" s="459" t="e">
        <f t="shared" si="2032"/>
        <v>#REF!</v>
      </c>
      <c r="N333" s="459" t="e">
        <f t="shared" si="2032"/>
        <v>#REF!</v>
      </c>
      <c r="O333" s="459" t="e">
        <f t="shared" si="2032"/>
        <v>#REF!</v>
      </c>
      <c r="P333" s="459" t="e">
        <f t="shared" si="2032"/>
        <v>#REF!</v>
      </c>
      <c r="Q333" s="459" t="e">
        <f t="shared" si="2032"/>
        <v>#REF!</v>
      </c>
      <c r="R333" s="459" t="e">
        <f t="shared" si="2032"/>
        <v>#REF!</v>
      </c>
      <c r="S333" s="1853" t="e">
        <f t="shared" si="2032"/>
        <v>#REF!</v>
      </c>
      <c r="T333" s="459" t="e">
        <f t="shared" si="2032"/>
        <v>#REF!</v>
      </c>
      <c r="U333" s="459" t="e">
        <f t="shared" si="2032"/>
        <v>#REF!</v>
      </c>
      <c r="V333" s="459" t="e">
        <f t="shared" si="2032"/>
        <v>#REF!</v>
      </c>
      <c r="W333" s="1853" t="e">
        <f t="shared" si="2032"/>
        <v>#REF!</v>
      </c>
      <c r="X333" s="459" t="e">
        <f t="shared" si="2032"/>
        <v>#REF!</v>
      </c>
      <c r="Y333" s="459" t="e">
        <f t="shared" si="2032"/>
        <v>#REF!</v>
      </c>
      <c r="Z333" s="459" t="e">
        <f t="shared" si="2032"/>
        <v>#REF!</v>
      </c>
      <c r="AA333" s="459" t="e">
        <f t="shared" si="2032"/>
        <v>#REF!</v>
      </c>
      <c r="AB333" s="459"/>
      <c r="AC333" s="459"/>
      <c r="AD333" s="459"/>
      <c r="AE333" s="459" t="e">
        <f t="shared" ref="AE333:AP333" si="2033">+AE334+AE335+AE334*AE335</f>
        <v>#REF!</v>
      </c>
      <c r="AF333" s="459" t="e">
        <f t="shared" si="2033"/>
        <v>#REF!</v>
      </c>
      <c r="AG333" s="459" t="e">
        <f t="shared" si="2033"/>
        <v>#REF!</v>
      </c>
      <c r="AH333" s="459" t="e">
        <f t="shared" si="2033"/>
        <v>#REF!</v>
      </c>
      <c r="AI333" s="459" t="e">
        <f t="shared" si="2033"/>
        <v>#REF!</v>
      </c>
      <c r="AJ333" s="459" t="e">
        <f t="shared" si="2033"/>
        <v>#REF!</v>
      </c>
      <c r="AK333" s="459" t="e">
        <f t="shared" si="2033"/>
        <v>#REF!</v>
      </c>
      <c r="AL333" s="459" t="e">
        <f t="shared" si="2033"/>
        <v>#REF!</v>
      </c>
      <c r="AM333" s="1853" t="e">
        <f t="shared" si="2033"/>
        <v>#REF!</v>
      </c>
      <c r="AN333" s="459" t="e">
        <f t="shared" si="2033"/>
        <v>#REF!</v>
      </c>
      <c r="AO333" s="459" t="e">
        <f t="shared" si="2033"/>
        <v>#REF!</v>
      </c>
      <c r="AP333" s="459" t="e">
        <f t="shared" si="2033"/>
        <v>#REF!</v>
      </c>
      <c r="AQ333" s="459" t="e">
        <f t="shared" ref="AQ333:AT333" si="2034">+AQ334+AQ335+AQ334*AQ335</f>
        <v>#REF!</v>
      </c>
      <c r="AR333" s="459" t="e">
        <f t="shared" si="2034"/>
        <v>#REF!</v>
      </c>
      <c r="AS333" s="459" t="e">
        <f t="shared" si="2034"/>
        <v>#REF!</v>
      </c>
      <c r="AT333" s="459" t="e">
        <f t="shared" si="2034"/>
        <v>#REF!</v>
      </c>
      <c r="AU333" s="459" t="e">
        <f t="shared" ref="AU333:AX333" si="2035">+AU334+AU335+AU334*AU335</f>
        <v>#REF!</v>
      </c>
      <c r="AV333" s="459" t="e">
        <f t="shared" si="2035"/>
        <v>#REF!</v>
      </c>
      <c r="AW333" s="459" t="e">
        <f t="shared" si="2035"/>
        <v>#REF!</v>
      </c>
      <c r="AX333" s="459" t="e">
        <f t="shared" si="2035"/>
        <v>#REF!</v>
      </c>
      <c r="AY333" s="459"/>
      <c r="AZ333" s="459"/>
      <c r="BA333" s="72"/>
      <c r="BB333" s="459" t="e">
        <v>#REF!</v>
      </c>
      <c r="BC333" s="2189"/>
      <c r="BD333" s="72"/>
      <c r="BF333" s="459" t="e">
        <f t="shared" ref="BF333:BU333" si="2036">+BF334+BF335+BF334*BF335</f>
        <v>#REF!</v>
      </c>
      <c r="BG333" s="459" t="e">
        <f t="shared" si="2036"/>
        <v>#REF!</v>
      </c>
      <c r="BH333" s="459" t="e">
        <f t="shared" si="2036"/>
        <v>#REF!</v>
      </c>
      <c r="BI333" s="459"/>
      <c r="BJ333" s="2054" t="e">
        <f t="shared" si="2036"/>
        <v>#REF!</v>
      </c>
      <c r="BK333" s="459" t="e">
        <f t="shared" si="2036"/>
        <v>#REF!</v>
      </c>
      <c r="BL333" s="459" t="e">
        <f t="shared" si="2036"/>
        <v>#REF!</v>
      </c>
      <c r="BM333" s="459" t="e">
        <f t="shared" si="2036"/>
        <v>#REF!</v>
      </c>
      <c r="BN333" s="459" t="e">
        <f t="shared" si="2036"/>
        <v>#REF!</v>
      </c>
      <c r="BO333" s="1853" t="e">
        <f t="shared" si="2036"/>
        <v>#REF!</v>
      </c>
      <c r="BP333" s="459" t="e">
        <f t="shared" ref="BP333:BQ333" si="2037">+BP334+BP335+BP334*BP335</f>
        <v>#REF!</v>
      </c>
      <c r="BQ333" s="459" t="e">
        <f t="shared" si="2037"/>
        <v>#REF!</v>
      </c>
      <c r="BR333" s="459" t="e">
        <f t="shared" si="2036"/>
        <v>#REF!</v>
      </c>
      <c r="BS333" s="459" t="e">
        <f t="shared" si="2036"/>
        <v>#REF!</v>
      </c>
      <c r="BT333" s="459" t="e">
        <f t="shared" si="2036"/>
        <v>#REF!</v>
      </c>
      <c r="BU333" s="459" t="e">
        <f t="shared" si="2036"/>
        <v>#REF!</v>
      </c>
    </row>
    <row r="334" spans="2:73" s="325" customFormat="1" ht="15" hidden="1" customHeight="1">
      <c r="B334" s="326" t="s">
        <v>342</v>
      </c>
      <c r="C334" s="332"/>
      <c r="D334" s="332"/>
      <c r="E334" s="332"/>
      <c r="F334" s="332"/>
      <c r="G334" s="332" t="e">
        <f>+(C326*MACRO!#REF!)+(FAT!C327*MACRO!#REF!)+(FAT!C328*MACRO!#REF!)+(FAT!C329*MACRO!#REF!)+(FAT!C330*MACRO!#REF!)</f>
        <v>#REF!</v>
      </c>
      <c r="H334" s="332" t="e">
        <f>+(D326*MACRO!#REF!)+(FAT!D327*MACRO!#REF!)+(FAT!D328*MACRO!#REF!)+(FAT!D329*MACRO!#REF!)+(FAT!D330*MACRO!#REF!)</f>
        <v>#REF!</v>
      </c>
      <c r="I334" s="332" t="e">
        <f>+(E326*MACRO!#REF!)+(FAT!E327*MACRO!#REF!)+(FAT!E328*MACRO!#REF!)+(FAT!E329*MACRO!#REF!)+(FAT!E330*MACRO!#REF!)</f>
        <v>#REF!</v>
      </c>
      <c r="J334" s="332" t="e">
        <f>+(F326*MACRO!#REF!)+(FAT!F327*MACRO!#REF!)+(FAT!F328*MACRO!#REF!)+(FAT!F329*MACRO!#REF!)+(FAT!F330*MACRO!#REF!)</f>
        <v>#REF!</v>
      </c>
      <c r="K334" s="332" t="e">
        <f>+(G326*MACRO!#REF!)+(FAT!G327*MACRO!#REF!)+(FAT!G328*MACRO!#REF!)+(FAT!G329*MACRO!#REF!)+(FAT!G330*MACRO!#REF!)</f>
        <v>#REF!</v>
      </c>
      <c r="L334" s="332" t="e">
        <f>+(H326*MACRO!#REF!)+(FAT!H327*MACRO!#REF!)+(FAT!H328*MACRO!#REF!)+(FAT!H329*MACRO!#REF!)+(FAT!H330*MACRO!#REF!)</f>
        <v>#REF!</v>
      </c>
      <c r="M334" s="332" t="e">
        <f>+(I326*MACRO!#REF!)+(FAT!I327*MACRO!#REF!)+(FAT!I328*MACRO!#REF!)+(FAT!I329*MACRO!#REF!)+(FAT!I330*MACRO!#REF!)</f>
        <v>#REF!</v>
      </c>
      <c r="N334" s="332" t="e">
        <f>+(J326*MACRO!#REF!)+(FAT!J327*MACRO!#REF!)+(FAT!J328*MACRO!#REF!)+(FAT!J329*MACRO!#REF!)+(FAT!J330*MACRO!#REF!)</f>
        <v>#REF!</v>
      </c>
      <c r="O334" s="332" t="e">
        <f>+(K326*MACRO!#REF!)+(FAT!K327*MACRO!#REF!)+(FAT!K328*MACRO!#REF!)+(FAT!K329*MACRO!#REF!)+(FAT!K330*MACRO!#REF!)</f>
        <v>#REF!</v>
      </c>
      <c r="P334" s="332" t="e">
        <f>+(L326*MACRO!#REF!)+(FAT!L327*MACRO!#REF!)+(FAT!L328*MACRO!#REF!)+(FAT!L329*MACRO!#REF!)+(FAT!L330*MACRO!#REF!)</f>
        <v>#REF!</v>
      </c>
      <c r="Q334" s="332" t="e">
        <f>+(M326*MACRO!#REF!)+(FAT!M327*MACRO!#REF!)+(FAT!M328*MACRO!#REF!)+(FAT!M329*MACRO!#REF!)+(FAT!M330*MACRO!#REF!)</f>
        <v>#REF!</v>
      </c>
      <c r="R334" s="332" t="e">
        <f>+(N326*MACRO!#REF!)+(FAT!N327*MACRO!#REF!)+(FAT!N328*MACRO!#REF!)+(FAT!N329*MACRO!#REF!)+(FAT!N330*MACRO!#REF!)</f>
        <v>#REF!</v>
      </c>
      <c r="S334" s="1815" t="e">
        <f>+(O326*MACRO!#REF!)+(FAT!O327*MACRO!#REF!)+(FAT!O328*MACRO!#REF!)+(FAT!O329*MACRO!#REF!)+(FAT!O330*MACRO!#REF!)</f>
        <v>#REF!</v>
      </c>
      <c r="T334" s="332" t="e">
        <f>+(P326*MACRO!#REF!)+(FAT!P327*MACRO!#REF!)+(FAT!P328*MACRO!#REF!)+(FAT!P329*MACRO!#REF!)+(FAT!P330*MACRO!#REF!)</f>
        <v>#REF!</v>
      </c>
      <c r="U334" s="332" t="e">
        <f>+(Q326*MACRO!#REF!)+(FAT!Q327*MACRO!#REF!)+(FAT!Q328*MACRO!#REF!)+(FAT!Q329*MACRO!#REF!)+(FAT!Q330*MACRO!#REF!)</f>
        <v>#REF!</v>
      </c>
      <c r="V334" s="332" t="e">
        <f>+(R326*MACRO!#REF!)+(FAT!R327*MACRO!#REF!)+(FAT!R328*MACRO!#REF!)+(FAT!R329*MACRO!#REF!)+(FAT!R330*MACRO!#REF!)</f>
        <v>#REF!</v>
      </c>
      <c r="W334" s="1815" t="e">
        <f>+(S326*MACRO!#REF!)+(FAT!S327*MACRO!#REF!)+(FAT!S328*MACRO!#REF!)+(FAT!S329*MACRO!#REF!)+(FAT!S330*MACRO!#REF!)</f>
        <v>#REF!</v>
      </c>
      <c r="X334" s="332" t="e">
        <f>+(T326*MACRO!#REF!)+(FAT!T327*MACRO!#REF!)+(FAT!T328*MACRO!#REF!)+(FAT!T329*MACRO!#REF!)+(FAT!T330*MACRO!#REF!)</f>
        <v>#REF!</v>
      </c>
      <c r="Y334" s="332" t="e">
        <f>+(U326*MACRO!#REF!)+(FAT!U327*MACRO!#REF!)+(FAT!U328*MACRO!#REF!)+(FAT!U329*MACRO!#REF!)+(FAT!U330*MACRO!#REF!)</f>
        <v>#REF!</v>
      </c>
      <c r="Z334" s="332" t="e">
        <f>+(V326*MACRO!#REF!)+(FAT!V327*MACRO!#REF!)+(FAT!V328*MACRO!#REF!)+(FAT!V329*MACRO!#REF!)+(FAT!V330*MACRO!#REF!)</f>
        <v>#REF!</v>
      </c>
      <c r="AA334" s="332" t="e">
        <f>+(W326*MACRO!#REF!)+(FAT!W327*MACRO!#REF!)+(FAT!W328*MACRO!#REF!)+(FAT!W329*MACRO!#REF!)+(FAT!W330*MACRO!#REF!)</f>
        <v>#REF!</v>
      </c>
      <c r="AB334" s="332"/>
      <c r="AC334" s="332"/>
      <c r="AD334" s="332"/>
      <c r="AE334" s="332" t="e">
        <f>+(AA326*MACRO!#REF!)+(FAT!AA327*MACRO!#REF!)+(FAT!AA328*MACRO!#REF!)+(FAT!AA329*MACRO!#REF!)+(FAT!AA330*MACRO!#REF!)</f>
        <v>#REF!</v>
      </c>
      <c r="AF334" s="332" t="e">
        <f>+(AB326*MACRO!#REF!)+(FAT!AB327*MACRO!#REF!)+(FAT!AB328*MACRO!#REF!)+(FAT!AB329*MACRO!#REF!)+(FAT!AB330*MACRO!#REF!)</f>
        <v>#REF!</v>
      </c>
      <c r="AG334" s="332" t="e">
        <f>+(AC326*MACRO!#REF!)+(FAT!AC327*MACRO!#REF!)+(FAT!AC328*MACRO!#REF!)+(FAT!AC329*MACRO!#REF!)+(FAT!AC330*MACRO!#REF!)</f>
        <v>#REF!</v>
      </c>
      <c r="AH334" s="332" t="e">
        <f>+(AD326*MACRO!#REF!)+(FAT!AD327*MACRO!#REF!)+(FAT!AD328*MACRO!#REF!)+(FAT!AD329*MACRO!#REF!)+(FAT!AD330*MACRO!#REF!)</f>
        <v>#REF!</v>
      </c>
      <c r="AI334" s="332" t="e">
        <f>+(AE326*MACRO!#REF!)+(FAT!AE327*MACRO!#REF!)+(FAT!AE328*MACRO!#REF!)+(FAT!AE329*MACRO!#REF!)+(FAT!AE330*MACRO!#REF!)</f>
        <v>#REF!</v>
      </c>
      <c r="AJ334" s="332" t="e">
        <f>+(AF326*MACRO!#REF!)+(FAT!AF327*MACRO!#REF!)+(FAT!AF328*MACRO!#REF!)+(FAT!AF329*MACRO!#REF!)+(FAT!AF330*MACRO!#REF!)</f>
        <v>#REF!</v>
      </c>
      <c r="AK334" s="332" t="e">
        <f>+(AG326*MACRO!#REF!)+(FAT!AG327*MACRO!#REF!)+(FAT!AG328*MACRO!#REF!)+(FAT!AG329*MACRO!#REF!)+(FAT!AG330*MACRO!#REF!)</f>
        <v>#REF!</v>
      </c>
      <c r="AL334" s="332" t="e">
        <f>+(AH326*MACRO!#REF!)+(FAT!AH327*MACRO!#REF!)+(FAT!AH328*MACRO!#REF!)+(FAT!AH329*MACRO!#REF!)+(FAT!AH330*MACRO!#REF!)</f>
        <v>#REF!</v>
      </c>
      <c r="AM334" s="1815" t="e">
        <f>+(AI326*MACRO!#REF!)+(FAT!AI327*MACRO!#REF!)+(FAT!AI328*MACRO!#REF!)+(FAT!AI329*MACRO!#REF!)+(FAT!AI330*MACRO!#REF!)</f>
        <v>#REF!</v>
      </c>
      <c r="AN334" s="332" t="e">
        <f>+(AJ326*MACRO!#REF!)+(FAT!AJ327*MACRO!#REF!)+(FAT!AJ328*MACRO!#REF!)+(FAT!AJ329*MACRO!#REF!)+(FAT!AJ330*MACRO!#REF!)</f>
        <v>#REF!</v>
      </c>
      <c r="AO334" s="332" t="e">
        <f>+(AK326*MACRO!#REF!)+(FAT!AK327*MACRO!#REF!)+(FAT!AK328*MACRO!#REF!)+(FAT!AK329*MACRO!#REF!)+(FAT!AK330*MACRO!#REF!)</f>
        <v>#REF!</v>
      </c>
      <c r="AP334" s="332" t="e">
        <f>+(AL326*MACRO!#REF!)+(FAT!AL327*MACRO!#REF!)+(FAT!AL328*MACRO!#REF!)+(FAT!AL329*MACRO!#REF!)+(FAT!AL330*MACRO!#REF!)</f>
        <v>#REF!</v>
      </c>
      <c r="AQ334" s="332" t="e">
        <f>+(AM326*MACRO!#REF!)+(FAT!AM327*MACRO!#REF!)+(FAT!AM328*MACRO!#REF!)+(FAT!AM329*MACRO!#REF!)+(FAT!AM330*MACRO!#REF!)</f>
        <v>#REF!</v>
      </c>
      <c r="AR334" s="332" t="e">
        <f>+(AN326*MACRO!#REF!)+(FAT!AN327*MACRO!#REF!)+(FAT!AN328*MACRO!#REF!)+(FAT!AN329*MACRO!#REF!)+(FAT!AN330*MACRO!#REF!)</f>
        <v>#REF!</v>
      </c>
      <c r="AS334" s="332" t="e">
        <f>+(AO326*MACRO!#REF!)+(FAT!AO327*MACRO!#REF!)+(FAT!AO328*MACRO!#REF!)+(FAT!AO329*MACRO!#REF!)+(FAT!AO330*MACRO!#REF!)</f>
        <v>#REF!</v>
      </c>
      <c r="AT334" s="332" t="e">
        <f>+(AP326*MACRO!#REF!)+(FAT!AP327*MACRO!#REF!)+(FAT!AP328*MACRO!#REF!)+(FAT!AP329*MACRO!#REF!)+(FAT!AP330*MACRO!#REF!)</f>
        <v>#REF!</v>
      </c>
      <c r="AU334" s="332" t="e">
        <f>+(AQ326*MACRO!#REF!)+(FAT!AQ327*MACRO!#REF!)+(FAT!AQ328*MACRO!#REF!)+(FAT!AQ329*MACRO!#REF!)+(FAT!AQ330*MACRO!#REF!)</f>
        <v>#REF!</v>
      </c>
      <c r="AV334" s="332" t="e">
        <f>+(AR326*MACRO!#REF!)+(FAT!AR327*MACRO!#REF!)+(FAT!AR328*MACRO!#REF!)+(FAT!AR329*MACRO!#REF!)+(FAT!AR330*MACRO!#REF!)</f>
        <v>#REF!</v>
      </c>
      <c r="AW334" s="332" t="e">
        <f>+(AS326*MACRO!#REF!)+(FAT!AS327*MACRO!#REF!)+(FAT!AS328*MACRO!#REF!)+(FAT!AS329*MACRO!#REF!)+(FAT!AS330*MACRO!#REF!)</f>
        <v>#REF!</v>
      </c>
      <c r="AX334" s="332" t="e">
        <f>+(AT326*MACRO!#REF!)+(FAT!AT327*MACRO!#REF!)+(FAT!AT328*MACRO!#REF!)+(FAT!AT329*MACRO!#REF!)+(FAT!AT330*MACRO!#REF!)</f>
        <v>#REF!</v>
      </c>
      <c r="AY334" s="332"/>
      <c r="AZ334" s="332"/>
      <c r="BA334" s="72"/>
      <c r="BB334" s="332" t="e">
        <v>#REF!</v>
      </c>
      <c r="BC334" s="2189"/>
      <c r="BD334" s="72"/>
      <c r="BF334" s="332" t="e">
        <f>+(BE326*MACRO!#REF!)+(FAT!BE327*MACRO!#REF!)+(FAT!BE328*MACRO!#REF!)+(FAT!BE329*MACRO!#REF!)+(FAT!BE330*MACRO!#REF!)</f>
        <v>#REF!</v>
      </c>
      <c r="BG334" s="332" t="e">
        <f>+(BF326*MACRO!#REF!)+(FAT!BF327*MACRO!#REF!)+(FAT!BF328*MACRO!#REF!)+(FAT!BF329*MACRO!#REF!)+(FAT!BF330*MACRO!#REF!)</f>
        <v>#REF!</v>
      </c>
      <c r="BH334" s="332" t="e">
        <f>+(BG326*MACRO!#REF!)+(FAT!BG327*MACRO!#REF!)+(FAT!BG328*MACRO!#REF!)+(FAT!BG329*MACRO!#REF!)+(FAT!BG330*MACRO!#REF!)</f>
        <v>#REF!</v>
      </c>
      <c r="BI334" s="332"/>
      <c r="BJ334" s="2055" t="e">
        <f>+(BH326*MACRO!#REF!)+(FAT!BH327*MACRO!#REF!)+(FAT!BH328*MACRO!#REF!)+(FAT!BH329*MACRO!#REF!)+(FAT!BH330*MACRO!#REF!)</f>
        <v>#REF!</v>
      </c>
      <c r="BK334" s="332" t="e">
        <f>+(BJ326*MACRO!#REF!)+(FAT!BJ327*MACRO!#REF!)+(FAT!BJ328*MACRO!#REF!)+(FAT!BJ329*MACRO!#REF!)+(FAT!BJ330*MACRO!#REF!)</f>
        <v>#REF!</v>
      </c>
      <c r="BL334" s="332" t="e">
        <f>+(BK326*MACRO!#REF!)+(FAT!BK327*MACRO!#REF!)+(FAT!BK328*MACRO!#REF!)+(FAT!BK329*MACRO!#REF!)+(FAT!BK330*MACRO!#REF!)</f>
        <v>#REF!</v>
      </c>
      <c r="BM334" s="332" t="e">
        <f>+(BL326*MACRO!#REF!)+(FAT!BL327*MACRO!#REF!)+(FAT!BL328*MACRO!#REF!)+(FAT!BL329*MACRO!#REF!)+(FAT!BL330*MACRO!#REF!)</f>
        <v>#REF!</v>
      </c>
      <c r="BN334" s="332" t="e">
        <f>+(BM326*MACRO!#REF!)+(FAT!BM327*MACRO!#REF!)+(FAT!BM328*MACRO!#REF!)+(FAT!BM329*MACRO!#REF!)+(FAT!BM330*MACRO!#REF!)</f>
        <v>#REF!</v>
      </c>
      <c r="BO334" s="1815" t="e">
        <f>+(BN326*MACRO!#REF!)+(FAT!BN327*MACRO!#REF!)+(FAT!BN328*MACRO!#REF!)+(FAT!BN329*MACRO!#REF!)+(FAT!BN330*MACRO!#REF!)</f>
        <v>#REF!</v>
      </c>
      <c r="BP334" s="332" t="e">
        <f>+(BO326*MACRO!#REF!)+(FAT!BO327*MACRO!#REF!)+(FAT!BO328*MACRO!#REF!)+(FAT!BO329*MACRO!#REF!)+(FAT!BO330*MACRO!#REF!)</f>
        <v>#REF!</v>
      </c>
      <c r="BQ334" s="332" t="e">
        <f>+(BP326*MACRO!#REF!)+(FAT!BP327*MACRO!#REF!)+(FAT!BP328*MACRO!#REF!)+(FAT!BP329*MACRO!#REF!)+(FAT!BP330*MACRO!#REF!)</f>
        <v>#REF!</v>
      </c>
      <c r="BR334" s="332" t="e">
        <f>+(BQ326*MACRO!#REF!)+(FAT!BQ327*MACRO!#REF!)+(FAT!BQ328*MACRO!#REF!)+(FAT!BQ329*MACRO!#REF!)+(FAT!BQ330*MACRO!#REF!)</f>
        <v>#REF!</v>
      </c>
      <c r="BS334" s="332" t="e">
        <f>+(BR326*MACRO!#REF!)+(FAT!BR327*MACRO!#REF!)+(FAT!BR328*MACRO!#REF!)+(FAT!BR329*MACRO!#REF!)+(FAT!BR330*MACRO!#REF!)</f>
        <v>#REF!</v>
      </c>
      <c r="BT334" s="332" t="e">
        <f>+(BS326*MACRO!#REF!)+(FAT!BS327*MACRO!#REF!)+(FAT!BS328*MACRO!#REF!)+(FAT!BS329*MACRO!#REF!)+(FAT!BS330*MACRO!#REF!)</f>
        <v>#REF!</v>
      </c>
      <c r="BU334" s="332" t="e">
        <f>+(BT326*MACRO!#REF!)+(FAT!BT327*MACRO!#REF!)+(FAT!BT328*MACRO!#REF!)+(FAT!BT329*MACRO!#REF!)+(FAT!BT330*MACRO!#REF!)</f>
        <v>#REF!</v>
      </c>
    </row>
    <row r="335" spans="2:73" s="325" customFormat="1" ht="15" hidden="1" customHeight="1">
      <c r="B335" s="326" t="s">
        <v>343</v>
      </c>
      <c r="C335" s="332"/>
      <c r="D335" s="332"/>
      <c r="E335" s="332"/>
      <c r="F335" s="332"/>
      <c r="G335" s="332">
        <f>+MACRO!G15</f>
        <v>0.35731940818102692</v>
      </c>
      <c r="H335" s="332">
        <f>+MACRO!H15</f>
        <v>0.14016743216391414</v>
      </c>
      <c r="I335" s="332">
        <f>+MACRO!I15</f>
        <v>-8.0311614730878111E-2</v>
      </c>
      <c r="J335" s="332">
        <f>+MACRO!J15</f>
        <v>-0.14323614326215306</v>
      </c>
      <c r="K335" s="332">
        <f>+MACRO!K15</f>
        <v>-0.19356741645079378</v>
      </c>
      <c r="L335" s="332">
        <f>+MACRO!L15</f>
        <v>-8.0738243528941211E-2</v>
      </c>
      <c r="M335" s="332">
        <f>+MACRO!M15</f>
        <v>-2.5689203757893186E-2</v>
      </c>
      <c r="N335" s="332">
        <f>+MACRO!N15</f>
        <v>-1.3236187006678835E-2</v>
      </c>
      <c r="O335" s="332">
        <f>+MACRO!O15</f>
        <v>3.1263914509255253E-2</v>
      </c>
      <c r="P335" s="332">
        <f>+MACRO!P15</f>
        <v>0.12158130283441082</v>
      </c>
      <c r="Q335" s="332">
        <f>+MACRO!Q15</f>
        <v>0.24807941576301729</v>
      </c>
      <c r="R335" s="332">
        <f>+MACRO!R15</f>
        <v>0.1726556731479203</v>
      </c>
      <c r="S335" s="1815">
        <f>+MACRO!S15</f>
        <v>0.16141865844255965</v>
      </c>
      <c r="T335" s="332">
        <f>+MACRO!T15</f>
        <v>8.6677011749057842E-2</v>
      </c>
      <c r="U335" s="332">
        <f>+MACRO!U15</f>
        <v>6.2313187091544986E-3</v>
      </c>
      <c r="V335" s="332">
        <f>+MACRO!V15</f>
        <v>8.0045125406653428E-2</v>
      </c>
      <c r="W335" s="1815">
        <f>+MACRO!W15</f>
        <v>0.18765766483443547</v>
      </c>
      <c r="X335" s="332">
        <f>+MACRO!X15</f>
        <v>0.37331701346389234</v>
      </c>
      <c r="Y335" s="332">
        <f>+MACRO!Y15</f>
        <v>0.3543953277615548</v>
      </c>
      <c r="Z335" s="332">
        <f>+MACRO!Z15</f>
        <v>0.31066145213399077</v>
      </c>
      <c r="AA335" s="332">
        <f>+MACRO!AA15</f>
        <v>0.22633367616151667</v>
      </c>
      <c r="AB335" s="332"/>
      <c r="AC335" s="332"/>
      <c r="AD335" s="332"/>
      <c r="AE335" s="332">
        <f>+MACRO!AE15</f>
        <v>-4.7384637823843612E-2</v>
      </c>
      <c r="AF335" s="332">
        <f>+MACRO!AF15</f>
        <v>-6.9177875170016612E-2</v>
      </c>
      <c r="AG335" s="332">
        <f>+MACRO!AG15</f>
        <v>3.3828335531218556E-3</v>
      </c>
      <c r="AH335" s="332">
        <f>+MACRO!AH15</f>
        <v>-5.7669238894956343E-2</v>
      </c>
      <c r="AI335" s="332">
        <f>+MACRO!AI15</f>
        <v>-6.7559808612439598E-3</v>
      </c>
      <c r="AJ335" s="332">
        <f>+MACRO!AJ15</f>
        <v>3.1253805252264844E-3</v>
      </c>
      <c r="AK335" s="332">
        <f>+MACRO!AK15</f>
        <v>-6.9523809523809543E-2</v>
      </c>
      <c r="AL335" s="332">
        <f>+MACRO!AL15</f>
        <v>-5.840553275573801E-2</v>
      </c>
      <c r="AM335" s="1815">
        <f>+MACRO!AM15</f>
        <v>-4.5898606855887647E-2</v>
      </c>
      <c r="AN335" s="332">
        <f>+MACRO!AN15</f>
        <v>4.2728817674192676E-2</v>
      </c>
      <c r="AO335" s="332">
        <f>+MACRO!AO15</f>
        <v>0.13537359263050153</v>
      </c>
      <c r="AP335" s="332">
        <f>+MACRO!AP15</f>
        <v>0.17738811090035922</v>
      </c>
      <c r="AQ335" s="332">
        <f>+MACRO!AQ15</f>
        <v>0.18146016358679184</v>
      </c>
      <c r="AR335" s="332">
        <f>+MACRO!AR15</f>
        <v>9.6235933255723882E-2</v>
      </c>
      <c r="AS335" s="332">
        <f>+MACRO!AS15</f>
        <v>-1.7489136902078761E-2</v>
      </c>
      <c r="AT335" s="332">
        <f>+MACRO!AT15</f>
        <v>-7.5014139059795482E-2</v>
      </c>
      <c r="AU335" s="332">
        <f>+MACRO!AU15</f>
        <v>0</v>
      </c>
      <c r="AV335" s="332">
        <f>+MACRO!AV15</f>
        <v>0</v>
      </c>
      <c r="AW335" s="332">
        <f>+MACRO!AW15</f>
        <v>0</v>
      </c>
      <c r="AX335" s="332">
        <f>+MACRO!AX15</f>
        <v>0</v>
      </c>
      <c r="AY335" s="332"/>
      <c r="AZ335" s="332"/>
      <c r="BA335" s="72"/>
      <c r="BB335" s="332">
        <v>-7.5014139059795482E-2</v>
      </c>
      <c r="BC335" s="2189"/>
      <c r="BD335" s="72"/>
      <c r="BF335" s="332">
        <f>+MACRO!BE15</f>
        <v>4.6744411320783108E-2</v>
      </c>
      <c r="BG335" s="332">
        <f>+MACRO!BF15</f>
        <v>-8.3524634853223811E-2</v>
      </c>
      <c r="BH335" s="332">
        <f>+MACRO!BG15</f>
        <v>0.14366785907180235</v>
      </c>
      <c r="BI335" s="332"/>
      <c r="BJ335" s="2055">
        <f>+MACRO!BH15</f>
        <v>7.9797682520344804E-2</v>
      </c>
      <c r="BK335" s="332">
        <f>+MACRO!BI15</f>
        <v>0.30788636334825004</v>
      </c>
      <c r="BL335" s="332">
        <f>+MACRO!BJ15</f>
        <v>4.6626926432102422E-2</v>
      </c>
      <c r="BM335" s="332">
        <f>+MACRO!BK15</f>
        <v>-4.30864832076161E-2</v>
      </c>
      <c r="BN335" s="332">
        <f>+MACRO!BL15</f>
        <v>-3.3500116135026348E-2</v>
      </c>
      <c r="BO335" s="1815">
        <f>+MACRO!BM15</f>
        <v>7.5771154491245607E-2</v>
      </c>
      <c r="BP335" s="332">
        <f>+MACRO!BN15</f>
        <v>4.0015451418784709E-2</v>
      </c>
      <c r="BQ335" s="332">
        <f>+MACRO!BO15</f>
        <v>-4.8653392678458696E-2</v>
      </c>
      <c r="BR335" s="332">
        <f>+MACRO!BP15</f>
        <v>1.613519953641851E-2</v>
      </c>
      <c r="BS335" s="332">
        <f>+MACRO!BQ15</f>
        <v>0</v>
      </c>
      <c r="BT335" s="332">
        <f>+MACRO!BR15</f>
        <v>0</v>
      </c>
      <c r="BU335" s="332">
        <f>+MACRO!BS15</f>
        <v>0</v>
      </c>
    </row>
    <row r="336" spans="2:73" s="325" customFormat="1" ht="15" hidden="1" customHeight="1">
      <c r="B336" s="326"/>
      <c r="C336" s="332"/>
      <c r="D336" s="332"/>
      <c r="E336" s="332"/>
      <c r="F336" s="332"/>
      <c r="G336" s="332"/>
      <c r="H336" s="332"/>
      <c r="I336" s="332"/>
      <c r="J336" s="332"/>
      <c r="K336" s="332"/>
      <c r="L336" s="332"/>
      <c r="M336" s="332"/>
      <c r="N336" s="332"/>
      <c r="O336" s="332"/>
      <c r="P336" s="332"/>
      <c r="Q336" s="332"/>
      <c r="R336" s="332"/>
      <c r="S336" s="1815"/>
      <c r="T336" s="332"/>
      <c r="U336" s="332"/>
      <c r="V336" s="332"/>
      <c r="W336" s="1815"/>
      <c r="X336" s="332"/>
      <c r="Y336" s="332"/>
      <c r="Z336" s="332"/>
      <c r="AA336" s="332"/>
      <c r="AB336" s="332"/>
      <c r="AC336" s="332"/>
      <c r="AD336" s="332"/>
      <c r="AE336" s="332"/>
      <c r="AF336" s="332"/>
      <c r="AG336" s="332"/>
      <c r="AH336" s="332"/>
      <c r="AI336" s="332"/>
      <c r="AJ336" s="332"/>
      <c r="AK336" s="332"/>
      <c r="AL336" s="332"/>
      <c r="AM336" s="1815"/>
      <c r="AN336" s="332"/>
      <c r="AO336" s="332"/>
      <c r="AP336" s="332"/>
      <c r="AQ336" s="332"/>
      <c r="AR336" s="332"/>
      <c r="AS336" s="332"/>
      <c r="AT336" s="332"/>
      <c r="AU336" s="332"/>
      <c r="AV336" s="332"/>
      <c r="AW336" s="332"/>
      <c r="AX336" s="332"/>
      <c r="AY336" s="332"/>
      <c r="AZ336" s="332"/>
      <c r="BA336" s="72"/>
      <c r="BB336" s="332"/>
      <c r="BC336" s="2189"/>
      <c r="BD336" s="72"/>
      <c r="BF336" s="332"/>
      <c r="BG336" s="332"/>
      <c r="BH336" s="332"/>
      <c r="BI336" s="332"/>
      <c r="BJ336" s="2055"/>
      <c r="BK336" s="332"/>
      <c r="BL336" s="332"/>
      <c r="BM336" s="332"/>
      <c r="BN336" s="332"/>
      <c r="BO336" s="1815"/>
      <c r="BP336" s="332"/>
      <c r="BQ336" s="332"/>
      <c r="BR336" s="332"/>
      <c r="BS336" s="332"/>
      <c r="BT336" s="332"/>
      <c r="BU336" s="332"/>
    </row>
    <row r="337" spans="2:73" s="325" customFormat="1" ht="15" hidden="1" customHeight="1">
      <c r="B337" s="326" t="s">
        <v>344</v>
      </c>
      <c r="C337" s="332">
        <f t="shared" ref="C337:AA337" si="2038">+C365-C333</f>
        <v>0</v>
      </c>
      <c r="D337" s="332">
        <f t="shared" si="2038"/>
        <v>0</v>
      </c>
      <c r="E337" s="332">
        <f t="shared" si="2038"/>
        <v>0</v>
      </c>
      <c r="F337" s="332">
        <f t="shared" si="2038"/>
        <v>0</v>
      </c>
      <c r="G337" s="332" t="e">
        <f t="shared" si="2038"/>
        <v>#REF!</v>
      </c>
      <c r="H337" s="332" t="e">
        <f t="shared" si="2038"/>
        <v>#REF!</v>
      </c>
      <c r="I337" s="332" t="e">
        <f t="shared" si="2038"/>
        <v>#REF!</v>
      </c>
      <c r="J337" s="332" t="e">
        <f t="shared" si="2038"/>
        <v>#REF!</v>
      </c>
      <c r="K337" s="332" t="e">
        <f t="shared" si="2038"/>
        <v>#REF!</v>
      </c>
      <c r="L337" s="332" t="e">
        <f t="shared" si="2038"/>
        <v>#REF!</v>
      </c>
      <c r="M337" s="332" t="e">
        <f t="shared" si="2038"/>
        <v>#REF!</v>
      </c>
      <c r="N337" s="332" t="e">
        <f t="shared" si="2038"/>
        <v>#REF!</v>
      </c>
      <c r="O337" s="332" t="e">
        <f t="shared" si="2038"/>
        <v>#REF!</v>
      </c>
      <c r="P337" s="332" t="e">
        <f t="shared" si="2038"/>
        <v>#REF!</v>
      </c>
      <c r="Q337" s="332" t="e">
        <f t="shared" si="2038"/>
        <v>#REF!</v>
      </c>
      <c r="R337" s="332" t="e">
        <f t="shared" si="2038"/>
        <v>#REF!</v>
      </c>
      <c r="S337" s="1815" t="e">
        <f t="shared" si="2038"/>
        <v>#REF!</v>
      </c>
      <c r="T337" s="332" t="e">
        <f t="shared" si="2038"/>
        <v>#REF!</v>
      </c>
      <c r="U337" s="332" t="e">
        <f t="shared" si="2038"/>
        <v>#REF!</v>
      </c>
      <c r="V337" s="332" t="e">
        <f t="shared" si="2038"/>
        <v>#REF!</v>
      </c>
      <c r="W337" s="1815" t="e">
        <f t="shared" si="2038"/>
        <v>#REF!</v>
      </c>
      <c r="X337" s="332" t="e">
        <f t="shared" si="2038"/>
        <v>#REF!</v>
      </c>
      <c r="Y337" s="332" t="e">
        <f t="shared" si="2038"/>
        <v>#REF!</v>
      </c>
      <c r="Z337" s="332" t="e">
        <f t="shared" si="2038"/>
        <v>#REF!</v>
      </c>
      <c r="AA337" s="332" t="e">
        <f t="shared" si="2038"/>
        <v>#REF!</v>
      </c>
      <c r="AB337" s="332"/>
      <c r="AC337" s="332"/>
      <c r="AD337" s="332"/>
      <c r="AE337" s="332" t="e">
        <f>+AE365-AE333</f>
        <v>#REF!</v>
      </c>
      <c r="AF337" s="332" t="e">
        <f>+AF365-AF333</f>
        <v>#REF!</v>
      </c>
      <c r="AG337" s="332" t="e">
        <f>+AG365-AG333</f>
        <v>#REF!</v>
      </c>
      <c r="AH337" s="332">
        <v>0.1</v>
      </c>
      <c r="AI337" s="332">
        <v>0.1</v>
      </c>
      <c r="AJ337" s="332">
        <v>0.1</v>
      </c>
      <c r="AK337" s="332">
        <v>0.1</v>
      </c>
      <c r="AL337" s="332">
        <v>0.1</v>
      </c>
      <c r="AM337" s="1815">
        <v>0.1</v>
      </c>
      <c r="AN337" s="332">
        <v>0.1</v>
      </c>
      <c r="AO337" s="947">
        <v>0.1</v>
      </c>
      <c r="AP337" s="947">
        <v>0.1</v>
      </c>
      <c r="AQ337" s="332">
        <v>0.1</v>
      </c>
      <c r="AR337" s="947">
        <v>0.1</v>
      </c>
      <c r="AS337" s="947">
        <v>0.1</v>
      </c>
      <c r="AT337" s="947">
        <v>0.1</v>
      </c>
      <c r="AU337" s="947">
        <v>0.1</v>
      </c>
      <c r="AV337" s="947">
        <v>0.1</v>
      </c>
      <c r="AW337" s="947">
        <v>0.1</v>
      </c>
      <c r="AX337" s="947">
        <v>0.1</v>
      </c>
      <c r="AY337" s="947"/>
      <c r="AZ337" s="947"/>
      <c r="BA337" s="72"/>
      <c r="BB337" s="947">
        <v>0.1</v>
      </c>
      <c r="BC337" s="2189"/>
      <c r="BD337" s="72"/>
      <c r="BF337" s="332" t="e">
        <f t="shared" ref="BF337:BO337" si="2039">+BF365-BF333</f>
        <v>#REF!</v>
      </c>
      <c r="BG337" s="332" t="e">
        <f t="shared" si="2039"/>
        <v>#REF!</v>
      </c>
      <c r="BH337" s="332" t="e">
        <f t="shared" si="2039"/>
        <v>#REF!</v>
      </c>
      <c r="BI337" s="332"/>
      <c r="BJ337" s="2055" t="e">
        <f t="shared" si="2039"/>
        <v>#REF!</v>
      </c>
      <c r="BK337" s="332" t="e">
        <f t="shared" si="2039"/>
        <v>#REF!</v>
      </c>
      <c r="BL337" s="332" t="e">
        <f t="shared" si="2039"/>
        <v>#REF!</v>
      </c>
      <c r="BM337" s="332" t="e">
        <f t="shared" si="2039"/>
        <v>#REF!</v>
      </c>
      <c r="BN337" s="332" t="e">
        <f t="shared" si="2039"/>
        <v>#REF!</v>
      </c>
      <c r="BO337" s="1815" t="e">
        <f t="shared" si="2039"/>
        <v>#REF!</v>
      </c>
      <c r="BP337" s="332" t="e">
        <f t="shared" ref="BP337:BQ337" si="2040">+BP365-BP333</f>
        <v>#REF!</v>
      </c>
      <c r="BQ337" s="332" t="e">
        <f t="shared" si="2040"/>
        <v>#REF!</v>
      </c>
      <c r="BR337" s="947">
        <v>0.2</v>
      </c>
      <c r="BS337" s="947">
        <v>0.2</v>
      </c>
      <c r="BT337" s="947">
        <v>0.2</v>
      </c>
      <c r="BU337" s="947">
        <v>0.2</v>
      </c>
    </row>
    <row r="338" spans="2:73" s="325" customFormat="1" ht="15" hidden="1" customHeight="1">
      <c r="B338" s="326"/>
      <c r="S338" s="1030"/>
      <c r="W338" s="1030"/>
      <c r="AM338" s="1030"/>
      <c r="BA338" s="72"/>
      <c r="BC338" s="2189"/>
      <c r="BD338" s="72"/>
      <c r="BJ338" s="2019"/>
      <c r="BO338" s="1030"/>
    </row>
    <row r="339" spans="2:73" s="325" customFormat="1" ht="15" hidden="1" customHeight="1">
      <c r="B339" s="327" t="s">
        <v>264</v>
      </c>
      <c r="C339" s="820">
        <v>435.35499999999996</v>
      </c>
      <c r="D339" s="820">
        <v>465.1</v>
      </c>
      <c r="E339" s="820">
        <v>497.2</v>
      </c>
      <c r="F339" s="820">
        <v>505.1</v>
      </c>
      <c r="G339" s="820">
        <v>509.06</v>
      </c>
      <c r="H339" s="820">
        <v>535.56200000000001</v>
      </c>
      <c r="I339" s="820">
        <v>543.9</v>
      </c>
      <c r="J339" s="820">
        <v>542.971</v>
      </c>
      <c r="K339" s="820">
        <v>540.62400000000002</v>
      </c>
      <c r="L339" s="820">
        <v>568.20500000000004</v>
      </c>
      <c r="M339" s="820">
        <v>584.33600000000001</v>
      </c>
      <c r="N339" s="820">
        <v>588.97900000000004</v>
      </c>
      <c r="O339" s="820">
        <v>596.81500000000005</v>
      </c>
      <c r="P339" s="820">
        <v>628.08900000000017</v>
      </c>
      <c r="Q339" s="820">
        <v>636.79999999999995</v>
      </c>
      <c r="R339" s="820">
        <v>644.79999999999995</v>
      </c>
      <c r="S339" s="1970">
        <v>634.4</v>
      </c>
      <c r="T339" s="820">
        <v>659.2</v>
      </c>
      <c r="U339" s="820">
        <v>689.5</v>
      </c>
      <c r="V339" s="820">
        <v>708.7</v>
      </c>
      <c r="W339" s="1854">
        <f>+S339+W340</f>
        <v>653.6</v>
      </c>
      <c r="X339" s="398">
        <f>+T339+X340</f>
        <v>678.40000000000009</v>
      </c>
      <c r="Y339" s="398">
        <f>+U339+Y340</f>
        <v>708.7</v>
      </c>
      <c r="Z339" s="398">
        <f>+V339+Z340</f>
        <v>727.90000000000009</v>
      </c>
      <c r="AA339" s="398">
        <f>+W339+AA340</f>
        <v>672.80000000000007</v>
      </c>
      <c r="AB339" s="398"/>
      <c r="AC339" s="398"/>
      <c r="AD339" s="398"/>
      <c r="AE339" s="398">
        <f t="shared" ref="AE339:AP339" si="2041">+AA339+AE340</f>
        <v>672.80000000000007</v>
      </c>
      <c r="AF339" s="398">
        <f t="shared" si="2041"/>
        <v>0</v>
      </c>
      <c r="AG339" s="398">
        <f t="shared" si="2041"/>
        <v>0</v>
      </c>
      <c r="AH339" s="398">
        <f t="shared" si="2041"/>
        <v>0</v>
      </c>
      <c r="AI339" s="398">
        <f t="shared" si="2041"/>
        <v>672.80000000000007</v>
      </c>
      <c r="AJ339" s="398">
        <f t="shared" si="2041"/>
        <v>0</v>
      </c>
      <c r="AK339" s="398">
        <f t="shared" si="2041"/>
        <v>0</v>
      </c>
      <c r="AL339" s="398">
        <f t="shared" si="2041"/>
        <v>0</v>
      </c>
      <c r="AM339" s="1854">
        <f t="shared" si="2041"/>
        <v>672.80000000000007</v>
      </c>
      <c r="AN339" s="398">
        <f t="shared" si="2041"/>
        <v>0</v>
      </c>
      <c r="AO339" s="398">
        <f t="shared" si="2041"/>
        <v>0</v>
      </c>
      <c r="AP339" s="398">
        <f t="shared" si="2041"/>
        <v>0</v>
      </c>
      <c r="AQ339" s="398">
        <f t="shared" ref="AQ339" si="2042">+AM339+AQ340</f>
        <v>672.80000000000007</v>
      </c>
      <c r="AR339" s="398">
        <f t="shared" ref="AR339" si="2043">+AN339+AR340</f>
        <v>0</v>
      </c>
      <c r="AS339" s="398">
        <f t="shared" ref="AS339" si="2044">+AO339+AS340</f>
        <v>0</v>
      </c>
      <c r="AT339" s="398">
        <f t="shared" ref="AT339" si="2045">+AP339+AT340</f>
        <v>0</v>
      </c>
      <c r="AU339" s="398">
        <f t="shared" ref="AU339" si="2046">+AQ339+AU340</f>
        <v>672.80000000000007</v>
      </c>
      <c r="AV339" s="398">
        <f t="shared" ref="AV339" si="2047">+AR339+AV340</f>
        <v>0</v>
      </c>
      <c r="AW339" s="398">
        <f t="shared" ref="AW339" si="2048">+AS339+AW340</f>
        <v>0</v>
      </c>
      <c r="AX339" s="398">
        <f t="shared" ref="AX339" si="2049">+AT339+AX340</f>
        <v>0</v>
      </c>
      <c r="AY339" s="398"/>
      <c r="AZ339" s="398"/>
      <c r="BA339" s="72"/>
      <c r="BB339" s="398">
        <v>0</v>
      </c>
      <c r="BC339" s="2189"/>
      <c r="BD339" s="72"/>
      <c r="BE339" s="330">
        <f>+F339</f>
        <v>505.1</v>
      </c>
      <c r="BF339" s="330">
        <f>+J339</f>
        <v>542.971</v>
      </c>
      <c r="BG339" s="330">
        <f>+N339</f>
        <v>588.97900000000004</v>
      </c>
      <c r="BH339" s="330">
        <f>+R339</f>
        <v>644.79999999999995</v>
      </c>
      <c r="BI339" s="330"/>
      <c r="BJ339" s="2038">
        <f>+V339</f>
        <v>708.7</v>
      </c>
      <c r="BK339" s="330">
        <f>+Z339</f>
        <v>727.90000000000009</v>
      </c>
      <c r="BL339" s="330">
        <f>+AD339</f>
        <v>0</v>
      </c>
      <c r="BM339" s="330">
        <f>+AE339</f>
        <v>672.80000000000007</v>
      </c>
      <c r="BN339" s="330">
        <f>+AL339</f>
        <v>0</v>
      </c>
      <c r="BO339" s="1859">
        <f>+AP339</f>
        <v>0</v>
      </c>
      <c r="BP339" s="330">
        <f>+AT339</f>
        <v>0</v>
      </c>
      <c r="BQ339" s="330">
        <f>+AX339</f>
        <v>0</v>
      </c>
      <c r="BR339" s="398">
        <f t="shared" ref="BR339:BU339" si="2050">+BQ339+BR340</f>
        <v>0</v>
      </c>
      <c r="BS339" s="398">
        <f t="shared" si="2050"/>
        <v>0</v>
      </c>
      <c r="BT339" s="398">
        <f t="shared" si="2050"/>
        <v>0</v>
      </c>
      <c r="BU339" s="398">
        <f t="shared" si="2050"/>
        <v>0</v>
      </c>
    </row>
    <row r="340" spans="2:73" s="395" customFormat="1" ht="15" hidden="1" customHeight="1">
      <c r="B340" s="397" t="s">
        <v>345</v>
      </c>
      <c r="C340" s="415"/>
      <c r="D340" s="415"/>
      <c r="E340" s="415"/>
      <c r="F340" s="415"/>
      <c r="G340" s="415">
        <f t="shared" ref="G340:V340" si="2051">+G339-F339</f>
        <v>3.9599999999999795</v>
      </c>
      <c r="H340" s="415">
        <f t="shared" si="2051"/>
        <v>26.50200000000001</v>
      </c>
      <c r="I340" s="415">
        <f t="shared" si="2051"/>
        <v>8.3379999999999654</v>
      </c>
      <c r="J340" s="415">
        <f t="shared" si="2051"/>
        <v>-0.92899999999997362</v>
      </c>
      <c r="K340" s="415">
        <f t="shared" si="2051"/>
        <v>-2.34699999999998</v>
      </c>
      <c r="L340" s="415">
        <f t="shared" si="2051"/>
        <v>27.581000000000017</v>
      </c>
      <c r="M340" s="415">
        <f t="shared" si="2051"/>
        <v>16.130999999999972</v>
      </c>
      <c r="N340" s="415">
        <f t="shared" si="2051"/>
        <v>4.6430000000000291</v>
      </c>
      <c r="O340" s="415">
        <f t="shared" si="2051"/>
        <v>7.8360000000000127</v>
      </c>
      <c r="P340" s="415">
        <f t="shared" si="2051"/>
        <v>31.274000000000115</v>
      </c>
      <c r="Q340" s="415">
        <f t="shared" si="2051"/>
        <v>8.7109999999997854</v>
      </c>
      <c r="R340" s="415">
        <f t="shared" si="2051"/>
        <v>8</v>
      </c>
      <c r="S340" s="1858">
        <f t="shared" si="2051"/>
        <v>-10.399999999999977</v>
      </c>
      <c r="T340" s="415">
        <f t="shared" si="2051"/>
        <v>24.800000000000068</v>
      </c>
      <c r="U340" s="415">
        <f t="shared" si="2051"/>
        <v>30.299999999999955</v>
      </c>
      <c r="V340" s="415">
        <f t="shared" si="2051"/>
        <v>19.200000000000045</v>
      </c>
      <c r="W340" s="1855">
        <f>+V340</f>
        <v>19.200000000000045</v>
      </c>
      <c r="X340" s="414">
        <f>+W340</f>
        <v>19.200000000000045</v>
      </c>
      <c r="Y340" s="414">
        <f>+X340</f>
        <v>19.200000000000045</v>
      </c>
      <c r="Z340" s="414">
        <f>+Y340</f>
        <v>19.200000000000045</v>
      </c>
      <c r="AA340" s="414">
        <f>+Z340</f>
        <v>19.200000000000045</v>
      </c>
      <c r="AB340" s="414"/>
      <c r="AC340" s="414"/>
      <c r="AD340" s="414"/>
      <c r="AE340" s="414">
        <f t="shared" ref="AE340:AP340" si="2052">+AD340</f>
        <v>0</v>
      </c>
      <c r="AF340" s="414">
        <f t="shared" si="2052"/>
        <v>0</v>
      </c>
      <c r="AG340" s="414">
        <f t="shared" si="2052"/>
        <v>0</v>
      </c>
      <c r="AH340" s="414">
        <f t="shared" si="2052"/>
        <v>0</v>
      </c>
      <c r="AI340" s="414">
        <f t="shared" si="2052"/>
        <v>0</v>
      </c>
      <c r="AJ340" s="414">
        <f t="shared" si="2052"/>
        <v>0</v>
      </c>
      <c r="AK340" s="414">
        <f t="shared" si="2052"/>
        <v>0</v>
      </c>
      <c r="AL340" s="414">
        <f t="shared" si="2052"/>
        <v>0</v>
      </c>
      <c r="AM340" s="1855">
        <f t="shared" si="2052"/>
        <v>0</v>
      </c>
      <c r="AN340" s="414">
        <f t="shared" si="2052"/>
        <v>0</v>
      </c>
      <c r="AO340" s="414">
        <f t="shared" si="2052"/>
        <v>0</v>
      </c>
      <c r="AP340" s="414">
        <f t="shared" si="2052"/>
        <v>0</v>
      </c>
      <c r="AQ340" s="414">
        <f t="shared" ref="AQ340" si="2053">+AP340</f>
        <v>0</v>
      </c>
      <c r="AR340" s="414">
        <f t="shared" ref="AR340" si="2054">+AQ340</f>
        <v>0</v>
      </c>
      <c r="AS340" s="414">
        <f t="shared" ref="AS340" si="2055">+AR340</f>
        <v>0</v>
      </c>
      <c r="AT340" s="414">
        <f t="shared" ref="AT340" si="2056">+AS340</f>
        <v>0</v>
      </c>
      <c r="AU340" s="414">
        <f t="shared" ref="AU340" si="2057">+AT340</f>
        <v>0</v>
      </c>
      <c r="AV340" s="414">
        <f t="shared" ref="AV340" si="2058">+AU340</f>
        <v>0</v>
      </c>
      <c r="AW340" s="414">
        <f t="shared" ref="AW340" si="2059">+AV340</f>
        <v>0</v>
      </c>
      <c r="AX340" s="414">
        <f t="shared" ref="AX340" si="2060">+AW340</f>
        <v>0</v>
      </c>
      <c r="AY340" s="414"/>
      <c r="AZ340" s="414"/>
      <c r="BA340" s="93"/>
      <c r="BB340" s="414">
        <v>0</v>
      </c>
      <c r="BC340" s="2189"/>
      <c r="BD340" s="93"/>
      <c r="BE340" s="396"/>
      <c r="BF340" s="415">
        <f t="shared" ref="BF340:BQ340" si="2061">+BF339-BE339</f>
        <v>37.870999999999981</v>
      </c>
      <c r="BG340" s="415">
        <f t="shared" si="2061"/>
        <v>46.008000000000038</v>
      </c>
      <c r="BH340" s="415">
        <f t="shared" si="2061"/>
        <v>55.820999999999913</v>
      </c>
      <c r="BI340" s="415"/>
      <c r="BJ340" s="2056">
        <f>+BJ339-BH339</f>
        <v>63.900000000000091</v>
      </c>
      <c r="BK340" s="415">
        <f>+BK339-BJ339</f>
        <v>19.200000000000045</v>
      </c>
      <c r="BL340" s="415">
        <f t="shared" si="2061"/>
        <v>-727.90000000000009</v>
      </c>
      <c r="BM340" s="415">
        <f t="shared" si="2061"/>
        <v>672.80000000000007</v>
      </c>
      <c r="BN340" s="415">
        <f t="shared" si="2061"/>
        <v>-672.80000000000007</v>
      </c>
      <c r="BO340" s="1858">
        <f t="shared" si="2061"/>
        <v>0</v>
      </c>
      <c r="BP340" s="415">
        <f t="shared" si="2061"/>
        <v>0</v>
      </c>
      <c r="BQ340" s="415">
        <f t="shared" si="2061"/>
        <v>0</v>
      </c>
      <c r="BR340" s="414">
        <f t="shared" ref="BR340:BU340" si="2062">+BQ340</f>
        <v>0</v>
      </c>
      <c r="BS340" s="414">
        <f t="shared" si="2062"/>
        <v>0</v>
      </c>
      <c r="BT340" s="414">
        <f t="shared" si="2062"/>
        <v>0</v>
      </c>
      <c r="BU340" s="414">
        <f t="shared" si="2062"/>
        <v>0</v>
      </c>
    </row>
    <row r="341" spans="2:73" s="325" customFormat="1" ht="15" hidden="1" customHeight="1">
      <c r="B341" s="327"/>
      <c r="O341" s="328"/>
      <c r="P341" s="328"/>
      <c r="Q341" s="328"/>
      <c r="R341" s="328"/>
      <c r="S341" s="1030"/>
      <c r="T341" s="328"/>
      <c r="U341" s="328"/>
      <c r="V341" s="328"/>
      <c r="W341" s="1856"/>
      <c r="X341" s="329"/>
      <c r="Y341" s="329"/>
      <c r="Z341" s="329"/>
      <c r="AA341" s="329"/>
      <c r="AB341" s="329"/>
      <c r="AC341" s="329"/>
      <c r="AD341" s="329"/>
      <c r="AE341" s="329"/>
      <c r="AF341" s="329"/>
      <c r="AG341" s="329"/>
      <c r="AH341" s="329"/>
      <c r="AI341" s="329"/>
      <c r="AJ341" s="329"/>
      <c r="AK341" s="329"/>
      <c r="AL341" s="329"/>
      <c r="AM341" s="1856"/>
      <c r="AN341" s="329"/>
      <c r="AO341" s="329"/>
      <c r="AP341" s="329"/>
      <c r="AQ341" s="329"/>
      <c r="AR341" s="329"/>
      <c r="AS341" s="329"/>
      <c r="AT341" s="329"/>
      <c r="AU341" s="329"/>
      <c r="AV341" s="329"/>
      <c r="AW341" s="329"/>
      <c r="AX341" s="329"/>
      <c r="AY341" s="329"/>
      <c r="AZ341" s="329"/>
      <c r="BA341" s="72"/>
      <c r="BB341" s="329"/>
      <c r="BC341" s="2189"/>
      <c r="BD341" s="72"/>
      <c r="BE341" s="330"/>
      <c r="BF341" s="330"/>
      <c r="BG341" s="330"/>
      <c r="BH341" s="330"/>
      <c r="BI341" s="330"/>
      <c r="BJ341" s="2038"/>
      <c r="BK341" s="330"/>
      <c r="BL341" s="330"/>
      <c r="BM341" s="330"/>
      <c r="BN341" s="330"/>
      <c r="BO341" s="1859"/>
      <c r="BP341" s="330"/>
      <c r="BQ341" s="330"/>
      <c r="BR341" s="386"/>
      <c r="BS341" s="386"/>
      <c r="BT341" s="386"/>
      <c r="BU341" s="386"/>
    </row>
    <row r="342" spans="2:73" s="325" customFormat="1" ht="15" hidden="1" customHeight="1">
      <c r="B342" s="327" t="s">
        <v>11</v>
      </c>
      <c r="C342" s="820">
        <v>428.81066666666669</v>
      </c>
      <c r="D342" s="820">
        <v>453.4</v>
      </c>
      <c r="E342" s="820">
        <v>487.7</v>
      </c>
      <c r="F342" s="820">
        <v>505.4</v>
      </c>
      <c r="G342" s="820">
        <v>506.13799999999998</v>
      </c>
      <c r="H342" s="820">
        <v>527.78300000000002</v>
      </c>
      <c r="I342" s="820">
        <v>539.5</v>
      </c>
      <c r="J342" s="820">
        <v>545.97415000000001</v>
      </c>
      <c r="K342" s="820">
        <v>541.01941666666676</v>
      </c>
      <c r="L342" s="820">
        <v>559.28899999999999</v>
      </c>
      <c r="M342" s="820">
        <v>578.01900000000001</v>
      </c>
      <c r="N342" s="820">
        <v>589.91559999999993</v>
      </c>
      <c r="O342" s="820">
        <v>592.62400000000002</v>
      </c>
      <c r="P342" s="820">
        <v>619.09874999999988</v>
      </c>
      <c r="Q342" s="820">
        <v>633.79999999999995</v>
      </c>
      <c r="R342" s="820">
        <v>644.40000000000009</v>
      </c>
      <c r="S342" s="1970">
        <v>636.6</v>
      </c>
      <c r="T342" s="820">
        <v>650.20000000000005</v>
      </c>
      <c r="U342" s="820">
        <v>676.6</v>
      </c>
      <c r="V342" s="820">
        <v>703.7</v>
      </c>
      <c r="W342" s="1857">
        <f>+S342*(1+12.1%)</f>
        <v>713.62860000000001</v>
      </c>
      <c r="X342" s="398">
        <f>+W342+X343</f>
        <v>723.55719999999997</v>
      </c>
      <c r="Y342" s="398">
        <f>+X342+Y343</f>
        <v>733.48579999999993</v>
      </c>
      <c r="Z342" s="398">
        <f>+Y342+Z343</f>
        <v>743.41439999999989</v>
      </c>
      <c r="AA342" s="398">
        <f>+Z342+AA343</f>
        <v>753.34299999999985</v>
      </c>
      <c r="AB342" s="398"/>
      <c r="AC342" s="398"/>
      <c r="AD342" s="398"/>
      <c r="AE342" s="398">
        <f t="shared" ref="AE342:AP342" si="2063">+AD342+AE343</f>
        <v>0</v>
      </c>
      <c r="AF342" s="398">
        <f t="shared" si="2063"/>
        <v>0</v>
      </c>
      <c r="AG342" s="398">
        <f t="shared" si="2063"/>
        <v>0</v>
      </c>
      <c r="AH342" s="398">
        <f t="shared" si="2063"/>
        <v>0</v>
      </c>
      <c r="AI342" s="398">
        <f t="shared" si="2063"/>
        <v>0</v>
      </c>
      <c r="AJ342" s="398">
        <f t="shared" si="2063"/>
        <v>0</v>
      </c>
      <c r="AK342" s="398">
        <f t="shared" si="2063"/>
        <v>0</v>
      </c>
      <c r="AL342" s="398">
        <f t="shared" si="2063"/>
        <v>0</v>
      </c>
      <c r="AM342" s="1854">
        <f t="shared" si="2063"/>
        <v>0</v>
      </c>
      <c r="AN342" s="398">
        <f t="shared" si="2063"/>
        <v>0</v>
      </c>
      <c r="AO342" s="398">
        <f t="shared" si="2063"/>
        <v>0</v>
      </c>
      <c r="AP342" s="398">
        <f t="shared" si="2063"/>
        <v>0</v>
      </c>
      <c r="AQ342" s="398">
        <f t="shared" ref="AQ342" si="2064">+AP342+AQ343</f>
        <v>0</v>
      </c>
      <c r="AR342" s="398">
        <f t="shared" ref="AR342" si="2065">+AQ342+AR343</f>
        <v>0</v>
      </c>
      <c r="AS342" s="398">
        <f t="shared" ref="AS342" si="2066">+AR342+AS343</f>
        <v>0</v>
      </c>
      <c r="AT342" s="398">
        <f t="shared" ref="AT342" si="2067">+AS342+AT343</f>
        <v>0</v>
      </c>
      <c r="AU342" s="398">
        <f t="shared" ref="AU342" si="2068">+AT342+AU343</f>
        <v>0</v>
      </c>
      <c r="AV342" s="398">
        <f t="shared" ref="AV342" si="2069">+AU342+AV343</f>
        <v>0</v>
      </c>
      <c r="AW342" s="398">
        <f t="shared" ref="AW342" si="2070">+AV342+AW343</f>
        <v>0</v>
      </c>
      <c r="AX342" s="398">
        <f t="shared" ref="AX342" si="2071">+AW342+AX343</f>
        <v>0</v>
      </c>
      <c r="AY342" s="398"/>
      <c r="AZ342" s="398"/>
      <c r="BA342" s="72"/>
      <c r="BB342" s="398">
        <v>0</v>
      </c>
      <c r="BC342" s="2189"/>
      <c r="BD342" s="72"/>
      <c r="BE342" s="330">
        <f>+AVERAGE(BC339:BE339)</f>
        <v>505.1</v>
      </c>
      <c r="BF342" s="330">
        <f t="shared" ref="BF342:BQ342" si="2072">+AVERAGE(BE339:BF339)</f>
        <v>524.03549999999996</v>
      </c>
      <c r="BG342" s="330">
        <f t="shared" si="2072"/>
        <v>565.97500000000002</v>
      </c>
      <c r="BH342" s="330">
        <f t="shared" si="2072"/>
        <v>616.8895</v>
      </c>
      <c r="BI342" s="330"/>
      <c r="BJ342" s="2038">
        <f>+AVERAGE(BH339:BJ339)</f>
        <v>676.75</v>
      </c>
      <c r="BK342" s="330">
        <f>+AVERAGE(BJ339:BK339)</f>
        <v>718.30000000000007</v>
      </c>
      <c r="BL342" s="330">
        <f t="shared" si="2072"/>
        <v>363.95000000000005</v>
      </c>
      <c r="BM342" s="330">
        <f t="shared" si="2072"/>
        <v>336.40000000000003</v>
      </c>
      <c r="BN342" s="330">
        <f t="shared" si="2072"/>
        <v>336.40000000000003</v>
      </c>
      <c r="BO342" s="1859">
        <f t="shared" si="2072"/>
        <v>0</v>
      </c>
      <c r="BP342" s="330">
        <f t="shared" si="2072"/>
        <v>0</v>
      </c>
      <c r="BQ342" s="330">
        <f t="shared" si="2072"/>
        <v>0</v>
      </c>
      <c r="BR342" s="398">
        <f t="shared" ref="BR342:BU342" si="2073">+BQ342+BR343</f>
        <v>0</v>
      </c>
      <c r="BS342" s="398">
        <f t="shared" si="2073"/>
        <v>0</v>
      </c>
      <c r="BT342" s="398">
        <f t="shared" si="2073"/>
        <v>0</v>
      </c>
      <c r="BU342" s="398">
        <f t="shared" si="2073"/>
        <v>0</v>
      </c>
    </row>
    <row r="343" spans="2:73" s="395" customFormat="1" ht="15" hidden="1" customHeight="1">
      <c r="B343" s="397" t="s">
        <v>345</v>
      </c>
      <c r="C343" s="415"/>
      <c r="D343" s="415"/>
      <c r="E343" s="415"/>
      <c r="F343" s="415"/>
      <c r="G343" s="415">
        <f t="shared" ref="G343:W343" si="2074">+G342-F342</f>
        <v>0.73799999999999955</v>
      </c>
      <c r="H343" s="415">
        <f t="shared" si="2074"/>
        <v>21.645000000000039</v>
      </c>
      <c r="I343" s="415">
        <f t="shared" si="2074"/>
        <v>11.716999999999985</v>
      </c>
      <c r="J343" s="415">
        <f t="shared" si="2074"/>
        <v>6.4741500000000087</v>
      </c>
      <c r="K343" s="415">
        <f t="shared" si="2074"/>
        <v>-4.9547333333332517</v>
      </c>
      <c r="L343" s="415">
        <f t="shared" si="2074"/>
        <v>18.26958333333323</v>
      </c>
      <c r="M343" s="415">
        <f t="shared" si="2074"/>
        <v>18.730000000000018</v>
      </c>
      <c r="N343" s="415">
        <f t="shared" si="2074"/>
        <v>11.896599999999921</v>
      </c>
      <c r="O343" s="415">
        <f t="shared" si="2074"/>
        <v>2.708400000000097</v>
      </c>
      <c r="P343" s="415">
        <f t="shared" si="2074"/>
        <v>26.474749999999858</v>
      </c>
      <c r="Q343" s="415">
        <f t="shared" si="2074"/>
        <v>14.701250000000073</v>
      </c>
      <c r="R343" s="415">
        <f t="shared" si="2074"/>
        <v>10.600000000000136</v>
      </c>
      <c r="S343" s="1858">
        <f t="shared" si="2074"/>
        <v>-7.8000000000000682</v>
      </c>
      <c r="T343" s="415">
        <f t="shared" si="2074"/>
        <v>13.600000000000023</v>
      </c>
      <c r="U343" s="415">
        <f t="shared" si="2074"/>
        <v>26.399999999999977</v>
      </c>
      <c r="V343" s="415">
        <f t="shared" si="2074"/>
        <v>27.100000000000023</v>
      </c>
      <c r="W343" s="1858">
        <f t="shared" si="2074"/>
        <v>9.9285999999999603</v>
      </c>
      <c r="X343" s="414">
        <f>+W343</f>
        <v>9.9285999999999603</v>
      </c>
      <c r="Y343" s="414">
        <f>+X343</f>
        <v>9.9285999999999603</v>
      </c>
      <c r="Z343" s="414">
        <f>+Y343</f>
        <v>9.9285999999999603</v>
      </c>
      <c r="AA343" s="414">
        <f>+Z343</f>
        <v>9.9285999999999603</v>
      </c>
      <c r="AB343" s="414"/>
      <c r="AC343" s="414"/>
      <c r="AD343" s="414"/>
      <c r="AE343" s="414">
        <f t="shared" ref="AE343:AP343" si="2075">+AD343</f>
        <v>0</v>
      </c>
      <c r="AF343" s="414">
        <f t="shared" si="2075"/>
        <v>0</v>
      </c>
      <c r="AG343" s="414">
        <f t="shared" si="2075"/>
        <v>0</v>
      </c>
      <c r="AH343" s="414">
        <f t="shared" si="2075"/>
        <v>0</v>
      </c>
      <c r="AI343" s="414">
        <f t="shared" si="2075"/>
        <v>0</v>
      </c>
      <c r="AJ343" s="414">
        <f t="shared" si="2075"/>
        <v>0</v>
      </c>
      <c r="AK343" s="414">
        <f t="shared" si="2075"/>
        <v>0</v>
      </c>
      <c r="AL343" s="414">
        <f t="shared" si="2075"/>
        <v>0</v>
      </c>
      <c r="AM343" s="1855">
        <f t="shared" si="2075"/>
        <v>0</v>
      </c>
      <c r="AN343" s="414">
        <f t="shared" si="2075"/>
        <v>0</v>
      </c>
      <c r="AO343" s="414">
        <f t="shared" si="2075"/>
        <v>0</v>
      </c>
      <c r="AP343" s="414">
        <f t="shared" si="2075"/>
        <v>0</v>
      </c>
      <c r="AQ343" s="414">
        <f t="shared" ref="AQ343" si="2076">+AP343</f>
        <v>0</v>
      </c>
      <c r="AR343" s="414">
        <f t="shared" ref="AR343" si="2077">+AQ343</f>
        <v>0</v>
      </c>
      <c r="AS343" s="414">
        <f t="shared" ref="AS343" si="2078">+AR343</f>
        <v>0</v>
      </c>
      <c r="AT343" s="414">
        <f t="shared" ref="AT343" si="2079">+AS343</f>
        <v>0</v>
      </c>
      <c r="AU343" s="414">
        <f t="shared" ref="AU343" si="2080">+AT343</f>
        <v>0</v>
      </c>
      <c r="AV343" s="414">
        <f t="shared" ref="AV343" si="2081">+AU343</f>
        <v>0</v>
      </c>
      <c r="AW343" s="414">
        <f t="shared" ref="AW343" si="2082">+AV343</f>
        <v>0</v>
      </c>
      <c r="AX343" s="414">
        <f t="shared" ref="AX343" si="2083">+AW343</f>
        <v>0</v>
      </c>
      <c r="AY343" s="414"/>
      <c r="AZ343" s="414"/>
      <c r="BA343" s="93"/>
      <c r="BB343" s="414">
        <v>0</v>
      </c>
      <c r="BC343" s="2189"/>
      <c r="BD343" s="93"/>
      <c r="BE343" s="396"/>
      <c r="BF343" s="415">
        <f t="shared" ref="BF343:BQ343" si="2084">+BF342-BE342</f>
        <v>18.935499999999934</v>
      </c>
      <c r="BG343" s="415">
        <f t="shared" si="2084"/>
        <v>41.939500000000066</v>
      </c>
      <c r="BH343" s="415">
        <f t="shared" si="2084"/>
        <v>50.914499999999975</v>
      </c>
      <c r="BI343" s="415"/>
      <c r="BJ343" s="2056">
        <f>+BJ342-BH342</f>
        <v>59.860500000000002</v>
      </c>
      <c r="BK343" s="415">
        <f>+BK342-BJ342</f>
        <v>41.550000000000068</v>
      </c>
      <c r="BL343" s="415">
        <f t="shared" si="2084"/>
        <v>-354.35</v>
      </c>
      <c r="BM343" s="415">
        <f t="shared" si="2084"/>
        <v>-27.550000000000011</v>
      </c>
      <c r="BN343" s="415">
        <f t="shared" si="2084"/>
        <v>0</v>
      </c>
      <c r="BO343" s="1858">
        <f t="shared" si="2084"/>
        <v>-336.40000000000003</v>
      </c>
      <c r="BP343" s="415">
        <f t="shared" si="2084"/>
        <v>0</v>
      </c>
      <c r="BQ343" s="415">
        <f t="shared" si="2084"/>
        <v>0</v>
      </c>
      <c r="BR343" s="414">
        <f t="shared" ref="BR343:BU343" si="2085">+BQ343</f>
        <v>0</v>
      </c>
      <c r="BS343" s="414">
        <f t="shared" si="2085"/>
        <v>0</v>
      </c>
      <c r="BT343" s="414">
        <f t="shared" si="2085"/>
        <v>0</v>
      </c>
      <c r="BU343" s="414">
        <f t="shared" si="2085"/>
        <v>0</v>
      </c>
    </row>
    <row r="344" spans="2:73" s="325" customFormat="1" ht="15" hidden="1" customHeight="1">
      <c r="B344" s="327" t="s">
        <v>12</v>
      </c>
      <c r="C344" s="821">
        <v>20.54</v>
      </c>
      <c r="D344" s="821">
        <v>24.54</v>
      </c>
      <c r="E344" s="821">
        <v>26.8</v>
      </c>
      <c r="F344" s="821">
        <v>27.9</v>
      </c>
      <c r="G344" s="821">
        <v>24.134785000000001</v>
      </c>
      <c r="H344" s="821">
        <v>31.633613</v>
      </c>
      <c r="I344" s="821">
        <v>31.8</v>
      </c>
      <c r="J344" s="821">
        <v>32.855927000000001</v>
      </c>
      <c r="K344" s="821">
        <v>26.291357999999999</v>
      </c>
      <c r="L344" s="821">
        <v>32.33717</v>
      </c>
      <c r="M344" s="821">
        <v>32.007859000000003</v>
      </c>
      <c r="N344" s="821">
        <v>36.156016999999999</v>
      </c>
      <c r="O344" s="821">
        <v>31.849561000000008</v>
      </c>
      <c r="P344" s="821">
        <v>38.039385696175728</v>
      </c>
      <c r="Q344" s="821">
        <v>35.400000000000006</v>
      </c>
      <c r="R344" s="821">
        <v>40.400000000000006</v>
      </c>
      <c r="S344" s="1971">
        <v>33.5</v>
      </c>
      <c r="T344" s="821">
        <v>38.5</v>
      </c>
      <c r="U344" s="821">
        <v>43.8</v>
      </c>
      <c r="V344" s="821">
        <v>52.2</v>
      </c>
      <c r="W344" s="1857">
        <f>+S344*(1+18.2%)</f>
        <v>39.597000000000001</v>
      </c>
      <c r="X344" s="461">
        <f>+X347*X342/1000</f>
        <v>38.559300184558587</v>
      </c>
      <c r="Y344" s="461">
        <f>+Y347*Y342/1000</f>
        <v>43.683925209577289</v>
      </c>
      <c r="Z344" s="461">
        <f>+Z347*Z342/1000</f>
        <v>52.940148376865125</v>
      </c>
      <c r="AA344" s="461">
        <f>+AA347*AA342/1000</f>
        <v>42.636639319696542</v>
      </c>
      <c r="AB344" s="461"/>
      <c r="AC344" s="461"/>
      <c r="AD344" s="461"/>
      <c r="AE344" s="461">
        <f t="shared" ref="AE344:AP344" si="2086">+AE347*AE342/1000</f>
        <v>0</v>
      </c>
      <c r="AF344" s="461">
        <f t="shared" si="2086"/>
        <v>0</v>
      </c>
      <c r="AG344" s="461">
        <f t="shared" si="2086"/>
        <v>0</v>
      </c>
      <c r="AH344" s="461">
        <f t="shared" si="2086"/>
        <v>0</v>
      </c>
      <c r="AI344" s="461">
        <f t="shared" si="2086"/>
        <v>0</v>
      </c>
      <c r="AJ344" s="461">
        <f t="shared" si="2086"/>
        <v>0</v>
      </c>
      <c r="AK344" s="461">
        <f t="shared" si="2086"/>
        <v>0</v>
      </c>
      <c r="AL344" s="461">
        <f t="shared" si="2086"/>
        <v>0</v>
      </c>
      <c r="AM344" s="2410">
        <f t="shared" si="2086"/>
        <v>0</v>
      </c>
      <c r="AN344" s="461">
        <f t="shared" si="2086"/>
        <v>0</v>
      </c>
      <c r="AO344" s="461">
        <f t="shared" si="2086"/>
        <v>0</v>
      </c>
      <c r="AP344" s="461">
        <f t="shared" si="2086"/>
        <v>0</v>
      </c>
      <c r="AQ344" s="461">
        <f t="shared" ref="AQ344:AT344" si="2087">+AQ347*AQ342/1000</f>
        <v>0</v>
      </c>
      <c r="AR344" s="461">
        <f t="shared" si="2087"/>
        <v>0</v>
      </c>
      <c r="AS344" s="461">
        <f t="shared" si="2087"/>
        <v>0</v>
      </c>
      <c r="AT344" s="461">
        <f t="shared" si="2087"/>
        <v>0</v>
      </c>
      <c r="AU344" s="461">
        <f t="shared" ref="AU344:AX344" si="2088">+AU347*AU342/1000</f>
        <v>0</v>
      </c>
      <c r="AV344" s="461">
        <f t="shared" si="2088"/>
        <v>0</v>
      </c>
      <c r="AW344" s="461">
        <f t="shared" si="2088"/>
        <v>0</v>
      </c>
      <c r="AX344" s="461">
        <f t="shared" si="2088"/>
        <v>0</v>
      </c>
      <c r="AY344" s="461"/>
      <c r="AZ344" s="461"/>
      <c r="BA344" s="72"/>
      <c r="BB344" s="461">
        <v>0</v>
      </c>
      <c r="BC344" s="2189"/>
      <c r="BD344" s="72"/>
      <c r="BE344" s="330">
        <f>+SUM(C344:F344)</f>
        <v>99.78</v>
      </c>
      <c r="BF344" s="330">
        <f>+SUM(G344:J344)</f>
        <v>120.42432500000001</v>
      </c>
      <c r="BG344" s="330">
        <f>+SUM(K344:N344)</f>
        <v>126.792404</v>
      </c>
      <c r="BH344" s="330">
        <f>+SUM(O344:R344)</f>
        <v>145.68894669617575</v>
      </c>
      <c r="BI344" s="330"/>
      <c r="BJ344" s="2038">
        <f>+SUM(S344:V344)</f>
        <v>168</v>
      </c>
      <c r="BK344" s="330">
        <f>+SUM(W344:Z344)</f>
        <v>174.780373771001</v>
      </c>
      <c r="BL344" s="330">
        <f>+SUM(AA344:AD344)</f>
        <v>42.636639319696542</v>
      </c>
      <c r="BM344" s="330">
        <f>+SUM(AE344:AH344)</f>
        <v>0</v>
      </c>
      <c r="BN344" s="330">
        <f>+SUM(AI344:AL344)</f>
        <v>0</v>
      </c>
      <c r="BO344" s="1859">
        <f>+SUM(AM344:AP344)</f>
        <v>0</v>
      </c>
      <c r="BP344" s="330">
        <f>+SUM(AQ344:AT344)</f>
        <v>0</v>
      </c>
      <c r="BQ344" s="330">
        <f>+SUM(AU344:AX344)</f>
        <v>0</v>
      </c>
      <c r="BR344" s="387">
        <f t="shared" ref="BR344:BU344" si="2089">+BR347*BR342/1000</f>
        <v>0</v>
      </c>
      <c r="BS344" s="387">
        <f t="shared" si="2089"/>
        <v>0</v>
      </c>
      <c r="BT344" s="387">
        <f t="shared" si="2089"/>
        <v>0</v>
      </c>
      <c r="BU344" s="387">
        <f t="shared" si="2089"/>
        <v>0</v>
      </c>
    </row>
    <row r="345" spans="2:73" s="325" customFormat="1" ht="15" hidden="1" customHeight="1">
      <c r="B345" s="327"/>
      <c r="S345" s="1030"/>
      <c r="W345" s="1030"/>
      <c r="AM345" s="1030"/>
      <c r="BA345" s="72"/>
      <c r="BC345" s="2189"/>
      <c r="BD345" s="72"/>
      <c r="BJ345" s="2019"/>
      <c r="BO345" s="1030"/>
    </row>
    <row r="346" spans="2:73" s="325" customFormat="1" ht="15" hidden="1" customHeight="1">
      <c r="S346" s="1030"/>
      <c r="W346" s="1030"/>
      <c r="AM346" s="1030"/>
      <c r="BA346" s="72"/>
      <c r="BC346" s="2189"/>
      <c r="BD346" s="72"/>
      <c r="BJ346" s="2019"/>
      <c r="BO346" s="1030"/>
    </row>
    <row r="347" spans="2:73" s="325" customFormat="1" ht="15" hidden="1" customHeight="1">
      <c r="B347" s="325" t="s">
        <v>346</v>
      </c>
      <c r="C347" s="330">
        <f t="shared" ref="C347:W347" si="2090">+C344*1000/C342</f>
        <v>47.899927862490983</v>
      </c>
      <c r="D347" s="330">
        <f t="shared" si="2090"/>
        <v>54.124393471548302</v>
      </c>
      <c r="E347" s="330">
        <f t="shared" si="2090"/>
        <v>54.951814640147632</v>
      </c>
      <c r="F347" s="330">
        <f t="shared" si="2090"/>
        <v>55.203798971111993</v>
      </c>
      <c r="G347" s="330">
        <f t="shared" si="2090"/>
        <v>47.684198775827937</v>
      </c>
      <c r="H347" s="330">
        <f t="shared" si="2090"/>
        <v>59.93677894134521</v>
      </c>
      <c r="I347" s="330">
        <f t="shared" si="2090"/>
        <v>58.943466172381832</v>
      </c>
      <c r="J347" s="330">
        <f t="shared" si="2090"/>
        <v>60.178539588366966</v>
      </c>
      <c r="K347" s="330">
        <f t="shared" si="2090"/>
        <v>48.595960126508082</v>
      </c>
      <c r="L347" s="330">
        <f t="shared" si="2090"/>
        <v>57.818355090123355</v>
      </c>
      <c r="M347" s="330">
        <f t="shared" si="2090"/>
        <v>55.375098396419503</v>
      </c>
      <c r="N347" s="330">
        <f t="shared" si="2090"/>
        <v>61.290152353997769</v>
      </c>
      <c r="O347" s="330">
        <f t="shared" si="2090"/>
        <v>53.743285793352968</v>
      </c>
      <c r="P347" s="330">
        <f t="shared" si="2090"/>
        <v>61.443163463301666</v>
      </c>
      <c r="Q347" s="330">
        <f t="shared" si="2090"/>
        <v>55.853581571473669</v>
      </c>
      <c r="R347" s="330">
        <f t="shared" si="2090"/>
        <v>62.693978895096215</v>
      </c>
      <c r="S347" s="1859">
        <f t="shared" si="2090"/>
        <v>52.623311341501726</v>
      </c>
      <c r="T347" s="330">
        <f t="shared" si="2090"/>
        <v>59.212549984620111</v>
      </c>
      <c r="U347" s="330">
        <f t="shared" si="2090"/>
        <v>64.735441915459646</v>
      </c>
      <c r="V347" s="330">
        <f t="shared" si="2090"/>
        <v>74.179337785988338</v>
      </c>
      <c r="W347" s="1859">
        <f t="shared" si="2090"/>
        <v>55.486845678550438</v>
      </c>
      <c r="X347" s="331">
        <f>+T347*(1+X348)</f>
        <v>53.2912949861581</v>
      </c>
      <c r="Y347" s="331">
        <f>+U347*(1+Y348)</f>
        <v>59.556606562222875</v>
      </c>
      <c r="Z347" s="331">
        <f>+V347*(1+Z348)</f>
        <v>71.212164274548797</v>
      </c>
      <c r="AA347" s="331">
        <f>+W347*(1+AA348)</f>
        <v>56.59658259212145</v>
      </c>
      <c r="AB347" s="331"/>
      <c r="AC347" s="331"/>
      <c r="AD347" s="331"/>
      <c r="AE347" s="331">
        <f t="shared" ref="AE347:AP347" si="2091">+AA347*(1+AE348)</f>
        <v>57.728514243963879</v>
      </c>
      <c r="AF347" s="331">
        <f t="shared" si="2091"/>
        <v>0</v>
      </c>
      <c r="AG347" s="331">
        <f t="shared" si="2091"/>
        <v>0</v>
      </c>
      <c r="AH347" s="331">
        <f t="shared" si="2091"/>
        <v>0</v>
      </c>
      <c r="AI347" s="331">
        <f t="shared" si="2091"/>
        <v>58.883084528843156</v>
      </c>
      <c r="AJ347" s="331">
        <f t="shared" si="2091"/>
        <v>0</v>
      </c>
      <c r="AK347" s="331">
        <f t="shared" si="2091"/>
        <v>0</v>
      </c>
      <c r="AL347" s="331">
        <f t="shared" si="2091"/>
        <v>0</v>
      </c>
      <c r="AM347" s="1860">
        <f t="shared" si="2091"/>
        <v>60.060746219420018</v>
      </c>
      <c r="AN347" s="331">
        <f t="shared" si="2091"/>
        <v>0</v>
      </c>
      <c r="AO347" s="331">
        <f t="shared" si="2091"/>
        <v>0</v>
      </c>
      <c r="AP347" s="331">
        <f t="shared" si="2091"/>
        <v>0</v>
      </c>
      <c r="AQ347" s="331">
        <f t="shared" ref="AQ347" si="2092">+AM347*(1+AQ348)</f>
        <v>61.261961143808421</v>
      </c>
      <c r="AR347" s="331">
        <f t="shared" ref="AR347" si="2093">+AN347*(1+AR348)</f>
        <v>0</v>
      </c>
      <c r="AS347" s="331">
        <f t="shared" ref="AS347" si="2094">+AO347*(1+AS348)</f>
        <v>0</v>
      </c>
      <c r="AT347" s="331">
        <f t="shared" ref="AT347" si="2095">+AP347*(1+AT348)</f>
        <v>0</v>
      </c>
      <c r="AU347" s="331">
        <f t="shared" ref="AU347" si="2096">+AQ347*(1+AU348)</f>
        <v>62.48720036668459</v>
      </c>
      <c r="AV347" s="331">
        <f t="shared" ref="AV347" si="2097">+AR347*(1+AV348)</f>
        <v>0</v>
      </c>
      <c r="AW347" s="331">
        <f t="shared" ref="AW347" si="2098">+AS347*(1+AW348)</f>
        <v>0</v>
      </c>
      <c r="AX347" s="331">
        <f t="shared" ref="AX347" si="2099">+AT347*(1+AX348)</f>
        <v>0</v>
      </c>
      <c r="AY347" s="331"/>
      <c r="AZ347" s="331"/>
      <c r="BA347" s="72"/>
      <c r="BB347" s="331">
        <v>0</v>
      </c>
      <c r="BC347" s="2189"/>
      <c r="BD347" s="72"/>
      <c r="BE347" s="330">
        <f>+SUM(C347:F347)</f>
        <v>212.1799349452989</v>
      </c>
      <c r="BF347" s="330">
        <f>+SUM(G347:J347)</f>
        <v>226.74298347792194</v>
      </c>
      <c r="BG347" s="330">
        <f>+SUM(K347:N347)</f>
        <v>223.07956596704872</v>
      </c>
      <c r="BH347" s="330">
        <f>+SUM(O347:R347)</f>
        <v>233.73400972322452</v>
      </c>
      <c r="BI347" s="330"/>
      <c r="BJ347" s="2038">
        <f>+SUM(S347:V347)</f>
        <v>250.7506410275698</v>
      </c>
      <c r="BK347" s="330">
        <f>+SUM(W347:Z347)</f>
        <v>239.5469115014802</v>
      </c>
      <c r="BL347" s="330">
        <f>+SUM(AA347:AD347)</f>
        <v>56.59658259212145</v>
      </c>
      <c r="BM347" s="330">
        <f>+SUM(AE347:AH347)</f>
        <v>57.728514243963879</v>
      </c>
      <c r="BN347" s="330">
        <f>+SUM(AI347:AL347)</f>
        <v>58.883084528843156</v>
      </c>
      <c r="BO347" s="1859">
        <f>+SUM(AM347:AP347)</f>
        <v>60.060746219420018</v>
      </c>
      <c r="BP347" s="330">
        <f>+SUM(AQ347:AT347)</f>
        <v>61.261961143808421</v>
      </c>
      <c r="BQ347" s="330">
        <f>+SUM(AU347:AX347)</f>
        <v>62.48720036668459</v>
      </c>
      <c r="BR347" s="331">
        <f t="shared" ref="BR347:BU347" si="2100">+BQ347*(1+BR348)</f>
        <v>64.36181637768513</v>
      </c>
      <c r="BS347" s="331">
        <f t="shared" si="2100"/>
        <v>66.29267086901568</v>
      </c>
      <c r="BT347" s="331">
        <f t="shared" si="2100"/>
        <v>68.281450995086146</v>
      </c>
      <c r="BU347" s="331">
        <f t="shared" si="2100"/>
        <v>70.329894524938737</v>
      </c>
    </row>
    <row r="348" spans="2:73" s="325" customFormat="1" ht="15" hidden="1" customHeight="1">
      <c r="B348" s="325" t="s">
        <v>108</v>
      </c>
      <c r="C348" s="332"/>
      <c r="D348" s="332"/>
      <c r="E348" s="332"/>
      <c r="F348" s="332"/>
      <c r="G348" s="332">
        <f t="shared" ref="G348:W348" si="2101">+G347/C347-1</f>
        <v>-4.5037455438837748E-3</v>
      </c>
      <c r="H348" s="332">
        <f t="shared" si="2101"/>
        <v>0.1073893876123031</v>
      </c>
      <c r="I348" s="332">
        <f t="shared" si="2101"/>
        <v>7.2639121353381242E-2</v>
      </c>
      <c r="J348" s="332">
        <f t="shared" si="2101"/>
        <v>9.011591067959368E-2</v>
      </c>
      <c r="K348" s="332">
        <f t="shared" si="2101"/>
        <v>1.9120827739320889E-2</v>
      </c>
      <c r="L348" s="332">
        <f t="shared" si="2101"/>
        <v>-3.5344305927667019E-2</v>
      </c>
      <c r="M348" s="332">
        <f t="shared" si="2101"/>
        <v>-6.053881808590178E-2</v>
      </c>
      <c r="N348" s="332">
        <f t="shared" si="2101"/>
        <v>1.8471913297239295E-2</v>
      </c>
      <c r="O348" s="332">
        <f t="shared" si="2101"/>
        <v>0.10592085542594565</v>
      </c>
      <c r="P348" s="332">
        <f t="shared" si="2101"/>
        <v>6.2693038699011883E-2</v>
      </c>
      <c r="Q348" s="332">
        <f t="shared" si="2101"/>
        <v>8.6407643310861815E-3</v>
      </c>
      <c r="R348" s="332">
        <f t="shared" si="2101"/>
        <v>2.2904601916964973E-2</v>
      </c>
      <c r="S348" s="1815">
        <f t="shared" si="2101"/>
        <v>-2.0839337143575998E-2</v>
      </c>
      <c r="T348" s="332">
        <f t="shared" si="2101"/>
        <v>-3.6303688692946978E-2</v>
      </c>
      <c r="U348" s="332">
        <f t="shared" si="2101"/>
        <v>0.15902042615870937</v>
      </c>
      <c r="V348" s="332">
        <f t="shared" si="2101"/>
        <v>0.18319716013096254</v>
      </c>
      <c r="W348" s="1815">
        <f t="shared" si="2101"/>
        <v>5.4415700267618217E-2</v>
      </c>
      <c r="X348" s="333">
        <v>-0.1</v>
      </c>
      <c r="Y348" s="333">
        <v>-0.08</v>
      </c>
      <c r="Z348" s="333">
        <v>-0.04</v>
      </c>
      <c r="AA348" s="333">
        <v>0.02</v>
      </c>
      <c r="AB348" s="333"/>
      <c r="AC348" s="333"/>
      <c r="AD348" s="333"/>
      <c r="AE348" s="333">
        <v>0.02</v>
      </c>
      <c r="AF348" s="333">
        <v>0.02</v>
      </c>
      <c r="AG348" s="333">
        <v>0.02</v>
      </c>
      <c r="AH348" s="333">
        <v>0.02</v>
      </c>
      <c r="AI348" s="333">
        <v>0.02</v>
      </c>
      <c r="AJ348" s="333">
        <v>0.02</v>
      </c>
      <c r="AK348" s="333">
        <v>0.02</v>
      </c>
      <c r="AL348" s="333">
        <v>0.02</v>
      </c>
      <c r="AM348" s="2411">
        <v>0.02</v>
      </c>
      <c r="AN348" s="333">
        <v>0.02</v>
      </c>
      <c r="AO348" s="333">
        <v>0.02</v>
      </c>
      <c r="AP348" s="333">
        <v>0.02</v>
      </c>
      <c r="AQ348" s="333">
        <v>0.02</v>
      </c>
      <c r="AR348" s="333">
        <v>0.02</v>
      </c>
      <c r="AS348" s="333">
        <v>0.02</v>
      </c>
      <c r="AT348" s="333">
        <v>0.02</v>
      </c>
      <c r="AU348" s="333">
        <v>0.02</v>
      </c>
      <c r="AV348" s="333">
        <v>0.02</v>
      </c>
      <c r="AW348" s="333">
        <v>0.02</v>
      </c>
      <c r="AX348" s="333">
        <v>0.02</v>
      </c>
      <c r="AY348" s="333"/>
      <c r="AZ348" s="333"/>
      <c r="BA348" s="72"/>
      <c r="BB348" s="333">
        <v>0.02</v>
      </c>
      <c r="BC348" s="2189"/>
      <c r="BD348" s="72"/>
      <c r="BF348" s="332">
        <f t="shared" ref="BF348:BQ348" si="2102">+BF347/BE347-1</f>
        <v>6.863537090054006E-2</v>
      </c>
      <c r="BG348" s="332">
        <f t="shared" si="2102"/>
        <v>-1.6156696250007374E-2</v>
      </c>
      <c r="BH348" s="332">
        <f t="shared" si="2102"/>
        <v>4.776073375429446E-2</v>
      </c>
      <c r="BI348" s="332"/>
      <c r="BJ348" s="2055">
        <f>+BJ347/BH347-1</f>
        <v>7.2803402998542932E-2</v>
      </c>
      <c r="BK348" s="332">
        <f>+BK347/BJ347-1</f>
        <v>-4.4680761254196621E-2</v>
      </c>
      <c r="BL348" s="332">
        <f t="shared" si="2102"/>
        <v>-0.76373486830878334</v>
      </c>
      <c r="BM348" s="332">
        <f t="shared" si="2102"/>
        <v>2.0000000000000018E-2</v>
      </c>
      <c r="BN348" s="332">
        <f t="shared" si="2102"/>
        <v>2.0000000000000018E-2</v>
      </c>
      <c r="BO348" s="1815">
        <f t="shared" si="2102"/>
        <v>2.0000000000000018E-2</v>
      </c>
      <c r="BP348" s="332">
        <f t="shared" si="2102"/>
        <v>2.0000000000000018E-2</v>
      </c>
      <c r="BQ348" s="332">
        <f t="shared" si="2102"/>
        <v>2.0000000000000018E-2</v>
      </c>
      <c r="BR348" s="333">
        <v>0.03</v>
      </c>
      <c r="BS348" s="333">
        <v>0.03</v>
      </c>
      <c r="BT348" s="333">
        <v>0.03</v>
      </c>
      <c r="BU348" s="333">
        <v>0.03</v>
      </c>
    </row>
    <row r="349" spans="2:73" s="325" customFormat="1" ht="15" hidden="1" customHeight="1">
      <c r="S349" s="1030"/>
      <c r="W349" s="1030"/>
      <c r="AM349" s="1030"/>
      <c r="BA349" s="72"/>
      <c r="BC349" s="2189"/>
      <c r="BD349" s="72"/>
      <c r="BJ349" s="2019"/>
      <c r="BO349" s="1030"/>
    </row>
    <row r="350" spans="2:73" s="325" customFormat="1" ht="15" hidden="1" customHeight="1">
      <c r="B350" s="325" t="s">
        <v>347</v>
      </c>
      <c r="C350" s="330">
        <f t="shared" ref="C350:V350" si="2103">+C358/C344</f>
        <v>20.720545277507306</v>
      </c>
      <c r="D350" s="330">
        <f t="shared" si="2103"/>
        <v>22.88508557457213</v>
      </c>
      <c r="E350" s="330">
        <f t="shared" si="2103"/>
        <v>25.630597014925371</v>
      </c>
      <c r="F350" s="330">
        <f t="shared" si="2103"/>
        <v>26.899641577060933</v>
      </c>
      <c r="G350" s="330">
        <f t="shared" si="2103"/>
        <v>23.236171360134342</v>
      </c>
      <c r="H350" s="330">
        <f t="shared" si="2103"/>
        <v>21.123100924323758</v>
      </c>
      <c r="I350" s="330">
        <f t="shared" si="2103"/>
        <v>20.710691823899371</v>
      </c>
      <c r="J350" s="330">
        <f t="shared" si="2103"/>
        <v>20.930774529660965</v>
      </c>
      <c r="K350" s="330">
        <f t="shared" si="2103"/>
        <v>20.987666718026919</v>
      </c>
      <c r="L350" s="330">
        <f t="shared" si="2103"/>
        <v>21.285090290788951</v>
      </c>
      <c r="M350" s="330">
        <f t="shared" si="2103"/>
        <v>23.085584619899404</v>
      </c>
      <c r="N350" s="330">
        <f t="shared" si="2103"/>
        <v>21.62968565473027</v>
      </c>
      <c r="O350" s="330">
        <f t="shared" si="2103"/>
        <v>20.777845812934849</v>
      </c>
      <c r="P350" s="330">
        <f t="shared" si="2103"/>
        <v>21.105022144101586</v>
      </c>
      <c r="Q350" s="330">
        <f t="shared" si="2103"/>
        <v>17.785310734463273</v>
      </c>
      <c r="R350" s="330">
        <f t="shared" si="2103"/>
        <v>23.613861386138609</v>
      </c>
      <c r="S350" s="1859">
        <f t="shared" si="2103"/>
        <v>21.498507462686568</v>
      </c>
      <c r="T350" s="330">
        <f t="shared" si="2103"/>
        <v>22.867532467532467</v>
      </c>
      <c r="U350" s="330">
        <f t="shared" si="2103"/>
        <v>19.707762557077629</v>
      </c>
      <c r="V350" s="330">
        <f t="shared" si="2103"/>
        <v>20.086206896551722</v>
      </c>
      <c r="W350" s="1860">
        <f>+S350*(1+W351)</f>
        <v>21.820985074626865</v>
      </c>
      <c r="X350" s="331">
        <f>+T350*(1+X351)</f>
        <v>21.724155844155842</v>
      </c>
      <c r="Y350" s="331" t="e">
        <f>+U350*(1+Y351)</f>
        <v>#REF!</v>
      </c>
      <c r="Z350" s="331" t="e">
        <f>+V350*(1+Z351)</f>
        <v>#REF!</v>
      </c>
      <c r="AA350" s="331" t="e">
        <f>+W350*(1+AA351)</f>
        <v>#REF!</v>
      </c>
      <c r="AB350" s="331"/>
      <c r="AC350" s="331"/>
      <c r="AD350" s="331"/>
      <c r="AE350" s="331" t="e">
        <f t="shared" ref="AE350:AP350" si="2104">+AA350*(1+AE351)</f>
        <v>#REF!</v>
      </c>
      <c r="AF350" s="331" t="e">
        <f t="shared" si="2104"/>
        <v>#REF!</v>
      </c>
      <c r="AG350" s="331" t="e">
        <f t="shared" si="2104"/>
        <v>#REF!</v>
      </c>
      <c r="AH350" s="331" t="e">
        <f t="shared" si="2104"/>
        <v>#REF!</v>
      </c>
      <c r="AI350" s="331" t="e">
        <f t="shared" si="2104"/>
        <v>#REF!</v>
      </c>
      <c r="AJ350" s="331" t="e">
        <f t="shared" si="2104"/>
        <v>#REF!</v>
      </c>
      <c r="AK350" s="331" t="e">
        <f t="shared" si="2104"/>
        <v>#REF!</v>
      </c>
      <c r="AL350" s="331" t="e">
        <f t="shared" si="2104"/>
        <v>#REF!</v>
      </c>
      <c r="AM350" s="1860" t="e">
        <f t="shared" si="2104"/>
        <v>#REF!</v>
      </c>
      <c r="AN350" s="331" t="e">
        <f t="shared" si="2104"/>
        <v>#REF!</v>
      </c>
      <c r="AO350" s="331" t="e">
        <f t="shared" si="2104"/>
        <v>#REF!</v>
      </c>
      <c r="AP350" s="331" t="e">
        <f t="shared" si="2104"/>
        <v>#REF!</v>
      </c>
      <c r="AQ350" s="331" t="e">
        <f t="shared" ref="AQ350" si="2105">+AM350*(1+AQ351)</f>
        <v>#REF!</v>
      </c>
      <c r="AR350" s="331" t="e">
        <f t="shared" ref="AR350" si="2106">+AN350*(1+AR351)</f>
        <v>#REF!</v>
      </c>
      <c r="AS350" s="331" t="e">
        <f t="shared" ref="AS350" si="2107">+AO350*(1+AS351)</f>
        <v>#REF!</v>
      </c>
      <c r="AT350" s="331" t="e">
        <f t="shared" ref="AT350" si="2108">+AP350*(1+AT351)</f>
        <v>#REF!</v>
      </c>
      <c r="AU350" s="331" t="e">
        <f t="shared" ref="AU350" si="2109">+AQ350*(1+AU351)</f>
        <v>#REF!</v>
      </c>
      <c r="AV350" s="331" t="e">
        <f t="shared" ref="AV350" si="2110">+AR350*(1+AV351)</f>
        <v>#REF!</v>
      </c>
      <c r="AW350" s="331" t="e">
        <f t="shared" ref="AW350" si="2111">+AS350*(1+AW351)</f>
        <v>#REF!</v>
      </c>
      <c r="AX350" s="331" t="e">
        <f t="shared" ref="AX350" si="2112">+AT350*(1+AX351)</f>
        <v>#REF!</v>
      </c>
      <c r="AY350" s="331"/>
      <c r="AZ350" s="331"/>
      <c r="BA350" s="72"/>
      <c r="BB350" s="331" t="e">
        <v>#REF!</v>
      </c>
      <c r="BC350" s="2189"/>
      <c r="BD350" s="72"/>
      <c r="BE350" s="330">
        <f t="shared" ref="BE350:BO350" si="2113">+BE358/BE344</f>
        <v>24.299458809380635</v>
      </c>
      <c r="BF350" s="330">
        <f t="shared" si="2113"/>
        <v>21.385214324431548</v>
      </c>
      <c r="BG350" s="330">
        <f t="shared" si="2113"/>
        <v>21.776204055176009</v>
      </c>
      <c r="BH350" s="330">
        <f t="shared" si="2113"/>
        <v>20.922571095872204</v>
      </c>
      <c r="BI350" s="330"/>
      <c r="BJ350" s="2038">
        <f t="shared" si="2113"/>
        <v>20.906547619047622</v>
      </c>
      <c r="BK350" s="330">
        <f t="shared" si="2113"/>
        <v>0</v>
      </c>
      <c r="BL350" s="330">
        <f t="shared" si="2113"/>
        <v>0</v>
      </c>
      <c r="BM350" s="330" t="e">
        <f t="shared" si="2113"/>
        <v>#DIV/0!</v>
      </c>
      <c r="BN350" s="330" t="e">
        <f t="shared" si="2113"/>
        <v>#DIV/0!</v>
      </c>
      <c r="BO350" s="1859" t="e">
        <f t="shared" si="2113"/>
        <v>#DIV/0!</v>
      </c>
      <c r="BP350" s="330" t="e">
        <f t="shared" ref="BP350:BQ350" si="2114">+BP358/BP344</f>
        <v>#DIV/0!</v>
      </c>
      <c r="BQ350" s="330" t="e">
        <f t="shared" si="2114"/>
        <v>#DIV/0!</v>
      </c>
      <c r="BR350" s="331" t="e">
        <f t="shared" ref="BR350:BU350" si="2115">+BQ350*(1+BR351)</f>
        <v>#DIV/0!</v>
      </c>
      <c r="BS350" s="331" t="e">
        <f t="shared" si="2115"/>
        <v>#DIV/0!</v>
      </c>
      <c r="BT350" s="331" t="e">
        <f t="shared" si="2115"/>
        <v>#DIV/0!</v>
      </c>
      <c r="BU350" s="331" t="e">
        <f t="shared" si="2115"/>
        <v>#DIV/0!</v>
      </c>
    </row>
    <row r="351" spans="2:73" s="325" customFormat="1" ht="15" hidden="1" customHeight="1">
      <c r="B351" s="325" t="s">
        <v>108</v>
      </c>
      <c r="C351" s="332"/>
      <c r="D351" s="332"/>
      <c r="E351" s="332"/>
      <c r="F351" s="332"/>
      <c r="G351" s="332">
        <f t="shared" ref="G351:V351" si="2116">+G350/C350-1</f>
        <v>0.1214073302094909</v>
      </c>
      <c r="H351" s="332">
        <f t="shared" si="2116"/>
        <v>-7.6992705336707767E-2</v>
      </c>
      <c r="I351" s="332">
        <f t="shared" si="2116"/>
        <v>-0.19195437344518385</v>
      </c>
      <c r="J351" s="332">
        <f t="shared" si="2116"/>
        <v>-0.22189392488002546</v>
      </c>
      <c r="K351" s="332">
        <f t="shared" si="2116"/>
        <v>-9.6767432433603084E-2</v>
      </c>
      <c r="L351" s="332">
        <f t="shared" si="2116"/>
        <v>7.6688250955927462E-3</v>
      </c>
      <c r="M351" s="332">
        <f t="shared" si="2116"/>
        <v>0.11466989206316591</v>
      </c>
      <c r="N351" s="332">
        <f t="shared" si="2116"/>
        <v>3.3391555772524395E-2</v>
      </c>
      <c r="O351" s="332">
        <f t="shared" si="2116"/>
        <v>-9.9973431020727865E-3</v>
      </c>
      <c r="P351" s="332">
        <f t="shared" si="2116"/>
        <v>-8.4598253626054776E-3</v>
      </c>
      <c r="Q351" s="332">
        <f t="shared" si="2116"/>
        <v>-0.22959236132436422</v>
      </c>
      <c r="R351" s="332">
        <f t="shared" si="2116"/>
        <v>9.1733914356467494E-2</v>
      </c>
      <c r="S351" s="1815">
        <f t="shared" si="2116"/>
        <v>3.4684136952401801E-2</v>
      </c>
      <c r="T351" s="332">
        <f t="shared" si="2116"/>
        <v>8.3511417869962523E-2</v>
      </c>
      <c r="U351" s="332">
        <f t="shared" si="2116"/>
        <v>0.10809211327914259</v>
      </c>
      <c r="V351" s="332">
        <f t="shared" si="2116"/>
        <v>-0.14938914190703378</v>
      </c>
      <c r="W351" s="1861">
        <v>1.4999999999999999E-2</v>
      </c>
      <c r="X351" s="333">
        <v>-0.05</v>
      </c>
      <c r="Y351" s="333" t="e">
        <f>+Y352+Y333</f>
        <v>#REF!</v>
      </c>
      <c r="Z351" s="333" t="e">
        <f>+Z352+Z333</f>
        <v>#REF!</v>
      </c>
      <c r="AA351" s="333" t="e">
        <f>+AA352+AA333</f>
        <v>#REF!</v>
      </c>
      <c r="AB351" s="333"/>
      <c r="AC351" s="333"/>
      <c r="AD351" s="333"/>
      <c r="AE351" s="333" t="e">
        <f t="shared" ref="AE351:AP351" si="2117">+AE352+AE333</f>
        <v>#REF!</v>
      </c>
      <c r="AF351" s="333" t="e">
        <f t="shared" si="2117"/>
        <v>#REF!</v>
      </c>
      <c r="AG351" s="333" t="e">
        <f t="shared" si="2117"/>
        <v>#REF!</v>
      </c>
      <c r="AH351" s="333" t="e">
        <f t="shared" si="2117"/>
        <v>#REF!</v>
      </c>
      <c r="AI351" s="333" t="e">
        <f t="shared" si="2117"/>
        <v>#REF!</v>
      </c>
      <c r="AJ351" s="333" t="e">
        <f t="shared" si="2117"/>
        <v>#REF!</v>
      </c>
      <c r="AK351" s="333" t="e">
        <f t="shared" si="2117"/>
        <v>#REF!</v>
      </c>
      <c r="AL351" s="333" t="e">
        <f t="shared" si="2117"/>
        <v>#REF!</v>
      </c>
      <c r="AM351" s="2411" t="e">
        <f t="shared" si="2117"/>
        <v>#REF!</v>
      </c>
      <c r="AN351" s="333" t="e">
        <f t="shared" si="2117"/>
        <v>#REF!</v>
      </c>
      <c r="AO351" s="333" t="e">
        <f t="shared" si="2117"/>
        <v>#REF!</v>
      </c>
      <c r="AP351" s="333" t="e">
        <f t="shared" si="2117"/>
        <v>#REF!</v>
      </c>
      <c r="AQ351" s="333" t="e">
        <f t="shared" ref="AQ351:AT351" si="2118">+AQ352+AQ333</f>
        <v>#REF!</v>
      </c>
      <c r="AR351" s="333" t="e">
        <f t="shared" si="2118"/>
        <v>#REF!</v>
      </c>
      <c r="AS351" s="333" t="e">
        <f t="shared" si="2118"/>
        <v>#REF!</v>
      </c>
      <c r="AT351" s="333" t="e">
        <f t="shared" si="2118"/>
        <v>#REF!</v>
      </c>
      <c r="AU351" s="333" t="e">
        <f t="shared" ref="AU351:AX351" si="2119">+AU352+AU333</f>
        <v>#REF!</v>
      </c>
      <c r="AV351" s="333" t="e">
        <f t="shared" si="2119"/>
        <v>#REF!</v>
      </c>
      <c r="AW351" s="333" t="e">
        <f t="shared" si="2119"/>
        <v>#REF!</v>
      </c>
      <c r="AX351" s="333" t="e">
        <f t="shared" si="2119"/>
        <v>#REF!</v>
      </c>
      <c r="AY351" s="333"/>
      <c r="AZ351" s="333"/>
      <c r="BA351" s="72"/>
      <c r="BB351" s="333" t="e">
        <v>#REF!</v>
      </c>
      <c r="BC351" s="2189"/>
      <c r="BD351" s="72"/>
      <c r="BE351" s="332"/>
      <c r="BF351" s="332">
        <f t="shared" ref="BF351:BQ351" si="2120">+BF350/BE350-1</f>
        <v>-0.1199304275790728</v>
      </c>
      <c r="BG351" s="332">
        <f t="shared" si="2120"/>
        <v>1.8283180369989438E-2</v>
      </c>
      <c r="BH351" s="332">
        <f t="shared" si="2120"/>
        <v>-3.9200264524565043E-2</v>
      </c>
      <c r="BI351" s="332"/>
      <c r="BJ351" s="2055">
        <f>+BJ350/BH350-1</f>
        <v>-7.6584645123956019E-4</v>
      </c>
      <c r="BK351" s="332">
        <f>+BK350/BJ350-1</f>
        <v>-1</v>
      </c>
      <c r="BL351" s="332" t="e">
        <f t="shared" si="2120"/>
        <v>#DIV/0!</v>
      </c>
      <c r="BM351" s="332" t="e">
        <f t="shared" si="2120"/>
        <v>#DIV/0!</v>
      </c>
      <c r="BN351" s="332" t="e">
        <f t="shared" si="2120"/>
        <v>#DIV/0!</v>
      </c>
      <c r="BO351" s="1815" t="e">
        <f t="shared" si="2120"/>
        <v>#DIV/0!</v>
      </c>
      <c r="BP351" s="332" t="e">
        <f t="shared" si="2120"/>
        <v>#DIV/0!</v>
      </c>
      <c r="BQ351" s="332" t="e">
        <f t="shared" si="2120"/>
        <v>#DIV/0!</v>
      </c>
      <c r="BR351" s="333" t="e">
        <f t="shared" ref="BR351:BU351" si="2121">+BR352+BR333</f>
        <v>#REF!</v>
      </c>
      <c r="BS351" s="333" t="e">
        <f t="shared" si="2121"/>
        <v>#REF!</v>
      </c>
      <c r="BT351" s="333" t="e">
        <f t="shared" si="2121"/>
        <v>#REF!</v>
      </c>
      <c r="BU351" s="333" t="e">
        <f t="shared" si="2121"/>
        <v>#REF!</v>
      </c>
    </row>
    <row r="352" spans="2:73" s="325" customFormat="1" ht="15" hidden="1" customHeight="1">
      <c r="C352" s="332"/>
      <c r="D352" s="332"/>
      <c r="E352" s="332"/>
      <c r="F352" s="332"/>
      <c r="G352" s="332" t="e">
        <f t="shared" ref="G352:W352" si="2122">+G351-G333</f>
        <v>#REF!</v>
      </c>
      <c r="H352" s="332" t="e">
        <f t="shared" si="2122"/>
        <v>#REF!</v>
      </c>
      <c r="I352" s="332" t="e">
        <f t="shared" si="2122"/>
        <v>#REF!</v>
      </c>
      <c r="J352" s="332" t="e">
        <f t="shared" si="2122"/>
        <v>#REF!</v>
      </c>
      <c r="K352" s="332" t="e">
        <f t="shared" si="2122"/>
        <v>#REF!</v>
      </c>
      <c r="L352" s="332" t="e">
        <f t="shared" si="2122"/>
        <v>#REF!</v>
      </c>
      <c r="M352" s="332" t="e">
        <f t="shared" si="2122"/>
        <v>#REF!</v>
      </c>
      <c r="N352" s="332" t="e">
        <f t="shared" si="2122"/>
        <v>#REF!</v>
      </c>
      <c r="O352" s="332" t="e">
        <f t="shared" si="2122"/>
        <v>#REF!</v>
      </c>
      <c r="P352" s="332" t="e">
        <f t="shared" si="2122"/>
        <v>#REF!</v>
      </c>
      <c r="Q352" s="332" t="e">
        <f t="shared" si="2122"/>
        <v>#REF!</v>
      </c>
      <c r="R352" s="332" t="e">
        <f t="shared" si="2122"/>
        <v>#REF!</v>
      </c>
      <c r="S352" s="1815" t="e">
        <f t="shared" si="2122"/>
        <v>#REF!</v>
      </c>
      <c r="T352" s="332" t="e">
        <f t="shared" si="2122"/>
        <v>#REF!</v>
      </c>
      <c r="U352" s="332" t="e">
        <f t="shared" si="2122"/>
        <v>#REF!</v>
      </c>
      <c r="V352" s="332" t="e">
        <f t="shared" si="2122"/>
        <v>#REF!</v>
      </c>
      <c r="W352" s="1815" t="e">
        <f t="shared" si="2122"/>
        <v>#REF!</v>
      </c>
      <c r="X352" s="333">
        <v>-0.15</v>
      </c>
      <c r="Y352" s="333">
        <v>-0.1</v>
      </c>
      <c r="Z352" s="333">
        <v>0</v>
      </c>
      <c r="AA352" s="333">
        <v>0.02</v>
      </c>
      <c r="AB352" s="333"/>
      <c r="AC352" s="333"/>
      <c r="AD352" s="333"/>
      <c r="AE352" s="333">
        <v>0.04</v>
      </c>
      <c r="AF352" s="333">
        <v>0.04</v>
      </c>
      <c r="AG352" s="333">
        <v>0.04</v>
      </c>
      <c r="AH352" s="333">
        <v>0.04</v>
      </c>
      <c r="AI352" s="333">
        <v>0.04</v>
      </c>
      <c r="AJ352" s="333">
        <v>0.04</v>
      </c>
      <c r="AK352" s="333">
        <v>0.04</v>
      </c>
      <c r="AL352" s="333">
        <v>0.04</v>
      </c>
      <c r="AM352" s="2411">
        <v>0.04</v>
      </c>
      <c r="AN352" s="333">
        <v>0.04</v>
      </c>
      <c r="AO352" s="333">
        <v>0.04</v>
      </c>
      <c r="AP352" s="333">
        <v>0.04</v>
      </c>
      <c r="AQ352" s="333">
        <v>0.04</v>
      </c>
      <c r="AR352" s="333">
        <v>0.04</v>
      </c>
      <c r="AS352" s="333">
        <v>0.04</v>
      </c>
      <c r="AT352" s="333">
        <v>0.04</v>
      </c>
      <c r="AU352" s="333">
        <v>0.04</v>
      </c>
      <c r="AV352" s="333">
        <v>0.04</v>
      </c>
      <c r="AW352" s="333">
        <v>0.04</v>
      </c>
      <c r="AX352" s="333">
        <v>0.04</v>
      </c>
      <c r="AY352" s="333"/>
      <c r="AZ352" s="333"/>
      <c r="BA352" s="72"/>
      <c r="BB352" s="333">
        <v>0.04</v>
      </c>
      <c r="BC352" s="2189"/>
      <c r="BD352" s="72"/>
      <c r="BE352" s="332"/>
      <c r="BF352" s="332" t="e">
        <f t="shared" ref="BF352:BO352" si="2123">+BF351-BF333</f>
        <v>#REF!</v>
      </c>
      <c r="BG352" s="332" t="e">
        <f t="shared" si="2123"/>
        <v>#REF!</v>
      </c>
      <c r="BH352" s="332" t="e">
        <f t="shared" si="2123"/>
        <v>#REF!</v>
      </c>
      <c r="BI352" s="332"/>
      <c r="BJ352" s="2055" t="e">
        <f t="shared" si="2123"/>
        <v>#REF!</v>
      </c>
      <c r="BK352" s="332" t="e">
        <f t="shared" si="2123"/>
        <v>#REF!</v>
      </c>
      <c r="BL352" s="332" t="e">
        <f t="shared" si="2123"/>
        <v>#DIV/0!</v>
      </c>
      <c r="BM352" s="332" t="e">
        <f t="shared" si="2123"/>
        <v>#DIV/0!</v>
      </c>
      <c r="BN352" s="332" t="e">
        <f t="shared" si="2123"/>
        <v>#DIV/0!</v>
      </c>
      <c r="BO352" s="1815" t="e">
        <f t="shared" si="2123"/>
        <v>#DIV/0!</v>
      </c>
      <c r="BP352" s="332" t="e">
        <f t="shared" ref="BP352:BQ352" si="2124">+BP351-BP333</f>
        <v>#DIV/0!</v>
      </c>
      <c r="BQ352" s="332" t="e">
        <f t="shared" si="2124"/>
        <v>#DIV/0!</v>
      </c>
      <c r="BR352" s="333">
        <v>0.1</v>
      </c>
      <c r="BS352" s="333">
        <v>0.1</v>
      </c>
      <c r="BT352" s="333">
        <v>0.1</v>
      </c>
      <c r="BU352" s="333">
        <v>0.1</v>
      </c>
    </row>
    <row r="353" spans="1:73" s="325" customFormat="1" ht="15" hidden="1" customHeight="1">
      <c r="C353" s="332"/>
      <c r="D353" s="332"/>
      <c r="E353" s="332"/>
      <c r="F353" s="332"/>
      <c r="G353" s="332"/>
      <c r="H353" s="332"/>
      <c r="I353" s="332"/>
      <c r="J353" s="332"/>
      <c r="K353" s="332"/>
      <c r="L353" s="332"/>
      <c r="M353" s="332"/>
      <c r="N353" s="332"/>
      <c r="O353" s="332"/>
      <c r="P353" s="332"/>
      <c r="Q353" s="332"/>
      <c r="R353" s="332"/>
      <c r="S353" s="1815"/>
      <c r="T353" s="332"/>
      <c r="U353" s="332"/>
      <c r="V353" s="332"/>
      <c r="W353" s="1815"/>
      <c r="X353" s="333"/>
      <c r="Y353" s="333"/>
      <c r="Z353" s="333"/>
      <c r="AA353" s="333"/>
      <c r="AB353" s="333"/>
      <c r="AC353" s="333"/>
      <c r="AD353" s="333"/>
      <c r="AE353" s="333"/>
      <c r="AF353" s="333"/>
      <c r="AG353" s="333"/>
      <c r="AH353" s="333"/>
      <c r="AI353" s="333"/>
      <c r="AJ353" s="333"/>
      <c r="AK353" s="333"/>
      <c r="AL353" s="333"/>
      <c r="AM353" s="2411"/>
      <c r="AN353" s="333"/>
      <c r="AO353" s="333"/>
      <c r="AP353" s="333"/>
      <c r="AQ353" s="333"/>
      <c r="AR353" s="333"/>
      <c r="AS353" s="333"/>
      <c r="AT353" s="333"/>
      <c r="AU353" s="333"/>
      <c r="AV353" s="333"/>
      <c r="AW353" s="333"/>
      <c r="AX353" s="333"/>
      <c r="AY353" s="333"/>
      <c r="AZ353" s="333"/>
      <c r="BA353" s="72"/>
      <c r="BB353" s="333"/>
      <c r="BC353" s="2189"/>
      <c r="BD353" s="72"/>
      <c r="BE353" s="332"/>
      <c r="BF353" s="332"/>
      <c r="BG353" s="332"/>
      <c r="BH353" s="332"/>
      <c r="BI353" s="332"/>
      <c r="BJ353" s="2055"/>
      <c r="BK353" s="332"/>
      <c r="BL353" s="332"/>
      <c r="BM353" s="332"/>
      <c r="BN353" s="332"/>
      <c r="BO353" s="1815"/>
      <c r="BP353" s="332"/>
      <c r="BQ353" s="332"/>
      <c r="BR353" s="333"/>
      <c r="BS353" s="333"/>
      <c r="BT353" s="333"/>
      <c r="BU353" s="333"/>
    </row>
    <row r="354" spans="1:73" s="399" customFormat="1" ht="15" hidden="1" customHeight="1">
      <c r="B354" s="399" t="s">
        <v>348</v>
      </c>
      <c r="C354" s="399">
        <f t="shared" ref="C354:AA354" si="2125">+C358/C342*1000</f>
        <v>992.51262406407807</v>
      </c>
      <c r="D354" s="399">
        <f t="shared" si="2125"/>
        <v>1238.6413762681959</v>
      </c>
      <c r="E354" s="399">
        <f t="shared" si="2125"/>
        <v>1408.4478162805003</v>
      </c>
      <c r="F354" s="399">
        <f t="shared" si="2125"/>
        <v>1484.9624060150377</v>
      </c>
      <c r="G354" s="399">
        <f t="shared" si="2125"/>
        <v>1107.9982139258461</v>
      </c>
      <c r="H354" s="399">
        <f t="shared" si="2125"/>
        <v>1266.0506306569177</v>
      </c>
      <c r="I354" s="399">
        <f t="shared" si="2125"/>
        <v>1220.7599629286376</v>
      </c>
      <c r="J354" s="399">
        <f t="shared" si="2125"/>
        <v>1259.5834436483854</v>
      </c>
      <c r="K354" s="399">
        <f t="shared" si="2125"/>
        <v>1019.9158149776769</v>
      </c>
      <c r="L354" s="399">
        <f t="shared" si="2125"/>
        <v>1230.6689085581725</v>
      </c>
      <c r="M354" s="399">
        <f t="shared" si="2125"/>
        <v>1278.3665198657982</v>
      </c>
      <c r="N354" s="399">
        <f t="shared" si="2125"/>
        <v>1325.686729147498</v>
      </c>
      <c r="O354" s="399">
        <f t="shared" si="2125"/>
        <v>1116.6697056947799</v>
      </c>
      <c r="P354" s="399">
        <f t="shared" si="2125"/>
        <v>1296.7593254966355</v>
      </c>
      <c r="Q354" s="399">
        <f t="shared" si="2125"/>
        <v>993.37330388135069</v>
      </c>
      <c r="R354" s="399">
        <f t="shared" si="2125"/>
        <v>1480.4469273743016</v>
      </c>
      <c r="S354" s="1862">
        <f t="shared" si="2125"/>
        <v>1131.3226515865535</v>
      </c>
      <c r="T354" s="399">
        <f t="shared" si="2125"/>
        <v>1354.0449092586896</v>
      </c>
      <c r="U354" s="399">
        <f t="shared" si="2125"/>
        <v>1275.790718297369</v>
      </c>
      <c r="V354" s="399">
        <f t="shared" si="2125"/>
        <v>1489.9815262185589</v>
      </c>
      <c r="W354" s="1862">
        <f t="shared" si="2125"/>
        <v>0</v>
      </c>
      <c r="X354" s="399">
        <f t="shared" si="2125"/>
        <v>0</v>
      </c>
      <c r="Y354" s="399">
        <f t="shared" si="2125"/>
        <v>0</v>
      </c>
      <c r="Z354" s="399">
        <f t="shared" si="2125"/>
        <v>0</v>
      </c>
      <c r="AA354" s="399">
        <f t="shared" si="2125"/>
        <v>0</v>
      </c>
      <c r="AE354" s="399" t="e">
        <f t="shared" ref="AE354:AP354" si="2126">+AE358/AE342*1000</f>
        <v>#DIV/0!</v>
      </c>
      <c r="AF354" s="399" t="e">
        <f t="shared" si="2126"/>
        <v>#DIV/0!</v>
      </c>
      <c r="AG354" s="399" t="e">
        <f t="shared" si="2126"/>
        <v>#DIV/0!</v>
      </c>
      <c r="AH354" s="399" t="e">
        <f t="shared" si="2126"/>
        <v>#DIV/0!</v>
      </c>
      <c r="AI354" s="399" t="e">
        <f t="shared" si="2126"/>
        <v>#DIV/0!</v>
      </c>
      <c r="AJ354" s="399" t="e">
        <f t="shared" si="2126"/>
        <v>#DIV/0!</v>
      </c>
      <c r="AK354" s="399" t="e">
        <f t="shared" si="2126"/>
        <v>#DIV/0!</v>
      </c>
      <c r="AL354" s="399" t="e">
        <f t="shared" si="2126"/>
        <v>#DIV/0!</v>
      </c>
      <c r="AM354" s="1862" t="e">
        <f t="shared" si="2126"/>
        <v>#DIV/0!</v>
      </c>
      <c r="AN354" s="399" t="e">
        <f t="shared" si="2126"/>
        <v>#DIV/0!</v>
      </c>
      <c r="AO354" s="399" t="e">
        <f t="shared" si="2126"/>
        <v>#DIV/0!</v>
      </c>
      <c r="AP354" s="399" t="e">
        <f t="shared" si="2126"/>
        <v>#DIV/0!</v>
      </c>
      <c r="AQ354" s="399" t="e">
        <f t="shared" ref="AQ354:AT354" si="2127">+AQ358/AQ342*1000</f>
        <v>#DIV/0!</v>
      </c>
      <c r="AR354" s="399" t="e">
        <f t="shared" si="2127"/>
        <v>#DIV/0!</v>
      </c>
      <c r="AS354" s="399" t="e">
        <f t="shared" si="2127"/>
        <v>#DIV/0!</v>
      </c>
      <c r="AT354" s="399" t="e">
        <f t="shared" si="2127"/>
        <v>#DIV/0!</v>
      </c>
      <c r="AU354" s="399" t="e">
        <f t="shared" ref="AU354:AX354" si="2128">+AU358/AU342*1000</f>
        <v>#DIV/0!</v>
      </c>
      <c r="AV354" s="399" t="e">
        <f t="shared" si="2128"/>
        <v>#DIV/0!</v>
      </c>
      <c r="AW354" s="399" t="e">
        <f t="shared" si="2128"/>
        <v>#DIV/0!</v>
      </c>
      <c r="AX354" s="399" t="e">
        <f t="shared" si="2128"/>
        <v>#DIV/0!</v>
      </c>
      <c r="BA354" s="1678"/>
      <c r="BB354" s="399" t="e">
        <v>#DIV/0!</v>
      </c>
      <c r="BC354" s="2204"/>
      <c r="BD354" s="1678"/>
      <c r="BE354" s="399">
        <f>+SUM(C354:F354)</f>
        <v>5124.5642226278123</v>
      </c>
      <c r="BF354" s="399">
        <f>+SUM(G354:J354)</f>
        <v>4854.3922511597875</v>
      </c>
      <c r="BG354" s="399">
        <f>+SUM(K354:N354)</f>
        <v>4854.6379725491452</v>
      </c>
      <c r="BH354" s="399">
        <f>+SUM(O354:R354)</f>
        <v>4887.2492624470678</v>
      </c>
      <c r="BJ354" s="2057">
        <f>+SUM(S354:V354)</f>
        <v>5251.1398053611711</v>
      </c>
      <c r="BK354" s="399">
        <f>+SUM(W354:Z354)</f>
        <v>0</v>
      </c>
      <c r="BL354" s="399">
        <f>+SUM(AA354:AD354)</f>
        <v>0</v>
      </c>
      <c r="BM354" s="399" t="e">
        <f>+SUM(AE354:AH354)</f>
        <v>#DIV/0!</v>
      </c>
      <c r="BN354" s="399" t="e">
        <f>+SUM(AI354:AL354)</f>
        <v>#DIV/0!</v>
      </c>
      <c r="BO354" s="1862" t="e">
        <f>+SUM(AM354:AP354)</f>
        <v>#DIV/0!</v>
      </c>
      <c r="BP354" s="399" t="e">
        <f>+SUM(AQ354:AT354)</f>
        <v>#DIV/0!</v>
      </c>
      <c r="BQ354" s="399" t="e">
        <f>+SUM(AU354:AX354)</f>
        <v>#DIV/0!</v>
      </c>
      <c r="BR354" s="399" t="e">
        <f t="shared" ref="BR354:BU354" si="2129">+BR358/BR342*1000</f>
        <v>#DIV/0!</v>
      </c>
      <c r="BS354" s="399" t="e">
        <f t="shared" si="2129"/>
        <v>#DIV/0!</v>
      </c>
      <c r="BT354" s="399" t="e">
        <f t="shared" si="2129"/>
        <v>#DIV/0!</v>
      </c>
      <c r="BU354" s="399" t="e">
        <f t="shared" si="2129"/>
        <v>#DIV/0!</v>
      </c>
    </row>
    <row r="355" spans="1:73" s="325" customFormat="1" ht="15" hidden="1" customHeight="1">
      <c r="B355" s="325" t="s">
        <v>108</v>
      </c>
      <c r="C355" s="332"/>
      <c r="D355" s="332"/>
      <c r="E355" s="332"/>
      <c r="F355" s="332"/>
      <c r="G355" s="332">
        <f t="shared" ref="G355:AA355" si="2130">+G354/C354-1</f>
        <v>0.11635679694318135</v>
      </c>
      <c r="H355" s="332">
        <f t="shared" si="2130"/>
        <v>2.2128482798871918E-2</v>
      </c>
      <c r="I355" s="332">
        <f t="shared" si="2130"/>
        <v>-0.13325864911879959</v>
      </c>
      <c r="J355" s="332">
        <f t="shared" si="2130"/>
        <v>-0.1517741873152646</v>
      </c>
      <c r="K355" s="332">
        <f t="shared" si="2130"/>
        <v>-7.9496878100621449E-2</v>
      </c>
      <c r="L355" s="332">
        <f t="shared" si="2130"/>
        <v>-2.7946530132358705E-2</v>
      </c>
      <c r="M355" s="332">
        <f t="shared" si="2130"/>
        <v>4.7189094241722129E-2</v>
      </c>
      <c r="N355" s="332">
        <f t="shared" si="2130"/>
        <v>5.248027499285346E-2</v>
      </c>
      <c r="O355" s="332">
        <f t="shared" si="2130"/>
        <v>9.486458519051455E-2</v>
      </c>
      <c r="P355" s="332">
        <f t="shared" si="2130"/>
        <v>5.3702841177561966E-2</v>
      </c>
      <c r="Q355" s="332">
        <f t="shared" si="2130"/>
        <v>-0.22293545047969954</v>
      </c>
      <c r="R355" s="332">
        <f t="shared" si="2130"/>
        <v>0.11673964506405254</v>
      </c>
      <c r="S355" s="1815">
        <f t="shared" si="2130"/>
        <v>1.3122005385340696E-2</v>
      </c>
      <c r="T355" s="332">
        <f t="shared" si="2130"/>
        <v>4.4175956660357674E-2</v>
      </c>
      <c r="U355" s="332">
        <f t="shared" si="2130"/>
        <v>0.28430139335589644</v>
      </c>
      <c r="V355" s="332">
        <f t="shared" si="2130"/>
        <v>6.4403516721587284E-3</v>
      </c>
      <c r="W355" s="1815">
        <f t="shared" si="2130"/>
        <v>-1</v>
      </c>
      <c r="X355" s="332">
        <f t="shared" si="2130"/>
        <v>-1</v>
      </c>
      <c r="Y355" s="332">
        <f t="shared" si="2130"/>
        <v>-1</v>
      </c>
      <c r="Z355" s="332">
        <f t="shared" si="2130"/>
        <v>-1</v>
      </c>
      <c r="AA355" s="332" t="e">
        <f t="shared" si="2130"/>
        <v>#DIV/0!</v>
      </c>
      <c r="AB355" s="332"/>
      <c r="AC355" s="332"/>
      <c r="AD355" s="332"/>
      <c r="AE355" s="332" t="e">
        <f t="shared" ref="AE355:AP355" si="2131">+AE354/AA354-1</f>
        <v>#DIV/0!</v>
      </c>
      <c r="AF355" s="332" t="e">
        <f t="shared" si="2131"/>
        <v>#DIV/0!</v>
      </c>
      <c r="AG355" s="332" t="e">
        <f t="shared" si="2131"/>
        <v>#DIV/0!</v>
      </c>
      <c r="AH355" s="332" t="e">
        <f t="shared" si="2131"/>
        <v>#DIV/0!</v>
      </c>
      <c r="AI355" s="332" t="e">
        <f t="shared" si="2131"/>
        <v>#DIV/0!</v>
      </c>
      <c r="AJ355" s="332" t="e">
        <f t="shared" si="2131"/>
        <v>#DIV/0!</v>
      </c>
      <c r="AK355" s="332" t="e">
        <f t="shared" si="2131"/>
        <v>#DIV/0!</v>
      </c>
      <c r="AL355" s="332" t="e">
        <f t="shared" si="2131"/>
        <v>#DIV/0!</v>
      </c>
      <c r="AM355" s="1815" t="e">
        <f t="shared" si="2131"/>
        <v>#DIV/0!</v>
      </c>
      <c r="AN355" s="332" t="e">
        <f t="shared" si="2131"/>
        <v>#DIV/0!</v>
      </c>
      <c r="AO355" s="332" t="e">
        <f t="shared" si="2131"/>
        <v>#DIV/0!</v>
      </c>
      <c r="AP355" s="332" t="e">
        <f t="shared" si="2131"/>
        <v>#DIV/0!</v>
      </c>
      <c r="AQ355" s="332" t="e">
        <f t="shared" ref="AQ355" si="2132">+AQ354/AM354-1</f>
        <v>#DIV/0!</v>
      </c>
      <c r="AR355" s="332" t="e">
        <f t="shared" ref="AR355" si="2133">+AR354/AN354-1</f>
        <v>#DIV/0!</v>
      </c>
      <c r="AS355" s="332" t="e">
        <f t="shared" ref="AS355" si="2134">+AS354/AO354-1</f>
        <v>#DIV/0!</v>
      </c>
      <c r="AT355" s="332" t="e">
        <f t="shared" ref="AT355" si="2135">+AT354/AP354-1</f>
        <v>#DIV/0!</v>
      </c>
      <c r="AU355" s="332" t="e">
        <f t="shared" ref="AU355" si="2136">+AU354/AQ354-1</f>
        <v>#DIV/0!</v>
      </c>
      <c r="AV355" s="332" t="e">
        <f t="shared" ref="AV355" si="2137">+AV354/AR354-1</f>
        <v>#DIV/0!</v>
      </c>
      <c r="AW355" s="332" t="e">
        <f t="shared" ref="AW355" si="2138">+AW354/AS354-1</f>
        <v>#DIV/0!</v>
      </c>
      <c r="AX355" s="332" t="e">
        <f t="shared" ref="AX355" si="2139">+AX354/AT354-1</f>
        <v>#DIV/0!</v>
      </c>
      <c r="AY355" s="332"/>
      <c r="AZ355" s="332"/>
      <c r="BA355" s="72"/>
      <c r="BB355" s="332" t="e">
        <v>#DIV/0!</v>
      </c>
      <c r="BC355" s="2189"/>
      <c r="BD355" s="72"/>
      <c r="BE355" s="332"/>
      <c r="BF355" s="332"/>
      <c r="BG355" s="332"/>
      <c r="BH355" s="332"/>
      <c r="BI355" s="332"/>
      <c r="BJ355" s="2055"/>
      <c r="BK355" s="332">
        <f>+BK354/BF354-1</f>
        <v>-1</v>
      </c>
      <c r="BL355" s="332">
        <f>+BL354/BG354-1</f>
        <v>-1</v>
      </c>
      <c r="BM355" s="332" t="e">
        <f>+BM354/BH354-1</f>
        <v>#DIV/0!</v>
      </c>
      <c r="BN355" s="332" t="e">
        <f>+BN354/BJ354-1</f>
        <v>#DIV/0!</v>
      </c>
      <c r="BO355" s="1815" t="e">
        <f t="shared" ref="BO355:BU355" si="2140">+BO354/BK354-1</f>
        <v>#DIV/0!</v>
      </c>
      <c r="BP355" s="332" t="e">
        <f t="shared" si="2140"/>
        <v>#DIV/0!</v>
      </c>
      <c r="BQ355" s="332" t="e">
        <f t="shared" si="2140"/>
        <v>#DIV/0!</v>
      </c>
      <c r="BR355" s="332" t="e">
        <f t="shared" si="2140"/>
        <v>#DIV/0!</v>
      </c>
      <c r="BS355" s="332" t="e">
        <f t="shared" si="2140"/>
        <v>#DIV/0!</v>
      </c>
      <c r="BT355" s="332" t="e">
        <f t="shared" si="2140"/>
        <v>#DIV/0!</v>
      </c>
      <c r="BU355" s="332" t="e">
        <f t="shared" si="2140"/>
        <v>#DIV/0!</v>
      </c>
    </row>
    <row r="356" spans="1:73" s="325" customFormat="1" ht="15" hidden="1" customHeight="1">
      <c r="C356" s="332"/>
      <c r="D356" s="332"/>
      <c r="E356" s="332"/>
      <c r="F356" s="332"/>
      <c r="G356" s="332"/>
      <c r="H356" s="332"/>
      <c r="I356" s="332"/>
      <c r="J356" s="332"/>
      <c r="K356" s="332"/>
      <c r="L356" s="332"/>
      <c r="M356" s="332"/>
      <c r="N356" s="332"/>
      <c r="O356" s="332"/>
      <c r="P356" s="332"/>
      <c r="Q356" s="332"/>
      <c r="R356" s="332"/>
      <c r="S356" s="1815"/>
      <c r="T356" s="332"/>
      <c r="U356" s="332"/>
      <c r="V356" s="332"/>
      <c r="W356" s="1815"/>
      <c r="X356" s="332"/>
      <c r="Y356" s="332"/>
      <c r="Z356" s="332"/>
      <c r="AA356" s="332"/>
      <c r="AB356" s="332"/>
      <c r="AC356" s="332"/>
      <c r="AD356" s="332"/>
      <c r="AE356" s="332"/>
      <c r="AF356" s="332"/>
      <c r="AG356" s="332"/>
      <c r="AH356" s="332"/>
      <c r="AI356" s="332"/>
      <c r="AJ356" s="332"/>
      <c r="AK356" s="332"/>
      <c r="AL356" s="332"/>
      <c r="AM356" s="1815"/>
      <c r="AN356" s="332"/>
      <c r="AO356" s="332"/>
      <c r="AP356" s="332"/>
      <c r="AQ356" s="332"/>
      <c r="AR356" s="332"/>
      <c r="AS356" s="332"/>
      <c r="AT356" s="332"/>
      <c r="AU356" s="332"/>
      <c r="AV356" s="332"/>
      <c r="AW356" s="332"/>
      <c r="AX356" s="332"/>
      <c r="AY356" s="332"/>
      <c r="AZ356" s="332"/>
      <c r="BA356" s="72"/>
      <c r="BB356" s="332"/>
      <c r="BC356" s="2189"/>
      <c r="BD356" s="72"/>
      <c r="BE356" s="332"/>
      <c r="BF356" s="332"/>
      <c r="BG356" s="332"/>
      <c r="BH356" s="332"/>
      <c r="BI356" s="332"/>
      <c r="BJ356" s="2055"/>
      <c r="BK356" s="332"/>
      <c r="BL356" s="332"/>
      <c r="BM356" s="332"/>
      <c r="BN356" s="332"/>
      <c r="BO356" s="1815"/>
      <c r="BP356" s="332"/>
      <c r="BQ356" s="332"/>
      <c r="BR356" s="332"/>
      <c r="BS356" s="332"/>
      <c r="BT356" s="332"/>
      <c r="BU356" s="332"/>
    </row>
    <row r="357" spans="1:73" s="326" customFormat="1" ht="15" hidden="1" customHeight="1">
      <c r="B357" s="334" t="s">
        <v>349</v>
      </c>
      <c r="C357" s="335">
        <f t="shared" ref="C357:T357" si="2141">+C342*C347*C350/1000</f>
        <v>425.60000000000008</v>
      </c>
      <c r="D357" s="335">
        <f t="shared" si="2141"/>
        <v>561.60000000000014</v>
      </c>
      <c r="E357" s="335">
        <f t="shared" si="2141"/>
        <v>686.9</v>
      </c>
      <c r="F357" s="335">
        <f t="shared" si="2141"/>
        <v>750.5</v>
      </c>
      <c r="G357" s="335">
        <f t="shared" si="2141"/>
        <v>560.79999999999984</v>
      </c>
      <c r="H357" s="335">
        <f t="shared" si="2141"/>
        <v>668.20000000000016</v>
      </c>
      <c r="I357" s="335">
        <f t="shared" si="2141"/>
        <v>658.6</v>
      </c>
      <c r="J357" s="335">
        <f t="shared" si="2141"/>
        <v>687.70000000000016</v>
      </c>
      <c r="K357" s="335">
        <f t="shared" si="2141"/>
        <v>551.79425926833073</v>
      </c>
      <c r="L357" s="335">
        <f t="shared" si="2141"/>
        <v>688.29958319859168</v>
      </c>
      <c r="M357" s="335">
        <f t="shared" si="2141"/>
        <v>738.9201374463089</v>
      </c>
      <c r="N357" s="335">
        <f t="shared" si="2141"/>
        <v>782.04328223708376</v>
      </c>
      <c r="O357" s="335">
        <f t="shared" si="2141"/>
        <v>661.76526766766324</v>
      </c>
      <c r="P357" s="335">
        <f t="shared" si="2141"/>
        <v>802.8220774658098</v>
      </c>
      <c r="Q357" s="335">
        <f t="shared" si="2141"/>
        <v>629.6</v>
      </c>
      <c r="R357" s="335">
        <f t="shared" si="2141"/>
        <v>954</v>
      </c>
      <c r="S357" s="1863">
        <f t="shared" si="2141"/>
        <v>720.2</v>
      </c>
      <c r="T357" s="335">
        <f t="shared" si="2141"/>
        <v>880.4</v>
      </c>
      <c r="U357" s="335">
        <f>+U350*U344</f>
        <v>863.2</v>
      </c>
      <c r="V357" s="335">
        <f>+V350*V344</f>
        <v>1048.5</v>
      </c>
      <c r="W357" s="1863"/>
      <c r="X357" s="335"/>
      <c r="Y357" s="335"/>
      <c r="Z357" s="335"/>
      <c r="AA357" s="335"/>
      <c r="AB357" s="335"/>
      <c r="AC357" s="335"/>
      <c r="AD357" s="335"/>
      <c r="AE357" s="335"/>
      <c r="AF357" s="335"/>
      <c r="AG357" s="335"/>
      <c r="AH357" s="335"/>
      <c r="AI357" s="335"/>
      <c r="AJ357" s="335"/>
      <c r="AK357" s="335"/>
      <c r="AL357" s="335"/>
      <c r="AM357" s="1863"/>
      <c r="AN357" s="335"/>
      <c r="AO357" s="335"/>
      <c r="AP357" s="335"/>
      <c r="AQ357" s="335"/>
      <c r="AR357" s="335"/>
      <c r="AS357" s="335"/>
      <c r="AT357" s="335"/>
      <c r="AU357" s="335"/>
      <c r="AV357" s="335"/>
      <c r="AW357" s="335"/>
      <c r="AX357" s="335"/>
      <c r="AY357" s="335"/>
      <c r="AZ357" s="335"/>
      <c r="BA357" s="85"/>
      <c r="BB357" s="335"/>
      <c r="BC357" s="2197"/>
      <c r="BD357" s="85"/>
      <c r="BE357" s="474">
        <f>+SUM(C357:F357)</f>
        <v>2424.6000000000004</v>
      </c>
      <c r="BF357" s="474">
        <f>+SUM(G357:J357)</f>
        <v>2575.3000000000002</v>
      </c>
      <c r="BG357" s="474">
        <f>+SUM(K357:N357)</f>
        <v>2761.0572621503152</v>
      </c>
      <c r="BH357" s="474">
        <f>+SUM(O357:R357)</f>
        <v>3048.1873451334732</v>
      </c>
      <c r="BI357" s="474"/>
      <c r="BJ357" s="2031">
        <f>+SUM(S357:V357)</f>
        <v>3512.3</v>
      </c>
      <c r="BK357" s="474"/>
      <c r="BL357" s="474"/>
      <c r="BM357" s="474"/>
      <c r="BN357" s="474"/>
      <c r="BO357" s="2459"/>
      <c r="BP357" s="474"/>
      <c r="BQ357" s="474"/>
      <c r="BR357" s="335"/>
      <c r="BS357" s="335"/>
      <c r="BT357" s="335"/>
      <c r="BU357" s="335"/>
    </row>
    <row r="358" spans="1:73" s="326" customFormat="1" ht="15" hidden="1" customHeight="1">
      <c r="B358" s="334" t="s">
        <v>350</v>
      </c>
      <c r="C358" s="339">
        <f t="shared" ref="C358:V358" si="2142">+C15</f>
        <v>425.6</v>
      </c>
      <c r="D358" s="339">
        <f t="shared" si="2142"/>
        <v>561.6</v>
      </c>
      <c r="E358" s="339">
        <f t="shared" si="2142"/>
        <v>686.9</v>
      </c>
      <c r="F358" s="339">
        <f t="shared" si="2142"/>
        <v>750.5</v>
      </c>
      <c r="G358" s="339">
        <f t="shared" si="2142"/>
        <v>560.79999999999995</v>
      </c>
      <c r="H358" s="339">
        <f t="shared" si="2142"/>
        <v>668.2</v>
      </c>
      <c r="I358" s="339">
        <f t="shared" si="2142"/>
        <v>658.6</v>
      </c>
      <c r="J358" s="339">
        <f t="shared" si="2142"/>
        <v>687.7</v>
      </c>
      <c r="K358" s="339">
        <f t="shared" si="2142"/>
        <v>551.79425926833073</v>
      </c>
      <c r="L358" s="339">
        <f t="shared" si="2142"/>
        <v>688.29958319859179</v>
      </c>
      <c r="M358" s="339">
        <f t="shared" si="2142"/>
        <v>738.92013744630879</v>
      </c>
      <c r="N358" s="339">
        <f t="shared" si="2142"/>
        <v>782.04328223708376</v>
      </c>
      <c r="O358" s="339">
        <f t="shared" si="2142"/>
        <v>661.76526766766324</v>
      </c>
      <c r="P358" s="339">
        <f t="shared" si="2142"/>
        <v>802.82207746580991</v>
      </c>
      <c r="Q358" s="339">
        <f t="shared" si="2142"/>
        <v>629.6</v>
      </c>
      <c r="R358" s="339">
        <f t="shared" si="2142"/>
        <v>954</v>
      </c>
      <c r="S358" s="1972">
        <f t="shared" si="2142"/>
        <v>720.2</v>
      </c>
      <c r="T358" s="339">
        <f t="shared" si="2142"/>
        <v>880.4</v>
      </c>
      <c r="U358" s="339">
        <f t="shared" si="2142"/>
        <v>863.2</v>
      </c>
      <c r="V358" s="339">
        <f t="shared" si="2142"/>
        <v>1048.5</v>
      </c>
      <c r="W358" s="1864"/>
      <c r="X358" s="339"/>
      <c r="Y358" s="339"/>
      <c r="Z358" s="339"/>
      <c r="AA358" s="339"/>
      <c r="AB358" s="339"/>
      <c r="AC358" s="339"/>
      <c r="AD358" s="339"/>
      <c r="AE358" s="339"/>
      <c r="AF358" s="339"/>
      <c r="AG358" s="339"/>
      <c r="AH358" s="339"/>
      <c r="AI358" s="339"/>
      <c r="AJ358" s="339"/>
      <c r="AK358" s="339"/>
      <c r="AL358" s="339"/>
      <c r="AM358" s="1972"/>
      <c r="AN358" s="339"/>
      <c r="AO358" s="339"/>
      <c r="AP358" s="339"/>
      <c r="AQ358" s="339"/>
      <c r="AR358" s="339"/>
      <c r="AS358" s="339"/>
      <c r="AT358" s="339"/>
      <c r="AU358" s="339"/>
      <c r="AV358" s="339"/>
      <c r="AW358" s="339"/>
      <c r="AX358" s="339"/>
      <c r="AY358" s="339"/>
      <c r="AZ358" s="339"/>
      <c r="BA358" s="85"/>
      <c r="BB358" s="339"/>
      <c r="BC358" s="2197"/>
      <c r="BD358" s="85"/>
      <c r="BE358" s="474">
        <f>+SUM(C358:F358)</f>
        <v>2424.6</v>
      </c>
      <c r="BF358" s="474">
        <f>+SUM(G358:J358)</f>
        <v>2575.3000000000002</v>
      </c>
      <c r="BG358" s="474">
        <f>+SUM(K358:N358)</f>
        <v>2761.0572621503152</v>
      </c>
      <c r="BH358" s="474">
        <f>+SUM(O358:R358)</f>
        <v>3048.1873451334732</v>
      </c>
      <c r="BI358" s="474"/>
      <c r="BJ358" s="2031">
        <f>+SUM(S358:V358)</f>
        <v>3512.3</v>
      </c>
      <c r="BK358" s="474"/>
      <c r="BL358" s="474"/>
      <c r="BM358" s="474"/>
      <c r="BN358" s="474"/>
      <c r="BO358" s="2459"/>
      <c r="BP358" s="474"/>
      <c r="BQ358" s="474"/>
      <c r="BR358" s="339"/>
      <c r="BS358" s="339"/>
      <c r="BT358" s="339"/>
      <c r="BU358" s="339"/>
    </row>
    <row r="359" spans="1:73" s="326" customFormat="1" ht="15" hidden="1" customHeight="1">
      <c r="B359" s="325" t="s">
        <v>335</v>
      </c>
      <c r="C359" s="337">
        <f t="shared" ref="C359:T359" si="2143">+C357/C358-1</f>
        <v>0</v>
      </c>
      <c r="D359" s="337">
        <f t="shared" si="2143"/>
        <v>0</v>
      </c>
      <c r="E359" s="337">
        <f t="shared" si="2143"/>
        <v>0</v>
      </c>
      <c r="F359" s="337">
        <f t="shared" si="2143"/>
        <v>0</v>
      </c>
      <c r="G359" s="337">
        <f t="shared" si="2143"/>
        <v>0</v>
      </c>
      <c r="H359" s="337">
        <f t="shared" si="2143"/>
        <v>0</v>
      </c>
      <c r="I359" s="337">
        <f t="shared" si="2143"/>
        <v>0</v>
      </c>
      <c r="J359" s="337">
        <f t="shared" si="2143"/>
        <v>0</v>
      </c>
      <c r="K359" s="337">
        <f t="shared" si="2143"/>
        <v>0</v>
      </c>
      <c r="L359" s="337">
        <f t="shared" si="2143"/>
        <v>0</v>
      </c>
      <c r="M359" s="337">
        <f t="shared" si="2143"/>
        <v>0</v>
      </c>
      <c r="N359" s="337">
        <f t="shared" si="2143"/>
        <v>0</v>
      </c>
      <c r="O359" s="337">
        <f t="shared" si="2143"/>
        <v>0</v>
      </c>
      <c r="P359" s="337">
        <f t="shared" si="2143"/>
        <v>0</v>
      </c>
      <c r="Q359" s="337">
        <f t="shared" si="2143"/>
        <v>0</v>
      </c>
      <c r="R359" s="337">
        <f t="shared" si="2143"/>
        <v>0</v>
      </c>
      <c r="S359" s="1966">
        <f t="shared" si="2143"/>
        <v>0</v>
      </c>
      <c r="T359" s="337">
        <f t="shared" si="2143"/>
        <v>0</v>
      </c>
      <c r="U359" s="338">
        <f>+AVERAGE(K359:T359)</f>
        <v>0</v>
      </c>
      <c r="V359" s="338">
        <f>+AVERAGE(L359:U359)</f>
        <v>0</v>
      </c>
      <c r="W359" s="1818"/>
      <c r="X359" s="338"/>
      <c r="Y359" s="338"/>
      <c r="Z359" s="338"/>
      <c r="AA359" s="338"/>
      <c r="AB359" s="338"/>
      <c r="AC359" s="338"/>
      <c r="AD359" s="338"/>
      <c r="AE359" s="338"/>
      <c r="AF359" s="338"/>
      <c r="AG359" s="338"/>
      <c r="AH359" s="338"/>
      <c r="AI359" s="338"/>
      <c r="AJ359" s="338"/>
      <c r="AK359" s="338"/>
      <c r="AL359" s="338"/>
      <c r="AM359" s="1818"/>
      <c r="AN359" s="338"/>
      <c r="AO359" s="338"/>
      <c r="AP359" s="338"/>
      <c r="AQ359" s="338"/>
      <c r="AR359" s="338"/>
      <c r="AS359" s="338"/>
      <c r="AT359" s="338"/>
      <c r="AU359" s="338"/>
      <c r="AV359" s="338"/>
      <c r="AW359" s="338"/>
      <c r="AX359" s="338"/>
      <c r="AY359" s="338"/>
      <c r="AZ359" s="338"/>
      <c r="BA359" s="85"/>
      <c r="BB359" s="338"/>
      <c r="BC359" s="2197"/>
      <c r="BD359" s="85"/>
      <c r="BE359" s="337">
        <f>+BE357/BE358-1</f>
        <v>0</v>
      </c>
      <c r="BF359" s="337">
        <f>+BF357/BF358-1</f>
        <v>0</v>
      </c>
      <c r="BG359" s="337">
        <f>+BG357/BG358-1</f>
        <v>0</v>
      </c>
      <c r="BH359" s="337">
        <f>+BH357/BH358-1</f>
        <v>0</v>
      </c>
      <c r="BI359" s="337"/>
      <c r="BJ359" s="2022">
        <f>+BJ357/BJ358-1</f>
        <v>0</v>
      </c>
      <c r="BK359" s="337"/>
      <c r="BL359" s="337"/>
      <c r="BM359" s="337"/>
      <c r="BN359" s="337"/>
      <c r="BO359" s="1966"/>
      <c r="BP359" s="337"/>
      <c r="BQ359" s="337"/>
      <c r="BR359" s="338"/>
      <c r="BS359" s="338"/>
      <c r="BT359" s="338"/>
      <c r="BU359" s="338"/>
    </row>
    <row r="360" spans="1:73" s="326" customFormat="1" ht="15" hidden="1" customHeight="1">
      <c r="B360" s="325"/>
      <c r="C360" s="337"/>
      <c r="D360" s="337"/>
      <c r="E360" s="337"/>
      <c r="F360" s="337"/>
      <c r="G360" s="337"/>
      <c r="H360" s="337"/>
      <c r="I360" s="337"/>
      <c r="J360" s="337"/>
      <c r="K360" s="337"/>
      <c r="L360" s="337"/>
      <c r="M360" s="337"/>
      <c r="N360" s="337"/>
      <c r="O360" s="337"/>
      <c r="P360" s="337"/>
      <c r="Q360" s="337"/>
      <c r="R360" s="337"/>
      <c r="S360" s="1966"/>
      <c r="T360" s="337"/>
      <c r="U360" s="338"/>
      <c r="V360" s="338"/>
      <c r="W360" s="1818"/>
      <c r="X360" s="338"/>
      <c r="Y360" s="338"/>
      <c r="Z360" s="338"/>
      <c r="AA360" s="338"/>
      <c r="AB360" s="338"/>
      <c r="AC360" s="338"/>
      <c r="AD360" s="338"/>
      <c r="AE360" s="338"/>
      <c r="AF360" s="338"/>
      <c r="AG360" s="338"/>
      <c r="AH360" s="338"/>
      <c r="AI360" s="338"/>
      <c r="AJ360" s="338"/>
      <c r="AK360" s="338"/>
      <c r="AL360" s="338"/>
      <c r="AM360" s="1818"/>
      <c r="AN360" s="338"/>
      <c r="AO360" s="338"/>
      <c r="AP360" s="338"/>
      <c r="AQ360" s="338"/>
      <c r="AR360" s="338"/>
      <c r="AS360" s="338"/>
      <c r="AT360" s="338"/>
      <c r="AU360" s="338"/>
      <c r="AV360" s="338"/>
      <c r="AW360" s="338"/>
      <c r="AX360" s="338"/>
      <c r="AY360" s="338"/>
      <c r="AZ360" s="338"/>
      <c r="BA360" s="85"/>
      <c r="BB360" s="338"/>
      <c r="BC360" s="2197"/>
      <c r="BD360" s="85"/>
      <c r="BE360" s="337"/>
      <c r="BF360" s="337"/>
      <c r="BG360" s="337"/>
      <c r="BH360" s="337"/>
      <c r="BI360" s="337"/>
      <c r="BJ360" s="2022"/>
      <c r="BK360" s="337"/>
      <c r="BL360" s="337"/>
      <c r="BM360" s="337"/>
      <c r="BN360" s="337"/>
      <c r="BO360" s="1966"/>
      <c r="BP360" s="337"/>
      <c r="BQ360" s="337"/>
      <c r="BR360" s="338"/>
      <c r="BS360" s="338"/>
      <c r="BT360" s="338"/>
      <c r="BU360" s="338"/>
    </row>
    <row r="361" spans="1:73" s="326" customFormat="1" ht="15" hidden="1" customHeight="1">
      <c r="B361" s="325" t="s">
        <v>192</v>
      </c>
      <c r="C361" s="666">
        <f t="shared" ref="C361:V361" si="2144">+C364-C358</f>
        <v>-95.800000000000011</v>
      </c>
      <c r="D361" s="666">
        <f t="shared" si="2144"/>
        <v>-129.90000000000003</v>
      </c>
      <c r="E361" s="666">
        <f t="shared" si="2144"/>
        <v>-165.60000000000002</v>
      </c>
      <c r="F361" s="666">
        <f t="shared" si="2144"/>
        <v>-174.20000000000005</v>
      </c>
      <c r="G361" s="666">
        <f t="shared" si="2144"/>
        <v>-126.19999999999993</v>
      </c>
      <c r="H361" s="666">
        <f t="shared" si="2144"/>
        <v>-148.60000000000002</v>
      </c>
      <c r="I361" s="666">
        <f t="shared" si="2144"/>
        <v>-155.5</v>
      </c>
      <c r="J361" s="666">
        <f t="shared" si="2144"/>
        <v>-161.70000000000005</v>
      </c>
      <c r="K361" s="666">
        <f t="shared" si="2144"/>
        <v>-128.22502981501327</v>
      </c>
      <c r="L361" s="666">
        <f t="shared" si="2144"/>
        <v>-160.73734496559382</v>
      </c>
      <c r="M361" s="666">
        <f t="shared" si="2144"/>
        <v>-177.80238468448908</v>
      </c>
      <c r="N361" s="666">
        <f t="shared" si="2144"/>
        <v>-186.06507725899667</v>
      </c>
      <c r="O361" s="666">
        <f t="shared" si="2144"/>
        <v>-152.74538212255845</v>
      </c>
      <c r="P361" s="666">
        <f t="shared" si="2144"/>
        <v>-181.76338544868588</v>
      </c>
      <c r="Q361" s="666">
        <f t="shared" si="2144"/>
        <v>-112</v>
      </c>
      <c r="R361" s="666">
        <f t="shared" si="2144"/>
        <v>-218.39999999999998</v>
      </c>
      <c r="S361" s="1865">
        <f t="shared" si="2144"/>
        <v>-154.80000000000007</v>
      </c>
      <c r="T361" s="666">
        <f t="shared" si="2144"/>
        <v>-192.29999999999995</v>
      </c>
      <c r="U361" s="666">
        <f t="shared" si="2144"/>
        <v>-187.80000000000007</v>
      </c>
      <c r="V361" s="666">
        <f t="shared" si="2144"/>
        <v>-234.89999999999998</v>
      </c>
      <c r="W361" s="1865"/>
      <c r="X361" s="667"/>
      <c r="Y361" s="667"/>
      <c r="Z361" s="667"/>
      <c r="AA361" s="667"/>
      <c r="AB361" s="667"/>
      <c r="AC361" s="667"/>
      <c r="AD361" s="667"/>
      <c r="AE361" s="667"/>
      <c r="AF361" s="667"/>
      <c r="AG361" s="667"/>
      <c r="AH361" s="667"/>
      <c r="AI361" s="667"/>
      <c r="AJ361" s="667"/>
      <c r="AK361" s="667"/>
      <c r="AL361" s="667"/>
      <c r="AM361" s="2412"/>
      <c r="AN361" s="667"/>
      <c r="AO361" s="667"/>
      <c r="AP361" s="667"/>
      <c r="AQ361" s="667"/>
      <c r="AR361" s="667"/>
      <c r="AS361" s="667"/>
      <c r="AT361" s="667"/>
      <c r="AU361" s="667"/>
      <c r="AV361" s="667"/>
      <c r="AW361" s="667"/>
      <c r="AX361" s="667"/>
      <c r="AY361" s="667"/>
      <c r="AZ361" s="667"/>
      <c r="BA361" s="983"/>
      <c r="BB361" s="667"/>
      <c r="BC361" s="2202"/>
      <c r="BD361" s="85"/>
      <c r="BE361" s="666">
        <f>+SUM(C361:F361)</f>
        <v>-565.50000000000011</v>
      </c>
      <c r="BF361" s="666">
        <f>+SUM(G361:J361)</f>
        <v>-592</v>
      </c>
      <c r="BG361" s="666">
        <f>+SUM(K361:N361)</f>
        <v>-652.82983672409284</v>
      </c>
      <c r="BH361" s="666">
        <f>+SUM(O361:R361)</f>
        <v>-664.90876757124431</v>
      </c>
      <c r="BI361" s="666"/>
      <c r="BJ361" s="2058">
        <f>+SUM(S361:V361)</f>
        <v>-769.80000000000007</v>
      </c>
      <c r="BK361" s="666"/>
      <c r="BL361" s="666"/>
      <c r="BM361" s="666"/>
      <c r="BN361" s="666"/>
      <c r="BO361" s="1865"/>
      <c r="BP361" s="666"/>
      <c r="BQ361" s="666"/>
      <c r="BR361" s="667"/>
      <c r="BS361" s="667"/>
      <c r="BT361" s="667"/>
      <c r="BU361" s="667"/>
    </row>
    <row r="362" spans="1:73" s="326" customFormat="1" ht="15" hidden="1" customHeight="1">
      <c r="B362" s="325"/>
      <c r="C362" s="464">
        <f t="shared" ref="C362:V362" si="2145">+C361/C358</f>
        <v>-0.22509398496240604</v>
      </c>
      <c r="D362" s="464">
        <f t="shared" si="2145"/>
        <v>-0.23130341880341884</v>
      </c>
      <c r="E362" s="464">
        <f t="shared" si="2145"/>
        <v>-0.24108312709273552</v>
      </c>
      <c r="F362" s="464">
        <f t="shared" si="2145"/>
        <v>-0.23211192538307801</v>
      </c>
      <c r="G362" s="464">
        <f t="shared" si="2145"/>
        <v>-0.22503566333808833</v>
      </c>
      <c r="H362" s="464">
        <f t="shared" si="2145"/>
        <v>-0.22238850643519906</v>
      </c>
      <c r="I362" s="464">
        <f t="shared" si="2145"/>
        <v>-0.2361068934102642</v>
      </c>
      <c r="J362" s="464">
        <f t="shared" si="2145"/>
        <v>-0.23513159808055845</v>
      </c>
      <c r="K362" s="464">
        <f t="shared" si="2145"/>
        <v>-0.23237833243324668</v>
      </c>
      <c r="L362" s="464">
        <f t="shared" si="2145"/>
        <v>-0.23352817419797425</v>
      </c>
      <c r="M362" s="464">
        <f t="shared" si="2145"/>
        <v>-0.24062463001613421</v>
      </c>
      <c r="N362" s="464">
        <f t="shared" si="2145"/>
        <v>-0.23792171288364738</v>
      </c>
      <c r="O362" s="464">
        <f t="shared" si="2145"/>
        <v>-0.23081504815279424</v>
      </c>
      <c r="P362" s="464">
        <f t="shared" si="2145"/>
        <v>-0.22640556425956873</v>
      </c>
      <c r="Q362" s="464">
        <f t="shared" si="2145"/>
        <v>-0.17789072426937738</v>
      </c>
      <c r="R362" s="464">
        <f t="shared" si="2145"/>
        <v>-0.22893081761006287</v>
      </c>
      <c r="S362" s="1823">
        <f t="shared" si="2145"/>
        <v>-0.21494029436267711</v>
      </c>
      <c r="T362" s="464">
        <f t="shared" si="2145"/>
        <v>-0.21842344388914126</v>
      </c>
      <c r="U362" s="464">
        <f t="shared" si="2145"/>
        <v>-0.21756255792400378</v>
      </c>
      <c r="V362" s="464">
        <f t="shared" si="2145"/>
        <v>-0.22403433476394849</v>
      </c>
      <c r="W362" s="1823"/>
      <c r="X362" s="465"/>
      <c r="Y362" s="465"/>
      <c r="Z362" s="465"/>
      <c r="AA362" s="465"/>
      <c r="AB362" s="465"/>
      <c r="AC362" s="465"/>
      <c r="AD362" s="465"/>
      <c r="AE362" s="465"/>
      <c r="AF362" s="465"/>
      <c r="AG362" s="465"/>
      <c r="AH362" s="465"/>
      <c r="AI362" s="465"/>
      <c r="AJ362" s="465"/>
      <c r="AK362" s="465"/>
      <c r="AL362" s="465"/>
      <c r="AM362" s="2413"/>
      <c r="AN362" s="465"/>
      <c r="AO362" s="465"/>
      <c r="AP362" s="465"/>
      <c r="AQ362" s="465"/>
      <c r="AR362" s="465"/>
      <c r="AS362" s="465"/>
      <c r="AT362" s="465"/>
      <c r="AU362" s="465"/>
      <c r="AV362" s="465"/>
      <c r="AW362" s="465"/>
      <c r="AX362" s="465"/>
      <c r="AY362" s="465"/>
      <c r="AZ362" s="465"/>
      <c r="BA362" s="85"/>
      <c r="BB362" s="465"/>
      <c r="BC362" s="2197"/>
      <c r="BD362" s="85"/>
      <c r="BE362" s="464">
        <f>+BE361/BE357</f>
        <v>-0.23323434793367978</v>
      </c>
      <c r="BF362" s="464">
        <f>+BF361/BF357</f>
        <v>-0.2298761309362016</v>
      </c>
      <c r="BG362" s="464">
        <f>+BG361/BG357</f>
        <v>-0.23644197665631464</v>
      </c>
      <c r="BH362" s="464">
        <f>+BH361/BH357</f>
        <v>-0.21813251361757408</v>
      </c>
      <c r="BI362" s="464"/>
      <c r="BJ362" s="2028">
        <f>+BJ361/BJ357</f>
        <v>-0.21917262192865075</v>
      </c>
      <c r="BK362" s="464"/>
      <c r="BL362" s="464"/>
      <c r="BM362" s="464"/>
      <c r="BN362" s="464"/>
      <c r="BO362" s="1823"/>
      <c r="BP362" s="464"/>
      <c r="BQ362" s="464"/>
      <c r="BR362" s="465"/>
      <c r="BS362" s="465"/>
      <c r="BT362" s="465"/>
      <c r="BU362" s="465"/>
    </row>
    <row r="363" spans="1:73" s="326" customFormat="1" hidden="1">
      <c r="B363" s="325"/>
      <c r="C363" s="337"/>
      <c r="D363" s="337"/>
      <c r="E363" s="337"/>
      <c r="F363" s="337"/>
      <c r="G363" s="337"/>
      <c r="H363" s="337"/>
      <c r="I363" s="337"/>
      <c r="J363" s="337"/>
      <c r="K363" s="337"/>
      <c r="L363" s="337"/>
      <c r="M363" s="337"/>
      <c r="N363" s="337"/>
      <c r="O363" s="337"/>
      <c r="P363" s="337"/>
      <c r="Q363" s="337"/>
      <c r="R363" s="337"/>
      <c r="S363" s="1966"/>
      <c r="T363" s="337"/>
      <c r="U363" s="338"/>
      <c r="V363" s="338"/>
      <c r="W363" s="1815"/>
      <c r="X363" s="338"/>
      <c r="Y363" s="338"/>
      <c r="Z363" s="338"/>
      <c r="AA363" s="338"/>
      <c r="AB363" s="338"/>
      <c r="AC363" s="338"/>
      <c r="AD363" s="338"/>
      <c r="AE363" s="338"/>
      <c r="AF363" s="338"/>
      <c r="AG363" s="338"/>
      <c r="AH363" s="338"/>
      <c r="AI363" s="338"/>
      <c r="AJ363" s="338"/>
      <c r="AK363" s="338"/>
      <c r="AL363" s="338"/>
      <c r="AM363" s="1818"/>
      <c r="AN363" s="338"/>
      <c r="AO363" s="338"/>
      <c r="AP363" s="338"/>
      <c r="AQ363" s="338"/>
      <c r="AR363" s="338"/>
      <c r="AS363" s="338"/>
      <c r="AT363" s="338"/>
      <c r="AU363" s="338"/>
      <c r="AV363" s="338"/>
      <c r="AW363" s="338"/>
      <c r="AX363" s="338"/>
      <c r="AY363" s="338"/>
      <c r="AZ363" s="338"/>
      <c r="BA363" s="85"/>
      <c r="BB363" s="338"/>
      <c r="BC363" s="2197"/>
      <c r="BD363" s="85"/>
      <c r="BE363" s="337"/>
      <c r="BF363" s="337"/>
      <c r="BG363" s="337"/>
      <c r="BH363" s="337"/>
      <c r="BI363" s="337"/>
      <c r="BJ363" s="2022"/>
      <c r="BK363" s="337"/>
      <c r="BL363" s="337"/>
      <c r="BM363" s="337"/>
      <c r="BN363" s="337"/>
      <c r="BO363" s="1966"/>
      <c r="BP363" s="337"/>
      <c r="BQ363" s="337"/>
      <c r="BR363" s="338"/>
      <c r="BS363" s="338"/>
      <c r="BT363" s="338"/>
      <c r="BU363" s="338"/>
    </row>
    <row r="364" spans="1:73" s="484" customFormat="1" ht="15" hidden="1" customHeight="1">
      <c r="A364" s="483"/>
      <c r="B364" s="484" t="s">
        <v>351</v>
      </c>
      <c r="C364" s="819">
        <v>329.8</v>
      </c>
      <c r="D364" s="819">
        <v>431.7</v>
      </c>
      <c r="E364" s="819">
        <v>521.29999999999995</v>
      </c>
      <c r="F364" s="819">
        <v>576.29999999999995</v>
      </c>
      <c r="G364" s="819">
        <v>434.6</v>
      </c>
      <c r="H364" s="819">
        <v>519.6</v>
      </c>
      <c r="I364" s="819">
        <v>503.1</v>
      </c>
      <c r="J364" s="819">
        <v>526</v>
      </c>
      <c r="K364" s="819">
        <v>423.56922945331746</v>
      </c>
      <c r="L364" s="819">
        <v>527.56223823299797</v>
      </c>
      <c r="M364" s="819">
        <v>561.1177527618197</v>
      </c>
      <c r="N364" s="819">
        <v>595.97820497808709</v>
      </c>
      <c r="O364" s="819">
        <v>509.01988554510478</v>
      </c>
      <c r="P364" s="819">
        <v>621.05869201712403</v>
      </c>
      <c r="Q364" s="819">
        <v>517.6</v>
      </c>
      <c r="R364" s="819">
        <v>735.6</v>
      </c>
      <c r="S364" s="1843">
        <v>565.4</v>
      </c>
      <c r="T364" s="819">
        <v>688.1</v>
      </c>
      <c r="U364" s="819">
        <v>675.4</v>
      </c>
      <c r="V364" s="819">
        <v>813.6</v>
      </c>
      <c r="W364" s="1843">
        <v>711.3</v>
      </c>
      <c r="X364" s="485">
        <f>+T364*(1+X365)</f>
        <v>663.32839999999999</v>
      </c>
      <c r="Y364" s="819">
        <v>1118.9000000000001</v>
      </c>
      <c r="Z364" s="819">
        <v>1175.7</v>
      </c>
      <c r="AA364" s="819">
        <v>1140.9000000000001</v>
      </c>
      <c r="AB364" s="819">
        <v>1112.8</v>
      </c>
      <c r="AC364" s="819">
        <f t="shared" ref="AC364:AP364" si="2146">+Y364*(1+AC365)</f>
        <v>1304.6374000000001</v>
      </c>
      <c r="AD364" s="819">
        <f t="shared" si="2146"/>
        <v>1439.0568000000001</v>
      </c>
      <c r="AE364" s="819">
        <f t="shared" si="2146"/>
        <v>1041.6417000000001</v>
      </c>
      <c r="AF364" s="819">
        <f t="shared" si="2146"/>
        <v>1210.7264</v>
      </c>
      <c r="AG364" s="819">
        <f t="shared" si="2146"/>
        <v>1308.5513122</v>
      </c>
      <c r="AH364" s="819">
        <f t="shared" si="2146"/>
        <v>1171.3922352000002</v>
      </c>
      <c r="AI364" s="819">
        <f t="shared" si="2146"/>
        <v>1111.4316939</v>
      </c>
      <c r="AJ364" s="819">
        <f t="shared" si="2146"/>
        <v>1573.9443200000001</v>
      </c>
      <c r="AK364" s="819">
        <f t="shared" si="2146"/>
        <v>1274.5289780828</v>
      </c>
      <c r="AL364" s="819">
        <f t="shared" si="2146"/>
        <v>846.91658604960014</v>
      </c>
      <c r="AM364" s="1843">
        <f t="shared" si="2146"/>
        <v>889.14535512000009</v>
      </c>
      <c r="AN364" s="819">
        <f t="shared" si="2146"/>
        <v>1416.549888</v>
      </c>
      <c r="AO364" s="948">
        <f t="shared" si="2146"/>
        <v>1338.2554269869399</v>
      </c>
      <c r="AP364" s="948">
        <f t="shared" si="2146"/>
        <v>1100.9915618644802</v>
      </c>
      <c r="AQ364" s="819">
        <f t="shared" ref="AQ364" si="2147">+AM364*(1+AQ365)</f>
        <v>1155.8889616560002</v>
      </c>
      <c r="AR364" s="948">
        <f t="shared" ref="AR364" si="2148">+AN364*(1+AR365)</f>
        <v>1841.5148544000001</v>
      </c>
      <c r="AS364" s="948">
        <f t="shared" ref="AS364" si="2149">+AO364*(1+AS365)</f>
        <v>1739.732055083022</v>
      </c>
      <c r="AT364" s="948">
        <f t="shared" ref="AT364" si="2150">+AP364*(1+AT365)</f>
        <v>1431.2890304238244</v>
      </c>
      <c r="AU364" s="948">
        <f t="shared" ref="AU364" si="2151">+AQ364*(1+AU365)</f>
        <v>1502.6556501528003</v>
      </c>
      <c r="AV364" s="948">
        <f t="shared" ref="AV364" si="2152">+AR364*(1+AV365)</f>
        <v>2393.9693107200001</v>
      </c>
      <c r="AW364" s="948">
        <f t="shared" ref="AW364" si="2153">+AS364*(1+AW365)</f>
        <v>2261.6516716079286</v>
      </c>
      <c r="AX364" s="948">
        <f t="shared" ref="AX364" si="2154">+AT364*(1+AX365)</f>
        <v>1860.6757395509719</v>
      </c>
      <c r="AY364" s="470"/>
      <c r="AZ364" s="470"/>
      <c r="BA364" s="85"/>
      <c r="BB364" s="948">
        <v>1431.2890304238244</v>
      </c>
      <c r="BC364" s="2198"/>
      <c r="BD364" s="85"/>
      <c r="BE364" s="485">
        <f>+SUM(C364:F364)</f>
        <v>1859.1</v>
      </c>
      <c r="BF364" s="485">
        <f>+SUM(G364:J364)</f>
        <v>1983.3000000000002</v>
      </c>
      <c r="BG364" s="485">
        <f>+SUM(K364:N364)</f>
        <v>2108.227425426222</v>
      </c>
      <c r="BH364" s="462">
        <f>+SUM(O364:R364)</f>
        <v>2383.2785775622287</v>
      </c>
      <c r="BI364" s="462"/>
      <c r="BJ364" s="2045">
        <f>+SUM(S364:V364)</f>
        <v>2742.5</v>
      </c>
      <c r="BK364" s="485">
        <f>+SUM(W364:Z364)</f>
        <v>3669.2284</v>
      </c>
      <c r="BL364" s="485">
        <f>+SUM(AA364:AD364)</f>
        <v>4997.3941999999997</v>
      </c>
      <c r="BM364" s="485">
        <f>+SUM(AE364:AH364)</f>
        <v>4732.3116473999999</v>
      </c>
      <c r="BN364" s="485">
        <f>+SUM(AI364:AL364)</f>
        <v>4806.8215780324008</v>
      </c>
      <c r="BO364" s="1040">
        <f>+SUM(AM364:AP364)</f>
        <v>4744.9422319714204</v>
      </c>
      <c r="BP364" s="485">
        <f>+SUM(AQ364:AT364)</f>
        <v>6168.4249015628466</v>
      </c>
      <c r="BQ364" s="485">
        <f>+SUM(AU364:AX364)</f>
        <v>8018.9523720317011</v>
      </c>
      <c r="BR364" s="948">
        <f t="shared" ref="BR364:BU364" si="2155">+BQ364*(1+BR365)</f>
        <v>8820.8476092348719</v>
      </c>
      <c r="BS364" s="948">
        <f t="shared" si="2155"/>
        <v>9702.9323701583598</v>
      </c>
      <c r="BT364" s="948">
        <f t="shared" si="2155"/>
        <v>10673.225607174196</v>
      </c>
      <c r="BU364" s="948">
        <f t="shared" si="2155"/>
        <v>11740.548167891617</v>
      </c>
    </row>
    <row r="365" spans="1:73" s="326" customFormat="1" ht="15" hidden="1" customHeight="1">
      <c r="B365" s="325"/>
      <c r="C365" s="337"/>
      <c r="D365" s="337"/>
      <c r="E365" s="337"/>
      <c r="F365" s="337"/>
      <c r="G365" s="464">
        <f t="shared" ref="G365:W365" si="2156">+G364/C364-1</f>
        <v>0.31776834445118252</v>
      </c>
      <c r="H365" s="464">
        <f t="shared" si="2156"/>
        <v>0.20361362056984023</v>
      </c>
      <c r="I365" s="464">
        <f t="shared" si="2156"/>
        <v>-3.4912718204488602E-2</v>
      </c>
      <c r="J365" s="464">
        <f t="shared" si="2156"/>
        <v>-8.7280930071143459E-2</v>
      </c>
      <c r="K365" s="464">
        <f t="shared" si="2156"/>
        <v>-2.5381432459002706E-2</v>
      </c>
      <c r="L365" s="464">
        <f t="shared" si="2156"/>
        <v>1.532378412817148E-2</v>
      </c>
      <c r="M365" s="464">
        <f t="shared" si="2156"/>
        <v>0.11532051831011669</v>
      </c>
      <c r="N365" s="464">
        <f t="shared" si="2156"/>
        <v>0.13303841250586901</v>
      </c>
      <c r="O365" s="464">
        <f t="shared" si="2156"/>
        <v>0.20173952721276467</v>
      </c>
      <c r="P365" s="464">
        <f t="shared" si="2156"/>
        <v>0.17722355204436235</v>
      </c>
      <c r="Q365" s="464">
        <f t="shared" si="2156"/>
        <v>-7.7555473067151159E-2</v>
      </c>
      <c r="R365" s="464">
        <f t="shared" si="2156"/>
        <v>0.23427332384922783</v>
      </c>
      <c r="S365" s="1823">
        <f t="shared" si="2156"/>
        <v>0.11076210587434754</v>
      </c>
      <c r="T365" s="464">
        <f t="shared" si="2156"/>
        <v>0.10794681540505269</v>
      </c>
      <c r="U365" s="464">
        <f t="shared" si="2156"/>
        <v>0.30486862442040175</v>
      </c>
      <c r="V365" s="464">
        <f t="shared" si="2156"/>
        <v>0.10603588907014672</v>
      </c>
      <c r="W365" s="1823">
        <f t="shared" si="2156"/>
        <v>0.25804740007074645</v>
      </c>
      <c r="X365" s="1024">
        <v>-3.5999999999999997E-2</v>
      </c>
      <c r="Y365" s="464">
        <f>+Y364/U364-1</f>
        <v>0.65664791234823827</v>
      </c>
      <c r="Z365" s="464">
        <f>+Z364/V364-1</f>
        <v>0.44505899705014751</v>
      </c>
      <c r="AA365" s="464">
        <f>+AA364/W364-1</f>
        <v>0.60396457191058639</v>
      </c>
      <c r="AB365" s="464">
        <f>+AB364/X364-1</f>
        <v>0.67760041632470425</v>
      </c>
      <c r="AC365" s="1024">
        <v>0.16600000000000001</v>
      </c>
      <c r="AD365" s="1024">
        <v>0.224</v>
      </c>
      <c r="AE365" s="1024">
        <v>-8.6999999999999994E-2</v>
      </c>
      <c r="AF365" s="1024">
        <v>8.7999999999999995E-2</v>
      </c>
      <c r="AG365" s="1024">
        <v>3.0000000000000001E-3</v>
      </c>
      <c r="AH365" s="1024">
        <v>-0.186</v>
      </c>
      <c r="AI365" s="1024">
        <v>6.7000000000000004E-2</v>
      </c>
      <c r="AJ365" s="1024">
        <v>0.3</v>
      </c>
      <c r="AK365" s="1024">
        <v>-2.5999999999999999E-2</v>
      </c>
      <c r="AL365" s="1024">
        <v>-0.27700000000000002</v>
      </c>
      <c r="AM365" s="2401">
        <v>-0.2</v>
      </c>
      <c r="AN365" s="1024">
        <v>-0.1</v>
      </c>
      <c r="AO365" s="944">
        <v>0.05</v>
      </c>
      <c r="AP365" s="944">
        <v>0.3</v>
      </c>
      <c r="AQ365" s="1024">
        <v>0.3</v>
      </c>
      <c r="AR365" s="944">
        <v>0.3</v>
      </c>
      <c r="AS365" s="944">
        <v>0.3</v>
      </c>
      <c r="AT365" s="944">
        <v>0.3</v>
      </c>
      <c r="AU365" s="944">
        <v>0.3</v>
      </c>
      <c r="AV365" s="944">
        <v>0.3</v>
      </c>
      <c r="AW365" s="944">
        <v>0.3</v>
      </c>
      <c r="AX365" s="944">
        <v>0.3</v>
      </c>
      <c r="AY365" s="944"/>
      <c r="AZ365" s="944"/>
      <c r="BA365" s="85"/>
      <c r="BB365" s="944">
        <v>0.3</v>
      </c>
      <c r="BC365" s="2197"/>
      <c r="BD365" s="85"/>
      <c r="BE365" s="464"/>
      <c r="BF365" s="464">
        <f t="shared" ref="BF365:BQ365" si="2157">+BF364/BE364-1</f>
        <v>6.6806519283524546E-2</v>
      </c>
      <c r="BG365" s="464">
        <f t="shared" si="2157"/>
        <v>6.2989676511985948E-2</v>
      </c>
      <c r="BH365" s="464">
        <f t="shared" si="2157"/>
        <v>0.13046559816970382</v>
      </c>
      <c r="BI365" s="464"/>
      <c r="BJ365" s="2028">
        <f>+BJ364/BH364-1</f>
        <v>0.15072573798955813</v>
      </c>
      <c r="BK365" s="464">
        <f>+BK364/BJ364-1</f>
        <v>0.33791372835004552</v>
      </c>
      <c r="BL365" s="464">
        <f t="shared" si="2157"/>
        <v>0.36197414148435136</v>
      </c>
      <c r="BM365" s="464">
        <f t="shared" si="2157"/>
        <v>-5.3044155011825911E-2</v>
      </c>
      <c r="BN365" s="464">
        <f t="shared" si="2157"/>
        <v>1.5744933170945608E-2</v>
      </c>
      <c r="BO365" s="1823">
        <f t="shared" si="2157"/>
        <v>-1.2873235475136968E-2</v>
      </c>
      <c r="BP365" s="464">
        <f t="shared" si="2157"/>
        <v>0.30000000000000004</v>
      </c>
      <c r="BQ365" s="464">
        <f t="shared" si="2157"/>
        <v>0.30000000000000004</v>
      </c>
      <c r="BR365" s="944">
        <v>0.1</v>
      </c>
      <c r="BS365" s="944">
        <v>0.1</v>
      </c>
      <c r="BT365" s="944">
        <v>0.1</v>
      </c>
      <c r="BU365" s="944">
        <v>0.1</v>
      </c>
    </row>
    <row r="366" spans="1:73" s="1602" customFormat="1" ht="15" hidden="1" customHeight="1">
      <c r="B366" s="1597"/>
      <c r="C366" s="1599"/>
      <c r="D366" s="1599"/>
      <c r="E366" s="1599"/>
      <c r="F366" s="1599"/>
      <c r="G366" s="1605"/>
      <c r="H366" s="1605"/>
      <c r="I366" s="1605"/>
      <c r="J366" s="1605"/>
      <c r="K366" s="1605"/>
      <c r="L366" s="1605"/>
      <c r="M366" s="1605"/>
      <c r="N366" s="1605"/>
      <c r="O366" s="1605"/>
      <c r="P366" s="1605"/>
      <c r="Q366" s="1605"/>
      <c r="R366" s="1605"/>
      <c r="S366" s="1866"/>
      <c r="T366" s="1605"/>
      <c r="U366" s="1605"/>
      <c r="V366" s="1605"/>
      <c r="W366" s="1866"/>
      <c r="X366" s="1621"/>
      <c r="Y366" s="1605"/>
      <c r="Z366" s="1605"/>
      <c r="AA366" s="1605"/>
      <c r="AB366" s="1605"/>
      <c r="AC366" s="1621"/>
      <c r="AD366" s="1621"/>
      <c r="AE366" s="1621"/>
      <c r="AF366" s="1621"/>
      <c r="AG366" s="1621"/>
      <c r="AH366" s="1621"/>
      <c r="AI366" s="1621"/>
      <c r="AJ366" s="1621"/>
      <c r="AK366" s="1621"/>
      <c r="AL366" s="1600"/>
      <c r="AM366" s="2414"/>
      <c r="AN366" s="1600"/>
      <c r="AO366" s="1600"/>
      <c r="AP366" s="1600"/>
      <c r="AQ366" s="1600"/>
      <c r="AR366" s="1600"/>
      <c r="AS366" s="1600"/>
      <c r="AT366" s="1600"/>
      <c r="AU366" s="1600"/>
      <c r="AV366" s="1600"/>
      <c r="AW366" s="1600"/>
      <c r="AX366" s="1600"/>
      <c r="AY366" s="1600"/>
      <c r="AZ366" s="1600"/>
      <c r="BA366" s="85"/>
      <c r="BB366" s="1600"/>
      <c r="BC366" s="2197"/>
      <c r="BD366" s="85"/>
      <c r="BE366" s="1605"/>
      <c r="BF366" s="1605"/>
      <c r="BG366" s="1605"/>
      <c r="BH366" s="1605"/>
      <c r="BI366" s="1605"/>
      <c r="BJ366" s="2059"/>
      <c r="BK366" s="1605"/>
      <c r="BL366" s="1605"/>
      <c r="BM366" s="1605"/>
      <c r="BN366" s="1605"/>
      <c r="BO366" s="1866"/>
      <c r="BP366" s="1605"/>
      <c r="BQ366" s="1605"/>
      <c r="BR366" s="1600"/>
      <c r="BS366" s="1600"/>
      <c r="BT366" s="1600"/>
      <c r="BU366" s="1600"/>
    </row>
    <row r="367" spans="1:73" s="1622" customFormat="1" ht="15" hidden="1" customHeight="1">
      <c r="B367" s="1622" t="s">
        <v>352</v>
      </c>
      <c r="C367" s="1623"/>
      <c r="D367" s="1623"/>
      <c r="E367" s="1623"/>
      <c r="F367" s="1623"/>
      <c r="G367" s="1623"/>
      <c r="H367" s="1623"/>
      <c r="I367" s="1623"/>
      <c r="J367" s="1623"/>
      <c r="K367" s="1623"/>
      <c r="L367" s="1623"/>
      <c r="M367" s="1623"/>
      <c r="N367" s="1623"/>
      <c r="O367" s="1623"/>
      <c r="P367" s="1623"/>
      <c r="Q367" s="1623"/>
      <c r="R367" s="1623"/>
      <c r="S367" s="1973"/>
      <c r="T367" s="1623"/>
      <c r="U367" s="1623"/>
      <c r="V367" s="1623"/>
      <c r="W367" s="1867">
        <f t="shared" ref="W367:AK367" si="2158">+W368-W364-W285</f>
        <v>20.995000000000118</v>
      </c>
      <c r="X367" s="1624">
        <f t="shared" si="2158"/>
        <v>13.084200000000237</v>
      </c>
      <c r="Y367" s="1624">
        <f t="shared" si="2158"/>
        <v>21.494000000000142</v>
      </c>
      <c r="Z367" s="1624">
        <f t="shared" si="2158"/>
        <v>43.428999999999178</v>
      </c>
      <c r="AA367" s="1624">
        <f t="shared" si="2158"/>
        <v>25.749999999999318</v>
      </c>
      <c r="AB367" s="1624">
        <f t="shared" si="2158"/>
        <v>29.21700000000078</v>
      </c>
      <c r="AC367" s="1624">
        <f t="shared" si="2158"/>
        <v>49.139600000000428</v>
      </c>
      <c r="AD367" s="1624">
        <f t="shared" si="2158"/>
        <v>98.537200000001576</v>
      </c>
      <c r="AE367" s="1624">
        <f t="shared" si="2158"/>
        <v>62.795599999999467</v>
      </c>
      <c r="AF367" s="1624">
        <f t="shared" si="2158"/>
        <v>25.060900000000402</v>
      </c>
      <c r="AG367" s="1624">
        <f t="shared" si="2158"/>
        <v>56.680484799999931</v>
      </c>
      <c r="AH367" s="1624">
        <f t="shared" si="2158"/>
        <v>76.815236799998274</v>
      </c>
      <c r="AI367" s="1624">
        <f t="shared" si="2158"/>
        <v>-646.97430820000045</v>
      </c>
      <c r="AJ367" s="1624">
        <f t="shared" si="2158"/>
        <v>-875.93845890000057</v>
      </c>
      <c r="AK367" s="1624">
        <f t="shared" si="2158"/>
        <v>-352.18178967784183</v>
      </c>
      <c r="AL367" s="1624"/>
      <c r="AM367" s="1867"/>
      <c r="AN367" s="1624"/>
      <c r="AO367" s="1624"/>
      <c r="AP367" s="1624"/>
      <c r="AQ367" s="1624"/>
      <c r="AR367" s="1624"/>
      <c r="AS367" s="1624"/>
      <c r="AT367" s="1624"/>
      <c r="AU367" s="1624"/>
      <c r="AV367" s="1624"/>
      <c r="AW367" s="1624"/>
      <c r="AX367" s="1624"/>
      <c r="AY367" s="1624"/>
      <c r="AZ367" s="1624"/>
      <c r="BA367" s="1679"/>
      <c r="BB367" s="1624"/>
      <c r="BC367" s="2205"/>
      <c r="BD367" s="2267"/>
      <c r="BE367" s="1625"/>
      <c r="BF367" s="1625"/>
      <c r="BG367" s="1625"/>
      <c r="BH367" s="1625"/>
      <c r="BI367" s="1625"/>
      <c r="BJ367" s="2060"/>
      <c r="BK367" s="1625"/>
      <c r="BL367" s="1625"/>
      <c r="BM367" s="1625"/>
      <c r="BN367" s="1625"/>
      <c r="BO367" s="2471"/>
      <c r="BP367" s="1625"/>
      <c r="BQ367" s="1625"/>
      <c r="BR367" s="1624"/>
      <c r="BS367" s="1624"/>
      <c r="BT367" s="1624"/>
      <c r="BU367" s="1624"/>
    </row>
    <row r="368" spans="1:73" s="1602" customFormat="1" ht="15" hidden="1" customHeight="1">
      <c r="B368" s="1602" t="s">
        <v>353</v>
      </c>
      <c r="C368" s="1626">
        <f t="shared" ref="C368:V368" si="2159">+C364+C285</f>
        <v>1572.7</v>
      </c>
      <c r="D368" s="1626">
        <f t="shared" si="2159"/>
        <v>1840.6000000000001</v>
      </c>
      <c r="E368" s="1626">
        <f t="shared" si="2159"/>
        <v>1883.3999999999999</v>
      </c>
      <c r="F368" s="1626">
        <f t="shared" si="2159"/>
        <v>2156.1</v>
      </c>
      <c r="G368" s="1626">
        <f t="shared" si="2159"/>
        <v>1556.3000000000002</v>
      </c>
      <c r="H368" s="1626">
        <f t="shared" si="2159"/>
        <v>1895.8000000000002</v>
      </c>
      <c r="I368" s="1626">
        <f t="shared" si="2159"/>
        <v>1768.6</v>
      </c>
      <c r="J368" s="1626">
        <f t="shared" si="2159"/>
        <v>2097.6999999999998</v>
      </c>
      <c r="K368" s="1626">
        <f t="shared" si="2159"/>
        <v>1582.5267118532765</v>
      </c>
      <c r="L368" s="1626">
        <f t="shared" si="2159"/>
        <v>1872.3367225787213</v>
      </c>
      <c r="M368" s="1626">
        <f t="shared" si="2159"/>
        <v>1958.6883742242915</v>
      </c>
      <c r="N368" s="1626">
        <f t="shared" si="2159"/>
        <v>2269.5465220814367</v>
      </c>
      <c r="O368" s="1626">
        <f t="shared" si="2159"/>
        <v>1677.3965391978118</v>
      </c>
      <c r="P368" s="1626">
        <f t="shared" si="2159"/>
        <v>2055.7498051281364</v>
      </c>
      <c r="Q368" s="1626">
        <f t="shared" si="2159"/>
        <v>2046.6</v>
      </c>
      <c r="R368" s="1626">
        <f t="shared" si="2159"/>
        <v>2625.7</v>
      </c>
      <c r="S368" s="1974">
        <f t="shared" si="2159"/>
        <v>1754</v>
      </c>
      <c r="T368" s="1626">
        <f t="shared" si="2159"/>
        <v>2249.6999999999998</v>
      </c>
      <c r="U368" s="1626">
        <f t="shared" si="2159"/>
        <v>2240.1</v>
      </c>
      <c r="V368" s="1626">
        <f t="shared" si="2159"/>
        <v>2759.6</v>
      </c>
      <c r="W368" s="1868">
        <f t="shared" ref="W368:AK368" si="2160">+W248-W541-W609</f>
        <v>2037.595</v>
      </c>
      <c r="X368" s="1611">
        <f t="shared" si="2160"/>
        <v>2361.3789999999999</v>
      </c>
      <c r="Y368" s="1611">
        <f t="shared" si="2160"/>
        <v>3182.9940000000001</v>
      </c>
      <c r="Z368" s="1611">
        <f t="shared" si="2160"/>
        <v>3481.1289999999995</v>
      </c>
      <c r="AA368" s="1611">
        <f t="shared" si="2160"/>
        <v>2636.3499999999995</v>
      </c>
      <c r="AB368" s="1611">
        <f t="shared" si="2160"/>
        <v>2962.9170000000008</v>
      </c>
      <c r="AC368" s="1611">
        <f t="shared" si="2160"/>
        <v>3059.3480000000004</v>
      </c>
      <c r="AD368" s="1611">
        <f t="shared" si="2160"/>
        <v>3654.8260000000014</v>
      </c>
      <c r="AE368" s="1611">
        <f t="shared" si="2160"/>
        <v>2619.6979999999994</v>
      </c>
      <c r="AF368" s="1611">
        <f t="shared" si="2160"/>
        <v>3317.0760000000005</v>
      </c>
      <c r="AG368" s="1611">
        <f t="shared" si="2160"/>
        <v>3399.9780000000001</v>
      </c>
      <c r="AH368" s="1611">
        <f t="shared" si="2160"/>
        <v>3744.4239999999986</v>
      </c>
      <c r="AI368" s="1611">
        <f t="shared" si="2160"/>
        <v>2357.0179999999996</v>
      </c>
      <c r="AJ368" s="1611">
        <f t="shared" si="2160"/>
        <v>3085.2439999999997</v>
      </c>
      <c r="AK368" s="1611">
        <f t="shared" si="2160"/>
        <v>3170.741742719958</v>
      </c>
      <c r="AL368" s="1608">
        <f>+AL364+AL285</f>
        <v>3557.8077354576003</v>
      </c>
      <c r="AM368" s="1869">
        <f>+AM364+AM285</f>
        <v>2895.2596062780003</v>
      </c>
      <c r="AN368" s="1608">
        <f>+AN364+AN285</f>
        <v>3947.0223152340004</v>
      </c>
      <c r="AO368" s="1608">
        <f>+AO364+AO285</f>
        <v>3721.5536545608402</v>
      </c>
      <c r="AP368" s="1608">
        <f>+AP364+AP285</f>
        <v>3974.5361802369607</v>
      </c>
      <c r="AQ368" s="1608">
        <f t="shared" ref="AQ368:AT368" si="2161">+AQ364+AQ285</f>
        <v>3282.3700678834803</v>
      </c>
      <c r="AR368" s="1608">
        <f t="shared" si="2161"/>
        <v>4523.8156272680408</v>
      </c>
      <c r="AS368" s="1608">
        <f t="shared" si="2161"/>
        <v>4266.0281763113562</v>
      </c>
      <c r="AT368" s="1608">
        <f t="shared" si="2161"/>
        <v>4477.2463258986536</v>
      </c>
      <c r="AU368" s="1608">
        <f t="shared" ref="AU368:AX368" si="2162">+AU364+AU285</f>
        <v>3756.7256227539297</v>
      </c>
      <c r="AV368" s="1608">
        <f t="shared" si="2162"/>
        <v>5237.2081299601232</v>
      </c>
      <c r="AW368" s="1608">
        <f t="shared" si="2162"/>
        <v>4939.5255601099634</v>
      </c>
      <c r="AX368" s="1608">
        <f t="shared" si="2162"/>
        <v>5089.3904727542913</v>
      </c>
      <c r="AY368" s="1608"/>
      <c r="AZ368" s="1608"/>
      <c r="BA368" s="983"/>
      <c r="BB368" s="1608">
        <v>4477.2463258986536</v>
      </c>
      <c r="BC368" s="2202"/>
      <c r="BD368" s="85"/>
      <c r="BE368" s="1627">
        <f>+SUM(C368:F368)</f>
        <v>7452.7999999999993</v>
      </c>
      <c r="BF368" s="1627">
        <f>+SUM(G368:J368)</f>
        <v>7318.4000000000005</v>
      </c>
      <c r="BG368" s="1627">
        <f>+SUM(K368:N368)</f>
        <v>7683.0983307377264</v>
      </c>
      <c r="BH368" s="1627">
        <f>+SUM(O368:R368)</f>
        <v>8405.4463443259483</v>
      </c>
      <c r="BI368" s="1627"/>
      <c r="BJ368" s="2061">
        <f>+SUM(S368:V368)</f>
        <v>9003.4</v>
      </c>
      <c r="BK368" s="1627">
        <f>+SUM(W368:Z368)</f>
        <v>11063.097</v>
      </c>
      <c r="BL368" s="1627">
        <f>+SUM(AA368:AD368)</f>
        <v>12313.441000000001</v>
      </c>
      <c r="BM368" s="1627">
        <f>+SUM(AE368:AH368)</f>
        <v>13081.175999999999</v>
      </c>
      <c r="BN368" s="1627">
        <f>+SUM(AI368:AL368)</f>
        <v>12170.811478177557</v>
      </c>
      <c r="BO368" s="1876">
        <f>+SUM(AM368:AP368)</f>
        <v>14538.371756309802</v>
      </c>
      <c r="BP368" s="1627">
        <f>+SUM(AQ368:AT368)</f>
        <v>16549.460197361532</v>
      </c>
      <c r="BQ368" s="1627">
        <f>+SUM(AU368:AX368)</f>
        <v>19022.849785578306</v>
      </c>
      <c r="BR368" s="1608">
        <f t="shared" ref="BR368:BU368" si="2163">+BR364+BR285</f>
        <v>20484.978867594276</v>
      </c>
      <c r="BS368" s="1608">
        <f t="shared" si="2163"/>
        <v>22066.911504019328</v>
      </c>
      <c r="BT368" s="1608">
        <f t="shared" si="2163"/>
        <v>23779.043489066818</v>
      </c>
      <c r="BU368" s="1608">
        <f t="shared" si="2163"/>
        <v>25632.715122697799</v>
      </c>
    </row>
    <row r="369" spans="2:73" s="1602" customFormat="1" ht="11.25" hidden="1" customHeight="1">
      <c r="B369" s="1597" t="s">
        <v>108</v>
      </c>
      <c r="C369" s="1607"/>
      <c r="D369" s="1607"/>
      <c r="E369" s="1607"/>
      <c r="F369" s="1607"/>
      <c r="G369" s="1605">
        <f t="shared" ref="G369" si="2164">+G368/C368-1</f>
        <v>-1.0427926495835127E-2</v>
      </c>
      <c r="H369" s="1605">
        <f t="shared" ref="H369" si="2165">+H368/D368-1</f>
        <v>2.9990220580245586E-2</v>
      </c>
      <c r="I369" s="1605">
        <f t="shared" ref="I369" si="2166">+I368/E368-1</f>
        <v>-6.0953594563024294E-2</v>
      </c>
      <c r="J369" s="1605">
        <f t="shared" ref="J369" si="2167">+J368/F368-1</f>
        <v>-2.7085942210472669E-2</v>
      </c>
      <c r="K369" s="1605">
        <f t="shared" ref="K369" si="2168">+K368/G368-1</f>
        <v>1.6851964179962931E-2</v>
      </c>
      <c r="L369" s="1605">
        <f t="shared" ref="L369" si="2169">+L368/H368-1</f>
        <v>-1.2376451852135761E-2</v>
      </c>
      <c r="M369" s="1605">
        <f t="shared" ref="M369" si="2170">+M368/I368-1</f>
        <v>0.10747957380091111</v>
      </c>
      <c r="N369" s="1605">
        <f t="shared" ref="N369" si="2171">+N368/J368-1</f>
        <v>8.1921400620411422E-2</v>
      </c>
      <c r="O369" s="1605">
        <f t="shared" ref="O369" si="2172">+O368/K368-1</f>
        <v>5.9948326074973135E-2</v>
      </c>
      <c r="P369" s="1605">
        <f t="shared" ref="P369" si="2173">+P368/L368-1</f>
        <v>9.7959453733730717E-2</v>
      </c>
      <c r="Q369" s="1605">
        <f t="shared" ref="Q369" si="2174">+Q368/M368-1</f>
        <v>4.4882905791751915E-2</v>
      </c>
      <c r="R369" s="1605">
        <f t="shared" ref="R369" si="2175">+R368/N368-1</f>
        <v>0.15692715458942397</v>
      </c>
      <c r="S369" s="1866">
        <f t="shared" ref="S369" si="2176">+S368/O368-1</f>
        <v>4.5668068946191243E-2</v>
      </c>
      <c r="T369" s="1605">
        <f t="shared" ref="T369" si="2177">+T368/P368-1</f>
        <v>9.4345233251657445E-2</v>
      </c>
      <c r="U369" s="1605">
        <f t="shared" ref="U369" si="2178">+U368/Q368-1</f>
        <v>9.454705364995597E-2</v>
      </c>
      <c r="V369" s="1605">
        <f t="shared" ref="V369" si="2179">+V368/R368-1</f>
        <v>5.0995924896218181E-2</v>
      </c>
      <c r="W369" s="1866">
        <f t="shared" ref="W369" si="2180">+W368/S368-1</f>
        <v>0.16168472063854056</v>
      </c>
      <c r="X369" s="1605">
        <f t="shared" ref="X369" si="2181">+X368/T368-1</f>
        <v>4.9641730008445517E-2</v>
      </c>
      <c r="Y369" s="1605">
        <f t="shared" ref="Y369" si="2182">+Y368/U368-1</f>
        <v>0.42091603053435134</v>
      </c>
      <c r="Z369" s="1605">
        <f t="shared" ref="Z369" si="2183">+Z368/V368-1</f>
        <v>0.26146144368749069</v>
      </c>
      <c r="AA369" s="1605">
        <f t="shared" ref="AA369" si="2184">+AA368/W368-1</f>
        <v>0.29385378350457247</v>
      </c>
      <c r="AB369" s="1605">
        <f t="shared" ref="AB369" si="2185">+AB368/X368-1</f>
        <v>0.25474013277834739</v>
      </c>
      <c r="AC369" s="1605">
        <f t="shared" ref="AC369" si="2186">+AC368/Y368-1</f>
        <v>-3.8845816234651998E-2</v>
      </c>
      <c r="AD369" s="1605">
        <f t="shared" ref="AD369" si="2187">+AD368/Z368-1</f>
        <v>4.989674326921012E-2</v>
      </c>
      <c r="AE369" s="1605">
        <f t="shared" ref="AE369" si="2188">+AE368/AA368-1</f>
        <v>-6.3163085326303214E-3</v>
      </c>
      <c r="AF369" s="1605">
        <f t="shared" ref="AF369" si="2189">+AF368/AB368-1</f>
        <v>0.11953051671714032</v>
      </c>
      <c r="AG369" s="1605">
        <f t="shared" ref="AG369" si="2190">+AG368/AC368-1</f>
        <v>0.11134071704167026</v>
      </c>
      <c r="AH369" s="1605">
        <f t="shared" ref="AH369:AK369" si="2191">+AH368/AD368-1</f>
        <v>2.4514983750251629E-2</v>
      </c>
      <c r="AI369" s="1605">
        <f t="shared" si="2191"/>
        <v>-0.10027109995121575</v>
      </c>
      <c r="AJ369" s="1605">
        <f t="shared" si="2191"/>
        <v>-6.9890469799305355E-2</v>
      </c>
      <c r="AK369" s="1605">
        <f t="shared" si="2191"/>
        <v>-6.7422864877373367E-2</v>
      </c>
      <c r="AL369" s="1605">
        <f t="shared" ref="AL369" si="2192">+AL368/AH368-1</f>
        <v>-4.9838443654457554E-2</v>
      </c>
      <c r="AM369" s="1866">
        <f t="shared" ref="AM369" si="2193">+AM368/AI368-1</f>
        <v>0.22835701987765944</v>
      </c>
      <c r="AN369" s="1605">
        <f t="shared" ref="AN369" si="2194">+AN368/AJ368-1</f>
        <v>0.27932258039688307</v>
      </c>
      <c r="AO369" s="1605">
        <f t="shared" ref="AO369" si="2195">+AO368/AK368-1</f>
        <v>0.17371705314869934</v>
      </c>
      <c r="AP369" s="1605">
        <f t="shared" ref="AP369" si="2196">+AP368/AL368-1</f>
        <v>0.11713068152227213</v>
      </c>
      <c r="AQ369" s="1605">
        <f t="shared" ref="AQ369" si="2197">+AQ368/AM368-1</f>
        <v>0.13370492261422107</v>
      </c>
      <c r="AR369" s="1605">
        <f t="shared" ref="AR369" si="2198">+AR368/AN368-1</f>
        <v>0.14613378541282573</v>
      </c>
      <c r="AS369" s="1605">
        <f t="shared" ref="AS369" si="2199">+AS368/AO368-1</f>
        <v>0.14630301543100188</v>
      </c>
      <c r="AT369" s="1605">
        <f t="shared" ref="AT369" si="2200">+AT368/AP368-1</f>
        <v>0.12648271970988101</v>
      </c>
      <c r="AU369" s="1605">
        <f t="shared" ref="AU369" si="2201">+AU368/AQ368-1</f>
        <v>0.14451617126045768</v>
      </c>
      <c r="AV369" s="1605">
        <f t="shared" ref="AV369" si="2202">+AV368/AR368-1</f>
        <v>0.15769707730615545</v>
      </c>
      <c r="AW369" s="1605">
        <f t="shared" ref="AW369" si="2203">+AW368/AS368-1</f>
        <v>0.15787457465434507</v>
      </c>
      <c r="AX369" s="1605">
        <f t="shared" ref="AX369" si="2204">+AX368/AT368-1</f>
        <v>0.13672335679068781</v>
      </c>
      <c r="AY369" s="1605"/>
      <c r="AZ369" s="1605"/>
      <c r="BA369" s="85"/>
      <c r="BB369" s="1605">
        <v>0.12648271970988101</v>
      </c>
      <c r="BC369" s="2197"/>
      <c r="BD369" s="85"/>
      <c r="BE369" s="1607"/>
      <c r="BF369" s="1605">
        <f t="shared" ref="BF369" si="2205">+BF368/BE368-1</f>
        <v>-1.8033490768570082E-2</v>
      </c>
      <c r="BG369" s="1605">
        <f t="shared" ref="BG369" si="2206">+BG368/BF368-1</f>
        <v>4.9833068804346015E-2</v>
      </c>
      <c r="BH369" s="1605">
        <f t="shared" ref="BH369" si="2207">+BH368/BG368-1</f>
        <v>9.4017801477084939E-2</v>
      </c>
      <c r="BI369" s="1605"/>
      <c r="BJ369" s="2059">
        <f t="shared" ref="BJ369" si="2208">+BJ368/BH368-1</f>
        <v>7.1138834415104713E-2</v>
      </c>
      <c r="BK369" s="1605">
        <f>+BK368/BJ368-1</f>
        <v>0.22876879845391751</v>
      </c>
      <c r="BL369" s="1605">
        <f t="shared" ref="BL369" si="2209">+BL368/BK368-1</f>
        <v>0.11301934711410389</v>
      </c>
      <c r="BM369" s="1605">
        <f t="shared" ref="BM369" si="2210">+BM368/BL368-1</f>
        <v>6.2349346539281703E-2</v>
      </c>
      <c r="BN369" s="1605">
        <f t="shared" ref="BN369:BQ369" si="2211">+BN368/BM368-1</f>
        <v>-6.9593477056072217E-2</v>
      </c>
      <c r="BO369" s="1866">
        <f t="shared" si="2211"/>
        <v>0.19452772581165312</v>
      </c>
      <c r="BP369" s="1605">
        <f t="shared" si="2211"/>
        <v>0.13832968882357122</v>
      </c>
      <c r="BQ369" s="1605">
        <f t="shared" si="2211"/>
        <v>0.14945439662201832</v>
      </c>
      <c r="BR369" s="1628">
        <f t="shared" ref="BR369:BU369" si="2212">+BR368/BQ368-1</f>
        <v>7.6861726738989722E-2</v>
      </c>
      <c r="BS369" s="1628">
        <f t="shared" si="2212"/>
        <v>7.7224030673888278E-2</v>
      </c>
      <c r="BT369" s="1628">
        <f t="shared" si="2212"/>
        <v>7.7588201898378006E-2</v>
      </c>
      <c r="BU369" s="1628">
        <f t="shared" si="2212"/>
        <v>7.7954003258510651E-2</v>
      </c>
    </row>
    <row r="370" spans="2:73" s="1602" customFormat="1" ht="15" hidden="1" customHeight="1">
      <c r="C370" s="1626"/>
      <c r="D370" s="1626"/>
      <c r="E370" s="1626"/>
      <c r="F370" s="1626"/>
      <c r="G370" s="1626"/>
      <c r="H370" s="1626"/>
      <c r="I370" s="1626"/>
      <c r="J370" s="1626"/>
      <c r="K370" s="1626"/>
      <c r="L370" s="1626"/>
      <c r="M370" s="1626"/>
      <c r="N370" s="1626"/>
      <c r="O370" s="1626"/>
      <c r="P370" s="1626"/>
      <c r="Q370" s="1626"/>
      <c r="R370" s="1626"/>
      <c r="S370" s="1974"/>
      <c r="T370" s="1626"/>
      <c r="U370" s="1626"/>
      <c r="V370" s="1626"/>
      <c r="W370" s="1869"/>
      <c r="X370" s="1608"/>
      <c r="Y370" s="1608"/>
      <c r="Z370" s="1608"/>
      <c r="AA370" s="1608"/>
      <c r="AB370" s="1608"/>
      <c r="AC370" s="1608"/>
      <c r="AD370" s="1608"/>
      <c r="AE370" s="1608"/>
      <c r="AF370" s="1608"/>
      <c r="AG370" s="1608"/>
      <c r="AH370" s="1608"/>
      <c r="AI370" s="1608"/>
      <c r="AJ370" s="1608"/>
      <c r="AK370" s="1608"/>
      <c r="AL370" s="1608"/>
      <c r="AM370" s="1869"/>
      <c r="AN370" s="1608"/>
      <c r="AO370" s="1608"/>
      <c r="AP370" s="1608"/>
      <c r="AQ370" s="1608"/>
      <c r="AR370" s="1608"/>
      <c r="AS370" s="1608"/>
      <c r="AT370" s="1608"/>
      <c r="AU370" s="1608"/>
      <c r="AV370" s="1608"/>
      <c r="AW370" s="1608"/>
      <c r="AX370" s="1608"/>
      <c r="AY370" s="1608"/>
      <c r="AZ370" s="1608"/>
      <c r="BA370" s="983"/>
      <c r="BB370" s="1608"/>
      <c r="BC370" s="2202"/>
      <c r="BD370" s="85"/>
      <c r="BE370" s="1627"/>
      <c r="BF370" s="1627"/>
      <c r="BG370" s="1627"/>
      <c r="BH370" s="1627"/>
      <c r="BI370" s="1627"/>
      <c r="BJ370" s="2061"/>
      <c r="BK370" s="1627"/>
      <c r="BL370" s="1627"/>
      <c r="BM370" s="1627"/>
      <c r="BN370" s="1627"/>
      <c r="BO370" s="1876"/>
      <c r="BP370" s="1627"/>
      <c r="BQ370" s="1627"/>
      <c r="BR370" s="1608"/>
      <c r="BS370" s="1608"/>
      <c r="BT370" s="1608"/>
      <c r="BU370" s="1608"/>
    </row>
    <row r="371" spans="2:73" s="1602" customFormat="1" ht="15" hidden="1" customHeight="1">
      <c r="C371" s="1626"/>
      <c r="D371" s="1626"/>
      <c r="E371" s="1626"/>
      <c r="F371" s="1626"/>
      <c r="G371" s="1626"/>
      <c r="H371" s="1626"/>
      <c r="I371" s="1626"/>
      <c r="J371" s="1626"/>
      <c r="K371" s="1626"/>
      <c r="L371" s="1626"/>
      <c r="M371" s="1626"/>
      <c r="N371" s="1626"/>
      <c r="O371" s="1626"/>
      <c r="P371" s="1626"/>
      <c r="Q371" s="1626"/>
      <c r="R371" s="1626"/>
      <c r="S371" s="1974"/>
      <c r="T371" s="1626"/>
      <c r="U371" s="1626"/>
      <c r="V371" s="1626"/>
      <c r="W371" s="1869"/>
      <c r="X371" s="1608"/>
      <c r="Y371" s="1608"/>
      <c r="Z371" s="1608"/>
      <c r="AA371" s="1608"/>
      <c r="AB371" s="1608"/>
      <c r="AC371" s="1608"/>
      <c r="AD371" s="1608"/>
      <c r="AE371" s="1608"/>
      <c r="AF371" s="1608"/>
      <c r="AG371" s="1608"/>
      <c r="AH371" s="1608"/>
      <c r="AI371" s="1608"/>
      <c r="AJ371" s="1608"/>
      <c r="AK371" s="1608"/>
      <c r="AL371" s="1608"/>
      <c r="AM371" s="1869"/>
      <c r="AN371" s="1608"/>
      <c r="AO371" s="1608"/>
      <c r="AP371" s="1608"/>
      <c r="AQ371" s="1608"/>
      <c r="AR371" s="1608"/>
      <c r="AS371" s="1608"/>
      <c r="AT371" s="1608"/>
      <c r="AU371" s="1608"/>
      <c r="AV371" s="1608"/>
      <c r="AW371" s="1608"/>
      <c r="AX371" s="1608"/>
      <c r="AY371" s="1608"/>
      <c r="AZ371" s="1608"/>
      <c r="BA371" s="983"/>
      <c r="BB371" s="1608"/>
      <c r="BC371" s="2202"/>
      <c r="BD371" s="85"/>
      <c r="BE371" s="1627"/>
      <c r="BF371" s="1627"/>
      <c r="BG371" s="1627"/>
      <c r="BH371" s="1627"/>
      <c r="BI371" s="1627"/>
      <c r="BJ371" s="2061"/>
      <c r="BK371" s="1627"/>
      <c r="BL371" s="1627"/>
      <c r="BM371" s="1627"/>
      <c r="BN371" s="1627"/>
      <c r="BO371" s="1876"/>
      <c r="BP371" s="1627"/>
      <c r="BQ371" s="1627"/>
      <c r="BR371" s="1608"/>
      <c r="BS371" s="1608"/>
      <c r="BT371" s="1608"/>
      <c r="BU371" s="1608"/>
    </row>
    <row r="372" spans="2:73" s="1602" customFormat="1" ht="15" hidden="1" customHeight="1">
      <c r="B372" s="1602" t="s">
        <v>275</v>
      </c>
      <c r="C372" s="1626">
        <v>-99.700000000000045</v>
      </c>
      <c r="D372" s="1626">
        <v>-134.5</v>
      </c>
      <c r="E372" s="1626">
        <v>-166.99999999999994</v>
      </c>
      <c r="F372" s="1626">
        <v>-183.39999999999998</v>
      </c>
      <c r="G372" s="1626">
        <v>-131.80000000000001</v>
      </c>
      <c r="H372" s="1626">
        <v>-180.40000000000003</v>
      </c>
      <c r="I372" s="1626">
        <v>-166.10000000000002</v>
      </c>
      <c r="J372" s="1626">
        <v>-186</v>
      </c>
      <c r="K372" s="1626">
        <v>-145.62371861554436</v>
      </c>
      <c r="L372" s="1626">
        <v>-172.60779783286011</v>
      </c>
      <c r="M372" s="1626">
        <v>-183.64541683000056</v>
      </c>
      <c r="N372" s="1626">
        <v>-205.84456783102212</v>
      </c>
      <c r="O372" s="1626">
        <v>-164.62137533246442</v>
      </c>
      <c r="P372" s="1626">
        <v>-207.69834878645088</v>
      </c>
      <c r="Q372" s="1626">
        <v>-159.70000000000005</v>
      </c>
      <c r="R372" s="1626">
        <v>-271.8</v>
      </c>
      <c r="S372" s="1974">
        <v>-197</v>
      </c>
      <c r="T372" s="1626">
        <v>-239.8</v>
      </c>
      <c r="U372" s="1626">
        <v>-235.2</v>
      </c>
      <c r="V372" s="1626">
        <v>-309.5</v>
      </c>
      <c r="W372" s="1868">
        <f t="shared" ref="W372:AK372" si="2213">+W252-W545-W613</f>
        <v>-665.25</v>
      </c>
      <c r="X372" s="1611">
        <f t="shared" si="2213"/>
        <v>-766.07</v>
      </c>
      <c r="Y372" s="1611">
        <f t="shared" si="2213"/>
        <v>-1018.299</v>
      </c>
      <c r="Z372" s="1611">
        <f t="shared" si="2213"/>
        <v>-1136.2869999999996</v>
      </c>
      <c r="AA372" s="1611">
        <f t="shared" si="2213"/>
        <v>-836.79599999999982</v>
      </c>
      <c r="AB372" s="1611">
        <f t="shared" si="2213"/>
        <v>-995.10400000000027</v>
      </c>
      <c r="AC372" s="1611">
        <f t="shared" si="2213"/>
        <v>-974.07600000000002</v>
      </c>
      <c r="AD372" s="1611">
        <f t="shared" si="2213"/>
        <v>-1278.3899999999996</v>
      </c>
      <c r="AE372" s="1611">
        <f t="shared" si="2213"/>
        <v>-906.45100000000014</v>
      </c>
      <c r="AF372" s="1611">
        <f t="shared" si="2213"/>
        <v>-1173.5170000000001</v>
      </c>
      <c r="AG372" s="1611">
        <f t="shared" si="2213"/>
        <v>-1127.5349999999999</v>
      </c>
      <c r="AH372" s="1611">
        <f t="shared" si="2213"/>
        <v>-1339.1379999999995</v>
      </c>
      <c r="AI372" s="1611">
        <f t="shared" si="2213"/>
        <v>-881.22100000000034</v>
      </c>
      <c r="AJ372" s="1611">
        <f t="shared" si="2213"/>
        <v>-1122.0940000000001</v>
      </c>
      <c r="AK372" s="1611">
        <f t="shared" si="2213"/>
        <v>-1172.7478590398562</v>
      </c>
      <c r="AL372" s="1629">
        <f t="shared" ref="AL372:AP372" si="2214">+AL374-AL368</f>
        <v>-1308.7945857345981</v>
      </c>
      <c r="AM372" s="1868">
        <f t="shared" si="2214"/>
        <v>-1056.3802333852675</v>
      </c>
      <c r="AN372" s="1629">
        <f t="shared" si="2214"/>
        <v>-1428.2910529866876</v>
      </c>
      <c r="AO372" s="1629">
        <f t="shared" si="2214"/>
        <v>-1335.5370709985368</v>
      </c>
      <c r="AP372" s="1629">
        <f t="shared" si="2214"/>
        <v>-1414.4001533715077</v>
      </c>
      <c r="AQ372" s="1629">
        <f t="shared" ref="AQ372:AT372" si="2215">+AQ374-AQ368</f>
        <v>-1158.2350299266354</v>
      </c>
      <c r="AR372" s="1629">
        <f t="shared" si="2215"/>
        <v>-1582.7268437036864</v>
      </c>
      <c r="AS372" s="1629">
        <f t="shared" si="2215"/>
        <v>-1479.7378335897747</v>
      </c>
      <c r="AT372" s="1629">
        <f t="shared" si="2215"/>
        <v>-1539.5703756172252</v>
      </c>
      <c r="AU372" s="1629">
        <f t="shared" ref="AU372:AX372" si="2216">+AU374-AU368</f>
        <v>-1280.5380143983275</v>
      </c>
      <c r="AV372" s="1629">
        <f t="shared" si="2216"/>
        <v>-1769.4717435702328</v>
      </c>
      <c r="AW372" s="1629">
        <f t="shared" si="2216"/>
        <v>-1654.0765079463827</v>
      </c>
      <c r="AX372" s="1629">
        <f t="shared" si="2216"/>
        <v>-1688.9929197140609</v>
      </c>
      <c r="AY372" s="1629"/>
      <c r="AZ372" s="1629"/>
      <c r="BA372" s="983"/>
      <c r="BB372" s="1629">
        <v>-1539.5703756172252</v>
      </c>
      <c r="BC372" s="2202"/>
      <c r="BD372" s="85"/>
      <c r="BE372" s="1627">
        <f>+SUM(C372:F372)</f>
        <v>-584.59999999999991</v>
      </c>
      <c r="BF372" s="1627">
        <f>+SUM(G372:J372)</f>
        <v>-664.30000000000007</v>
      </c>
      <c r="BG372" s="1627">
        <f>+SUM(K372:N372)</f>
        <v>-707.72150110942721</v>
      </c>
      <c r="BH372" s="1627">
        <f>+SUM(O372:R372)</f>
        <v>-803.81972411891525</v>
      </c>
      <c r="BI372" s="1627"/>
      <c r="BJ372" s="2061">
        <f>+SUM(S372:V372)</f>
        <v>-981.5</v>
      </c>
      <c r="BK372" s="1627">
        <f>+SUM(W372:Z372)</f>
        <v>-3585.9059999999999</v>
      </c>
      <c r="BL372" s="1627">
        <f>+SUM(AA372:AD372)</f>
        <v>-4084.366</v>
      </c>
      <c r="BM372" s="1627">
        <f>+SUM(AE372:AH372)</f>
        <v>-4546.6409999999996</v>
      </c>
      <c r="BN372" s="1627">
        <f>+SUM(AI372:AL372)</f>
        <v>-4484.8574447744541</v>
      </c>
      <c r="BO372" s="1876">
        <f>+SUM(AM372:AP372)</f>
        <v>-5234.6085107419995</v>
      </c>
      <c r="BP372" s="1627">
        <f>+SUM(AQ372:AT372)</f>
        <v>-5760.2700828373218</v>
      </c>
      <c r="BQ372" s="1627">
        <f>+SUM(AU372:AX372)</f>
        <v>-6393.0791856290034</v>
      </c>
      <c r="BR372" s="1608">
        <f t="shared" ref="BR372:BU372" si="2217">+BR374-BR368</f>
        <v>-6884.4622910155413</v>
      </c>
      <c r="BS372" s="1608">
        <f t="shared" si="2217"/>
        <v>-7416.1082181501533</v>
      </c>
      <c r="BT372" s="1608">
        <f t="shared" si="2217"/>
        <v>-7991.510719880207</v>
      </c>
      <c r="BU372" s="1608">
        <f t="shared" si="2217"/>
        <v>-8614.4809725781706</v>
      </c>
    </row>
    <row r="373" spans="2:73" s="1602" customFormat="1" ht="15" hidden="1" customHeight="1">
      <c r="B373" s="1597" t="s">
        <v>316</v>
      </c>
      <c r="C373" s="1605"/>
      <c r="D373" s="1605"/>
      <c r="E373" s="1605"/>
      <c r="F373" s="1605"/>
      <c r="G373" s="1605">
        <f t="shared" ref="G373:S373" si="2218">+G372/C372-1</f>
        <v>0.32196589769307882</v>
      </c>
      <c r="H373" s="1605">
        <f t="shared" si="2218"/>
        <v>0.34126394052044629</v>
      </c>
      <c r="I373" s="1605">
        <f t="shared" si="2218"/>
        <v>-5.3892215568857038E-3</v>
      </c>
      <c r="J373" s="1605">
        <f t="shared" si="2218"/>
        <v>1.4176663031624903E-2</v>
      </c>
      <c r="K373" s="1605">
        <f t="shared" si="2218"/>
        <v>0.10488405626361419</v>
      </c>
      <c r="L373" s="1605">
        <f t="shared" si="2218"/>
        <v>-4.3194025316740103E-2</v>
      </c>
      <c r="M373" s="1605">
        <f t="shared" si="2218"/>
        <v>0.10563164858519292</v>
      </c>
      <c r="N373" s="1605">
        <f t="shared" si="2218"/>
        <v>0.10669122489796834</v>
      </c>
      <c r="O373" s="1605">
        <f t="shared" si="2218"/>
        <v>0.13045715970950478</v>
      </c>
      <c r="P373" s="1605">
        <f t="shared" si="2218"/>
        <v>0.20329644079909825</v>
      </c>
      <c r="Q373" s="1605">
        <f t="shared" si="2218"/>
        <v>-0.13038940608121263</v>
      </c>
      <c r="R373" s="1605">
        <f t="shared" si="2218"/>
        <v>0.32041376104285013</v>
      </c>
      <c r="S373" s="1866">
        <f t="shared" si="2218"/>
        <v>0.19668542193955485</v>
      </c>
      <c r="T373" s="1605">
        <f t="shared" ref="T373:V373" si="2219">+T372/P372-1</f>
        <v>0.15455901022378882</v>
      </c>
      <c r="U373" s="1605">
        <f t="shared" si="2219"/>
        <v>0.47276142767689366</v>
      </c>
      <c r="V373" s="1605">
        <f t="shared" si="2219"/>
        <v>0.13870493009565843</v>
      </c>
      <c r="W373" s="1866">
        <f t="shared" ref="W373" si="2220">+W372/S372-1</f>
        <v>2.3769035532994924</v>
      </c>
      <c r="X373" s="1605">
        <f t="shared" ref="X373" si="2221">+X372/T372-1</f>
        <v>2.1946205170975812</v>
      </c>
      <c r="Y373" s="1605">
        <f t="shared" ref="Y373" si="2222">+Y372/U372-1</f>
        <v>3.3295025510204086</v>
      </c>
      <c r="Z373" s="1605">
        <f t="shared" ref="Z373" si="2223">+Z372/V372-1</f>
        <v>2.6713634894991909</v>
      </c>
      <c r="AA373" s="1605">
        <f t="shared" ref="AA373" si="2224">+AA372/W372-1</f>
        <v>0.25786696730552405</v>
      </c>
      <c r="AB373" s="1605">
        <f t="shared" ref="AB373" si="2225">+AB372/X372-1</f>
        <v>0.29897267873693023</v>
      </c>
      <c r="AC373" s="1605">
        <f t="shared" ref="AC373" si="2226">+AC372/Y372-1</f>
        <v>-4.3428305438775849E-2</v>
      </c>
      <c r="AD373" s="1605">
        <f t="shared" ref="AD373" si="2227">+AD372/Z372-1</f>
        <v>0.12505907398394966</v>
      </c>
      <c r="AE373" s="1605">
        <f t="shared" ref="AE373" si="2228">+AE372/AA372-1</f>
        <v>8.3240120650672766E-2</v>
      </c>
      <c r="AF373" s="1605">
        <f t="shared" ref="AF373" si="2229">+AF372/AB372-1</f>
        <v>0.17929080779496398</v>
      </c>
      <c r="AG373" s="1605">
        <f t="shared" ref="AG373" si="2230">+AG372/AC372-1</f>
        <v>0.15754314858388851</v>
      </c>
      <c r="AH373" s="1605">
        <f t="shared" ref="AH373:AK373" si="2231">+AH372/AD372-1</f>
        <v>4.7519145174790056E-2</v>
      </c>
      <c r="AI373" s="1605">
        <f t="shared" si="2231"/>
        <v>-2.7833826649206417E-2</v>
      </c>
      <c r="AJ373" s="1605">
        <f t="shared" si="2231"/>
        <v>-4.3819561199369028E-2</v>
      </c>
      <c r="AK373" s="1605">
        <f t="shared" si="2231"/>
        <v>4.0098851955687742E-2</v>
      </c>
      <c r="AL373" s="1605"/>
      <c r="AM373" s="1866"/>
      <c r="AN373" s="1605"/>
      <c r="AO373" s="1605"/>
      <c r="AP373" s="1605"/>
      <c r="AQ373" s="1605"/>
      <c r="AR373" s="1605"/>
      <c r="AS373" s="1605"/>
      <c r="AT373" s="1605"/>
      <c r="AU373" s="1605"/>
      <c r="AV373" s="1605"/>
      <c r="AW373" s="1605"/>
      <c r="AX373" s="1605"/>
      <c r="AY373" s="1605"/>
      <c r="AZ373" s="1605"/>
      <c r="BA373" s="85"/>
      <c r="BB373" s="1605"/>
      <c r="BC373" s="2197"/>
      <c r="BD373" s="85"/>
      <c r="BE373" s="1605"/>
      <c r="BF373" s="1605">
        <f t="shared" ref="BF373:BR373" si="2232">+BF372/BE372-1</f>
        <v>0.13633253506671261</v>
      </c>
      <c r="BG373" s="1605">
        <f t="shared" si="2232"/>
        <v>6.5364294911075094E-2</v>
      </c>
      <c r="BH373" s="1605">
        <f t="shared" si="2232"/>
        <v>0.13578536593680424</v>
      </c>
      <c r="BI373" s="1605"/>
      <c r="BJ373" s="2059">
        <f>+BJ372/BH372-1</f>
        <v>0.22104493153093996</v>
      </c>
      <c r="BK373" s="1605">
        <f>+BK372/BJ372-1</f>
        <v>2.653495669893021</v>
      </c>
      <c r="BL373" s="1605">
        <f t="shared" si="2232"/>
        <v>0.1390053169268799</v>
      </c>
      <c r="BM373" s="1605">
        <f t="shared" si="2232"/>
        <v>0.11318158069085871</v>
      </c>
      <c r="BN373" s="1605">
        <f t="shared" si="2232"/>
        <v>-1.3588835191858273E-2</v>
      </c>
      <c r="BO373" s="1866">
        <f t="shared" si="2232"/>
        <v>0.16717389018487538</v>
      </c>
      <c r="BP373" s="1605">
        <f t="shared" si="2232"/>
        <v>0.10042041749953334</v>
      </c>
      <c r="BQ373" s="1605">
        <f t="shared" si="2232"/>
        <v>0.10985754030477346</v>
      </c>
      <c r="BR373" s="1605">
        <f t="shared" si="2232"/>
        <v>7.68617267389895E-2</v>
      </c>
      <c r="BS373" s="1605">
        <f t="shared" ref="BS373" si="2233">+BS372/BR372-1</f>
        <v>7.7224030673888278E-2</v>
      </c>
      <c r="BT373" s="1605">
        <f t="shared" ref="BT373" si="2234">+BT372/BS372-1</f>
        <v>7.7588201898378006E-2</v>
      </c>
      <c r="BU373" s="1605">
        <f t="shared" ref="BU373" si="2235">+BU372/BT372-1</f>
        <v>7.7954003258510651E-2</v>
      </c>
    </row>
    <row r="374" spans="2:73" s="1602" customFormat="1" ht="15" hidden="1" customHeight="1">
      <c r="B374" s="1602" t="s">
        <v>15</v>
      </c>
      <c r="C374" s="1609">
        <f t="shared" ref="C374:V374" si="2236">+C364+C372</f>
        <v>230.09999999999997</v>
      </c>
      <c r="D374" s="1609">
        <f t="shared" si="2236"/>
        <v>297.2</v>
      </c>
      <c r="E374" s="1609">
        <f t="shared" si="2236"/>
        <v>354.3</v>
      </c>
      <c r="F374" s="1609">
        <f t="shared" si="2236"/>
        <v>392.9</v>
      </c>
      <c r="G374" s="1609">
        <f t="shared" si="2236"/>
        <v>302.8</v>
      </c>
      <c r="H374" s="1609">
        <f t="shared" si="2236"/>
        <v>339.2</v>
      </c>
      <c r="I374" s="1609">
        <f t="shared" si="2236"/>
        <v>337</v>
      </c>
      <c r="J374" s="1609">
        <f t="shared" si="2236"/>
        <v>340</v>
      </c>
      <c r="K374" s="1609">
        <f t="shared" si="2236"/>
        <v>277.9455108377731</v>
      </c>
      <c r="L374" s="1609">
        <f t="shared" si="2236"/>
        <v>354.95444040013786</v>
      </c>
      <c r="M374" s="1609">
        <f t="shared" si="2236"/>
        <v>377.47233593181915</v>
      </c>
      <c r="N374" s="1609">
        <f t="shared" si="2236"/>
        <v>390.13363714706497</v>
      </c>
      <c r="O374" s="1609">
        <f t="shared" si="2236"/>
        <v>344.39851021264036</v>
      </c>
      <c r="P374" s="1609">
        <f t="shared" si="2236"/>
        <v>413.36034323067315</v>
      </c>
      <c r="Q374" s="1609">
        <f t="shared" si="2236"/>
        <v>357.9</v>
      </c>
      <c r="R374" s="1609">
        <f t="shared" si="2236"/>
        <v>463.8</v>
      </c>
      <c r="S374" s="1870">
        <f t="shared" si="2236"/>
        <v>368.4</v>
      </c>
      <c r="T374" s="1609">
        <f t="shared" si="2236"/>
        <v>448.3</v>
      </c>
      <c r="U374" s="1609">
        <f t="shared" si="2236"/>
        <v>440.2</v>
      </c>
      <c r="V374" s="1609">
        <f t="shared" si="2236"/>
        <v>504.1</v>
      </c>
      <c r="W374" s="1870">
        <f t="shared" ref="W374:AD374" si="2237">+W368+W372</f>
        <v>1372.345</v>
      </c>
      <c r="X374" s="1609">
        <f t="shared" si="2237"/>
        <v>1595.3089999999997</v>
      </c>
      <c r="Y374" s="1609">
        <f t="shared" si="2237"/>
        <v>2164.6950000000002</v>
      </c>
      <c r="Z374" s="1609">
        <f t="shared" si="2237"/>
        <v>2344.8419999999996</v>
      </c>
      <c r="AA374" s="1609">
        <f t="shared" si="2237"/>
        <v>1799.5539999999996</v>
      </c>
      <c r="AB374" s="1609">
        <f t="shared" si="2237"/>
        <v>1967.8130000000006</v>
      </c>
      <c r="AC374" s="1609">
        <f t="shared" si="2237"/>
        <v>2085.2720000000004</v>
      </c>
      <c r="AD374" s="1609">
        <f t="shared" si="2237"/>
        <v>2376.4360000000015</v>
      </c>
      <c r="AE374" s="1609">
        <f>+AE368+AE372</f>
        <v>1713.2469999999994</v>
      </c>
      <c r="AF374" s="1609">
        <f t="shared" ref="AF374:AH374" si="2238">+AF368+AF372</f>
        <v>2143.5590000000002</v>
      </c>
      <c r="AG374" s="1609">
        <f t="shared" si="2238"/>
        <v>2272.4430000000002</v>
      </c>
      <c r="AH374" s="1609">
        <f t="shared" si="2238"/>
        <v>2405.2859999999991</v>
      </c>
      <c r="AI374" s="1609">
        <f t="shared" ref="AI374:AJ374" si="2239">+AI368+AI372</f>
        <v>1475.7969999999991</v>
      </c>
      <c r="AJ374" s="1609">
        <f t="shared" si="2239"/>
        <v>1963.1499999999996</v>
      </c>
      <c r="AK374" s="1609">
        <f t="shared" ref="AK374" si="2240">+AK368+AK372</f>
        <v>1997.9938836801018</v>
      </c>
      <c r="AL374" s="1630">
        <f t="shared" ref="AL374:AP374" si="2241">+AL376*AL368</f>
        <v>2249.0131497230022</v>
      </c>
      <c r="AM374" s="2415">
        <f t="shared" si="2241"/>
        <v>1838.8793728927328</v>
      </c>
      <c r="AN374" s="1630">
        <f t="shared" si="2241"/>
        <v>2518.7312622473128</v>
      </c>
      <c r="AO374" s="1630">
        <f t="shared" si="2241"/>
        <v>2386.0165835623034</v>
      </c>
      <c r="AP374" s="1630">
        <f t="shared" si="2241"/>
        <v>2560.136026865453</v>
      </c>
      <c r="AQ374" s="1630">
        <f t="shared" ref="AQ374:AT374" si="2242">+AQ376*AQ368</f>
        <v>2124.1350379568448</v>
      </c>
      <c r="AR374" s="1630">
        <f t="shared" si="2242"/>
        <v>2941.0887835643543</v>
      </c>
      <c r="AS374" s="1630">
        <f t="shared" si="2242"/>
        <v>2786.2903427215815</v>
      </c>
      <c r="AT374" s="1630">
        <f t="shared" si="2242"/>
        <v>2937.6759502814284</v>
      </c>
      <c r="AU374" s="1630">
        <f t="shared" ref="AU374:AX374" si="2243">+AU376*AU368</f>
        <v>2476.1876083556022</v>
      </c>
      <c r="AV374" s="1630">
        <f t="shared" si="2243"/>
        <v>3467.7363863898904</v>
      </c>
      <c r="AW374" s="1630">
        <f t="shared" si="2243"/>
        <v>3285.4490521635807</v>
      </c>
      <c r="AX374" s="1630">
        <f t="shared" si="2243"/>
        <v>3400.3975530402304</v>
      </c>
      <c r="AY374" s="1630"/>
      <c r="AZ374" s="1630"/>
      <c r="BA374" s="85"/>
      <c r="BB374" s="1630">
        <v>2937.6759502814284</v>
      </c>
      <c r="BC374" s="2197"/>
      <c r="BD374" s="85"/>
      <c r="BE374" s="1609">
        <f>+SUM(C374:F374)</f>
        <v>1274.5</v>
      </c>
      <c r="BF374" s="1609">
        <f>+SUM(G374:J374)</f>
        <v>1319</v>
      </c>
      <c r="BG374" s="1609">
        <f>+SUM(K374:N374)</f>
        <v>1400.505924316795</v>
      </c>
      <c r="BH374" s="1609">
        <f>+SUM(O374:R374)</f>
        <v>1579.4588534433135</v>
      </c>
      <c r="BI374" s="1609"/>
      <c r="BJ374" s="2062">
        <f>+SUM(S374:V374)</f>
        <v>1761</v>
      </c>
      <c r="BK374" s="1609">
        <f>+SUM(W374:Z374)</f>
        <v>7477.1909999999998</v>
      </c>
      <c r="BL374" s="1609">
        <f>+SUM(AA374:AD374)</f>
        <v>8229.0750000000025</v>
      </c>
      <c r="BM374" s="1609">
        <f>+SUM(AE374:AH374)</f>
        <v>8534.5349999999999</v>
      </c>
      <c r="BN374" s="1609">
        <f>+SUM(AI374:AL374)</f>
        <v>7685.9540334031026</v>
      </c>
      <c r="BO374" s="1870">
        <f>+SUM(AM374:AP374)</f>
        <v>9303.7632455678031</v>
      </c>
      <c r="BP374" s="1609">
        <f>+SUM(AQ374:AT374)</f>
        <v>10789.190114524208</v>
      </c>
      <c r="BQ374" s="1609">
        <f>+SUM(AU374:AX374)</f>
        <v>12629.770599949305</v>
      </c>
      <c r="BR374" s="1604">
        <f t="shared" ref="BR374:BU374" si="2244">+BR376*BR368</f>
        <v>13600.516576578735</v>
      </c>
      <c r="BS374" s="1604">
        <f t="shared" si="2244"/>
        <v>14650.803285869175</v>
      </c>
      <c r="BT374" s="1604">
        <f t="shared" si="2244"/>
        <v>15787.532769186611</v>
      </c>
      <c r="BU374" s="1604">
        <f t="shared" si="2244"/>
        <v>17018.234150119628</v>
      </c>
    </row>
    <row r="375" spans="2:73" s="1602" customFormat="1" ht="15" hidden="1" customHeight="1">
      <c r="B375" s="1597" t="s">
        <v>316</v>
      </c>
      <c r="C375" s="1605"/>
      <c r="D375" s="1605"/>
      <c r="E375" s="1605"/>
      <c r="F375" s="1605"/>
      <c r="G375" s="1605">
        <f t="shared" ref="G375:S375" si="2245">+G374/C374-1</f>
        <v>0.31594958713602805</v>
      </c>
      <c r="H375" s="1605">
        <f t="shared" si="2245"/>
        <v>0.14131897711978469</v>
      </c>
      <c r="I375" s="1605">
        <f t="shared" si="2245"/>
        <v>-4.8828676263053983E-2</v>
      </c>
      <c r="J375" s="1605">
        <f t="shared" si="2245"/>
        <v>-0.1346398574700941</v>
      </c>
      <c r="K375" s="1605">
        <f t="shared" si="2245"/>
        <v>-8.2082196704844512E-2</v>
      </c>
      <c r="L375" s="1605">
        <f t="shared" si="2245"/>
        <v>4.6445873821161054E-2</v>
      </c>
      <c r="M375" s="1605">
        <f t="shared" si="2245"/>
        <v>0.12009595231993808</v>
      </c>
      <c r="N375" s="1605">
        <f t="shared" si="2245"/>
        <v>0.14745187396195591</v>
      </c>
      <c r="O375" s="1605">
        <f t="shared" si="2245"/>
        <v>0.23908642803608182</v>
      </c>
      <c r="P375" s="1605">
        <f t="shared" si="2245"/>
        <v>0.16454478711322706</v>
      </c>
      <c r="Q375" s="1605">
        <f t="shared" si="2245"/>
        <v>-5.1851047265499273E-2</v>
      </c>
      <c r="R375" s="1605">
        <f t="shared" si="2245"/>
        <v>0.18882340777287476</v>
      </c>
      <c r="S375" s="1866">
        <f t="shared" si="2245"/>
        <v>6.9691038362914126E-2</v>
      </c>
      <c r="T375" s="1605">
        <f t="shared" ref="T375:V375" si="2246">+T374/P374-1</f>
        <v>8.4525904193545331E-2</v>
      </c>
      <c r="U375" s="1605">
        <f t="shared" si="2246"/>
        <v>0.22995250069851925</v>
      </c>
      <c r="V375" s="1605">
        <f t="shared" si="2246"/>
        <v>8.6890901250538999E-2</v>
      </c>
      <c r="W375" s="1866">
        <f t="shared" ref="W375" si="2247">+W374/S374-1</f>
        <v>2.7251492942453859</v>
      </c>
      <c r="X375" s="1605">
        <f t="shared" ref="X375" si="2248">+X374/T374-1</f>
        <v>2.5585746152130264</v>
      </c>
      <c r="Y375" s="1605">
        <f t="shared" ref="Y375" si="2249">+Y374/U374-1</f>
        <v>3.9175261244888695</v>
      </c>
      <c r="Z375" s="1605">
        <f t="shared" ref="Z375" si="2250">+Z374/V374-1</f>
        <v>3.6515413608411018</v>
      </c>
      <c r="AA375" s="1605">
        <f t="shared" ref="AA375" si="2251">+AA374/W374-1</f>
        <v>0.31129854373353605</v>
      </c>
      <c r="AB375" s="1605">
        <f t="shared" ref="AB375" si="2252">+AB374/X374-1</f>
        <v>0.2334995916151672</v>
      </c>
      <c r="AC375" s="1605">
        <f t="shared" ref="AC375" si="2253">+AC374/Y374-1</f>
        <v>-3.6690157273888357E-2</v>
      </c>
      <c r="AD375" s="1605">
        <f t="shared" ref="AD375" si="2254">+AD374/Z374-1</f>
        <v>1.3473828940287591E-2</v>
      </c>
      <c r="AE375" s="1605">
        <f t="shared" ref="AE375" si="2255">+AE374/AA374-1</f>
        <v>-4.7960216809276202E-2</v>
      </c>
      <c r="AF375" s="1605">
        <f t="shared" ref="AF375" si="2256">+AF374/AB374-1</f>
        <v>8.9310315563521314E-2</v>
      </c>
      <c r="AG375" s="1605">
        <f t="shared" ref="AG375" si="2257">+AG374/AC374-1</f>
        <v>8.9758554279729452E-2</v>
      </c>
      <c r="AH375" s="1605">
        <f t="shared" ref="AH375:AI375" si="2258">+AH374/AD374-1</f>
        <v>1.2140028176646611E-2</v>
      </c>
      <c r="AI375" s="1605">
        <f t="shared" si="2258"/>
        <v>-0.13859647791591079</v>
      </c>
      <c r="AJ375" s="1605">
        <f t="shared" ref="AJ375:AP375" si="2259">+AJ374/AF374-1</f>
        <v>-8.4163300380349026E-2</v>
      </c>
      <c r="AK375" s="1605">
        <f t="shared" si="2259"/>
        <v>-0.12077271743225171</v>
      </c>
      <c r="AL375" s="1628">
        <f t="shared" si="2259"/>
        <v>-6.4970589891180097E-2</v>
      </c>
      <c r="AM375" s="1866">
        <f t="shared" si="2259"/>
        <v>0.24602460425975514</v>
      </c>
      <c r="AN375" s="1628">
        <f t="shared" si="2259"/>
        <v>0.28300499821578251</v>
      </c>
      <c r="AO375" s="1628">
        <f t="shared" si="2259"/>
        <v>0.19420615000457508</v>
      </c>
      <c r="AP375" s="1628">
        <f t="shared" si="2259"/>
        <v>0.13833750913407061</v>
      </c>
      <c r="AQ375" s="1628">
        <f t="shared" ref="AQ375" si="2260">+AQ374/AM374-1</f>
        <v>0.15512472937002797</v>
      </c>
      <c r="AR375" s="1628">
        <f t="shared" ref="AR375" si="2261">+AR374/AN374-1</f>
        <v>0.16768661573692345</v>
      </c>
      <c r="AS375" s="1628">
        <f t="shared" ref="AS375" si="2262">+AS374/AO374-1</f>
        <v>0.1677581630894085</v>
      </c>
      <c r="AT375" s="1628">
        <f t="shared" ref="AT375" si="2263">+AT374/AP374-1</f>
        <v>0.14746869676226648</v>
      </c>
      <c r="AU375" s="1628">
        <f t="shared" ref="AU375" si="2264">+AU374/AQ374-1</f>
        <v>0.16573926050266019</v>
      </c>
      <c r="AV375" s="1628">
        <f t="shared" ref="AV375" si="2265">+AV374/AR374-1</f>
        <v>0.17906552354644778</v>
      </c>
      <c r="AW375" s="1628">
        <f t="shared" ref="AW375" si="2266">+AW374/AS374-1</f>
        <v>0.1791481317608965</v>
      </c>
      <c r="AX375" s="1628">
        <f t="shared" ref="AX375" si="2267">+AX374/AT374-1</f>
        <v>0.15751281305021858</v>
      </c>
      <c r="AY375" s="1628"/>
      <c r="AZ375" s="1628"/>
      <c r="BA375" s="85"/>
      <c r="BB375" s="1628">
        <v>0.14746869676226648</v>
      </c>
      <c r="BC375" s="2197"/>
      <c r="BD375" s="85"/>
      <c r="BE375" s="1605"/>
      <c r="BF375" s="1605">
        <f t="shared" ref="BF375:BR375" si="2268">+BF374/BE374-1</f>
        <v>3.4915653197332253E-2</v>
      </c>
      <c r="BG375" s="1605">
        <f t="shared" si="2268"/>
        <v>6.1793725789837106E-2</v>
      </c>
      <c r="BH375" s="1605">
        <f t="shared" si="2268"/>
        <v>0.12777734532884355</v>
      </c>
      <c r="BI375" s="1605"/>
      <c r="BJ375" s="2059">
        <f>+BJ374/BH374-1</f>
        <v>0.11493882614347073</v>
      </c>
      <c r="BK375" s="1605">
        <f>+BK374/BJ374-1</f>
        <v>3.2459914821124363</v>
      </c>
      <c r="BL375" s="1605">
        <f t="shared" si="2268"/>
        <v>0.10055701399094974</v>
      </c>
      <c r="BM375" s="1605">
        <f t="shared" si="2268"/>
        <v>3.7119603357606668E-2</v>
      </c>
      <c r="BN375" s="1605">
        <f t="shared" si="2268"/>
        <v>-9.9429080388901969E-2</v>
      </c>
      <c r="BO375" s="1866">
        <f t="shared" si="2268"/>
        <v>0.21048905641820292</v>
      </c>
      <c r="BP375" s="1605">
        <f t="shared" si="2268"/>
        <v>0.15965871333452553</v>
      </c>
      <c r="BQ375" s="1605">
        <f t="shared" si="2268"/>
        <v>0.17059487004009144</v>
      </c>
      <c r="BR375" s="1605">
        <f t="shared" si="2268"/>
        <v>7.6861726738989722E-2</v>
      </c>
      <c r="BS375" s="1605">
        <f t="shared" ref="BS375" si="2269">+BS374/BR374-1</f>
        <v>7.7224030673888056E-2</v>
      </c>
      <c r="BT375" s="1605">
        <f t="shared" ref="BT375" si="2270">+BT374/BS374-1</f>
        <v>7.7588201898378006E-2</v>
      </c>
      <c r="BU375" s="1605">
        <f t="shared" ref="BU375" si="2271">+BU374/BT374-1</f>
        <v>7.7954003258510651E-2</v>
      </c>
    </row>
    <row r="376" spans="2:73" s="1606" customFormat="1" ht="15" hidden="1" customHeight="1">
      <c r="B376" s="1606" t="s">
        <v>317</v>
      </c>
      <c r="C376" s="1631">
        <f t="shared" ref="C376:V376" si="2272">+C374/C$364</f>
        <v>0.69769557307459051</v>
      </c>
      <c r="D376" s="1631">
        <f t="shared" si="2272"/>
        <v>0.68844104702339581</v>
      </c>
      <c r="E376" s="1631">
        <f t="shared" si="2272"/>
        <v>0.67964703625551515</v>
      </c>
      <c r="F376" s="1631">
        <f t="shared" si="2272"/>
        <v>0.68176297067499569</v>
      </c>
      <c r="G376" s="1631">
        <f t="shared" si="2272"/>
        <v>0.69673262770363553</v>
      </c>
      <c r="H376" s="1631">
        <f t="shared" si="2272"/>
        <v>0.6528098537336412</v>
      </c>
      <c r="I376" s="1631">
        <f t="shared" si="2272"/>
        <v>0.66984694891671637</v>
      </c>
      <c r="J376" s="1631">
        <f t="shared" si="2272"/>
        <v>0.64638783269961975</v>
      </c>
      <c r="K376" s="1631">
        <f t="shared" si="2272"/>
        <v>0.65619854208131545</v>
      </c>
      <c r="L376" s="1631">
        <f t="shared" si="2272"/>
        <v>0.67282002894864545</v>
      </c>
      <c r="M376" s="1631">
        <f t="shared" si="2272"/>
        <v>0.67271501226596664</v>
      </c>
      <c r="N376" s="1631">
        <f t="shared" si="2272"/>
        <v>0.6546105778505934</v>
      </c>
      <c r="O376" s="1631">
        <f t="shared" si="2272"/>
        <v>0.67659146527021652</v>
      </c>
      <c r="P376" s="1631">
        <f t="shared" si="2272"/>
        <v>0.66557371878675176</v>
      </c>
      <c r="Q376" s="1631">
        <f t="shared" si="2272"/>
        <v>0.69146058732612048</v>
      </c>
      <c r="R376" s="1631">
        <f t="shared" si="2272"/>
        <v>0.63050570962479613</v>
      </c>
      <c r="S376" s="1871">
        <f t="shared" si="2272"/>
        <v>0.6515741068270251</v>
      </c>
      <c r="T376" s="1631">
        <f t="shared" si="2272"/>
        <v>0.65150414183984884</v>
      </c>
      <c r="U376" s="1631">
        <f t="shared" si="2272"/>
        <v>0.65176191886289603</v>
      </c>
      <c r="V376" s="1631">
        <f t="shared" si="2272"/>
        <v>0.61959193706981319</v>
      </c>
      <c r="W376" s="1871">
        <f t="shared" ref="W376:AD376" si="2273">+W374/W368</f>
        <v>0.67351215526147246</v>
      </c>
      <c r="X376" s="1631">
        <f t="shared" si="2273"/>
        <v>0.67558363142892341</v>
      </c>
      <c r="Y376" s="1631">
        <f t="shared" si="2273"/>
        <v>0.68008139506389265</v>
      </c>
      <c r="Z376" s="1631">
        <f t="shared" si="2273"/>
        <v>0.67358664387329514</v>
      </c>
      <c r="AA376" s="1631">
        <f t="shared" si="2273"/>
        <v>0.68259297892920134</v>
      </c>
      <c r="AB376" s="1631">
        <f t="shared" si="2273"/>
        <v>0.66414719008328615</v>
      </c>
      <c r="AC376" s="1631">
        <f t="shared" si="2273"/>
        <v>0.68160666913342327</v>
      </c>
      <c r="AD376" s="1631">
        <f t="shared" si="2273"/>
        <v>0.65021864241963934</v>
      </c>
      <c r="AE376" s="1631">
        <f t="shared" ref="AE376:AG376" si="2274">+AE374/AE368</f>
        <v>0.65398645187346016</v>
      </c>
      <c r="AF376" s="1631">
        <f t="shared" si="2274"/>
        <v>0.64621944145988808</v>
      </c>
      <c r="AG376" s="1631">
        <f t="shared" si="2274"/>
        <v>0.66836991298178994</v>
      </c>
      <c r="AH376" s="1631">
        <f>+AH374/AH368</f>
        <v>0.64236475356423317</v>
      </c>
      <c r="AI376" s="1631">
        <f>+AI374/AI368</f>
        <v>0.62612886282582458</v>
      </c>
      <c r="AJ376" s="1631">
        <f>+AJ374/AJ368</f>
        <v>0.63630299580843519</v>
      </c>
      <c r="AK376" s="1631">
        <f>+AK374/AK368</f>
        <v>0.6301345381620902</v>
      </c>
      <c r="AL376" s="1601">
        <f>+AK376+0.2%</f>
        <v>0.6321345381620902</v>
      </c>
      <c r="AM376" s="1877">
        <f>+AL376+0.3%</f>
        <v>0.6351345381620902</v>
      </c>
      <c r="AN376" s="1601">
        <f>+AM376+0.3%</f>
        <v>0.6381345381620902</v>
      </c>
      <c r="AO376" s="1601">
        <f>+AN376+0.3%</f>
        <v>0.64113453816209021</v>
      </c>
      <c r="AP376" s="1601">
        <f>+AO376+0.3%</f>
        <v>0.64413453816209021</v>
      </c>
      <c r="AQ376" s="1601">
        <f t="shared" ref="AQ376:AT376" si="2275">+AP376+0.3%</f>
        <v>0.64713453816209021</v>
      </c>
      <c r="AR376" s="1601">
        <f t="shared" si="2275"/>
        <v>0.65013453816209021</v>
      </c>
      <c r="AS376" s="1601">
        <f t="shared" si="2275"/>
        <v>0.65313453816209022</v>
      </c>
      <c r="AT376" s="1601">
        <f t="shared" si="2275"/>
        <v>0.65613453816209022</v>
      </c>
      <c r="AU376" s="1601">
        <f t="shared" ref="AU376" si="2276">+AT376+0.3%</f>
        <v>0.65913453816209022</v>
      </c>
      <c r="AV376" s="1601">
        <f t="shared" ref="AV376" si="2277">+AU376+0.3%</f>
        <v>0.66213453816209022</v>
      </c>
      <c r="AW376" s="1601">
        <f t="shared" ref="AW376" si="2278">+AV376+0.3%</f>
        <v>0.66513453816209023</v>
      </c>
      <c r="AX376" s="1601">
        <f t="shared" ref="AX376" si="2279">+AW376+0.3%</f>
        <v>0.66813453816209023</v>
      </c>
      <c r="AY376" s="1601"/>
      <c r="AZ376" s="1601"/>
      <c r="BA376" s="2257"/>
      <c r="BB376" s="1601">
        <v>0.65613453816209022</v>
      </c>
      <c r="BC376" s="2200"/>
      <c r="BD376" s="2257"/>
      <c r="BE376" s="1631">
        <f>+BE374/BE$364</f>
        <v>0.68554676994244534</v>
      </c>
      <c r="BF376" s="1631">
        <f>+BF374/BF$364</f>
        <v>0.66505319417133058</v>
      </c>
      <c r="BG376" s="1631">
        <f>+BG374/BG$364</f>
        <v>0.66430495468659112</v>
      </c>
      <c r="BH376" s="1631">
        <f>+BH374/BH$364</f>
        <v>0.66272523418512241</v>
      </c>
      <c r="BI376" s="1631"/>
      <c r="BJ376" s="2063">
        <f>+BJ374/BJ$364</f>
        <v>0.64211485870556062</v>
      </c>
      <c r="BK376" s="1631">
        <f t="shared" ref="BK376" si="2280">+BK374/BK$368</f>
        <v>0.67586779723616275</v>
      </c>
      <c r="BL376" s="1631">
        <f>+BL374/BL$368</f>
        <v>0.66830019326035683</v>
      </c>
      <c r="BM376" s="1631">
        <f t="shared" ref="BM376:BN376" si="2281">+BM374/BM$368</f>
        <v>0.65242872659155415</v>
      </c>
      <c r="BN376" s="1631">
        <f t="shared" si="2281"/>
        <v>0.63150711414634353</v>
      </c>
      <c r="BO376" s="1871">
        <f t="shared" ref="BO376:BP376" si="2282">+BO374/BO$368</f>
        <v>0.63994533923854813</v>
      </c>
      <c r="BP376" s="1631">
        <f t="shared" si="2282"/>
        <v>0.65193607440104429</v>
      </c>
      <c r="BQ376" s="1631">
        <f t="shared" ref="BQ376" si="2283">+BQ374/BQ$368</f>
        <v>0.66392631715592088</v>
      </c>
      <c r="BR376" s="1632">
        <f t="shared" ref="BR376" si="2284">+BQ376+BR377</f>
        <v>0.66392631715592088</v>
      </c>
      <c r="BS376" s="1632">
        <f t="shared" ref="BS376" si="2285">+BR376+BS377</f>
        <v>0.66392631715592088</v>
      </c>
      <c r="BT376" s="1632">
        <f t="shared" ref="BT376" si="2286">+BS376+BT377</f>
        <v>0.66392631715592088</v>
      </c>
      <c r="BU376" s="1632">
        <f t="shared" ref="BU376" si="2287">+BT376+BU377</f>
        <v>0.66392631715592088</v>
      </c>
    </row>
    <row r="377" spans="2:73" s="1602" customFormat="1" ht="15" hidden="1" customHeight="1">
      <c r="B377" s="1597" t="s">
        <v>354</v>
      </c>
      <c r="C377" s="1607"/>
      <c r="D377" s="1607"/>
      <c r="E377" s="1607"/>
      <c r="F377" s="1607"/>
      <c r="G377" s="1607"/>
      <c r="H377" s="1607"/>
      <c r="I377" s="1607"/>
      <c r="J377" s="1613">
        <f t="shared" ref="J377:R377" si="2288">+J376-F376</f>
        <v>-3.5375137975375948E-2</v>
      </c>
      <c r="K377" s="1613">
        <f t="shared" si="2288"/>
        <v>-4.0534085622320082E-2</v>
      </c>
      <c r="L377" s="1613">
        <f t="shared" si="2288"/>
        <v>2.0010175215004256E-2</v>
      </c>
      <c r="M377" s="1613">
        <f t="shared" si="2288"/>
        <v>2.8680633492502716E-3</v>
      </c>
      <c r="N377" s="1613">
        <f t="shared" si="2288"/>
        <v>8.2227451509736538E-3</v>
      </c>
      <c r="O377" s="1613">
        <f t="shared" si="2288"/>
        <v>2.0392923188901069E-2</v>
      </c>
      <c r="P377" s="1613">
        <f t="shared" si="2288"/>
        <v>-7.2463101618936987E-3</v>
      </c>
      <c r="Q377" s="1613">
        <f t="shared" si="2288"/>
        <v>1.8745575060153841E-2</v>
      </c>
      <c r="R377" s="1613">
        <f t="shared" si="2288"/>
        <v>-2.4104868225797271E-2</v>
      </c>
      <c r="S377" s="1872">
        <f>+S376-O376</f>
        <v>-2.5017358443191418E-2</v>
      </c>
      <c r="T377" s="1613">
        <f>+T376-P376</f>
        <v>-1.4069576946902917E-2</v>
      </c>
      <c r="U377" s="1613">
        <f>+U376-Q376</f>
        <v>-3.9698668463224451E-2</v>
      </c>
      <c r="V377" s="1613">
        <f>+V376-R376</f>
        <v>-1.0913772554982937E-2</v>
      </c>
      <c r="W377" s="1872">
        <f t="shared" ref="W377" si="2289">+W376-S376</f>
        <v>2.1938048434447355E-2</v>
      </c>
      <c r="X377" s="1613">
        <f t="shared" ref="X377" si="2290">+X376-T376</f>
        <v>2.4079489589074576E-2</v>
      </c>
      <c r="Y377" s="1613">
        <f t="shared" ref="Y377" si="2291">+Y376-U376</f>
        <v>2.8319476200996618E-2</v>
      </c>
      <c r="Z377" s="1613">
        <f t="shared" ref="Z377" si="2292">+Z376-V376</f>
        <v>5.3994706803481951E-2</v>
      </c>
      <c r="AA377" s="1613">
        <f t="shared" ref="AA377" si="2293">+AA376-W376</f>
        <v>9.0808236677288878E-3</v>
      </c>
      <c r="AB377" s="1613">
        <f t="shared" ref="AB377" si="2294">+AB376-X376</f>
        <v>-1.143644134563726E-2</v>
      </c>
      <c r="AC377" s="1613">
        <f t="shared" ref="AC377" si="2295">+AC376-Y376</f>
        <v>1.5252740695306244E-3</v>
      </c>
      <c r="AD377" s="1613">
        <f t="shared" ref="AD377" si="2296">+AD376-Z376</f>
        <v>-2.3368001453655807E-2</v>
      </c>
      <c r="AE377" s="1613">
        <f t="shared" ref="AE377:AI377" si="2297">+AE376-AA376</f>
        <v>-2.8606527055741182E-2</v>
      </c>
      <c r="AF377" s="1613">
        <f t="shared" si="2297"/>
        <v>-1.7927748623398077E-2</v>
      </c>
      <c r="AG377" s="1613">
        <f t="shared" si="2297"/>
        <v>-1.3236756151633333E-2</v>
      </c>
      <c r="AH377" s="1613">
        <f t="shared" si="2297"/>
        <v>-7.8538888554061659E-3</v>
      </c>
      <c r="AI377" s="1613">
        <f t="shared" si="2297"/>
        <v>-2.7857589047635578E-2</v>
      </c>
      <c r="AJ377" s="1613">
        <f t="shared" ref="AJ377:AP377" si="2298">+AJ376-AF376</f>
        <v>-9.9164456514528876E-3</v>
      </c>
      <c r="AK377" s="1613">
        <f t="shared" si="2298"/>
        <v>-3.8235374819699741E-2</v>
      </c>
      <c r="AL377" s="1633">
        <f t="shared" si="2298"/>
        <v>-1.0230215402142973E-2</v>
      </c>
      <c r="AM377" s="1872">
        <f t="shared" si="2298"/>
        <v>9.0056753362656172E-3</v>
      </c>
      <c r="AN377" s="1633">
        <f t="shared" si="2298"/>
        <v>1.8315423536550135E-3</v>
      </c>
      <c r="AO377" s="1633">
        <f t="shared" si="2298"/>
        <v>1.100000000000001E-2</v>
      </c>
      <c r="AP377" s="1633">
        <f t="shared" si="2298"/>
        <v>1.2000000000000011E-2</v>
      </c>
      <c r="AQ377" s="1633">
        <f t="shared" ref="AQ377" si="2299">+AQ376-AM376</f>
        <v>1.2000000000000011E-2</v>
      </c>
      <c r="AR377" s="1633">
        <f t="shared" ref="AR377" si="2300">+AR376-AN376</f>
        <v>1.2000000000000011E-2</v>
      </c>
      <c r="AS377" s="1633">
        <f t="shared" ref="AS377" si="2301">+AS376-AO376</f>
        <v>1.2000000000000011E-2</v>
      </c>
      <c r="AT377" s="1633">
        <f t="shared" ref="AT377" si="2302">+AT376-AP376</f>
        <v>1.2000000000000011E-2</v>
      </c>
      <c r="AU377" s="1633">
        <f t="shared" ref="AU377" si="2303">+AU376-AQ376</f>
        <v>1.2000000000000011E-2</v>
      </c>
      <c r="AV377" s="1633">
        <f t="shared" ref="AV377" si="2304">+AV376-AR376</f>
        <v>1.2000000000000011E-2</v>
      </c>
      <c r="AW377" s="1633">
        <f t="shared" ref="AW377" si="2305">+AW376-AS376</f>
        <v>1.2000000000000011E-2</v>
      </c>
      <c r="AX377" s="1633">
        <f t="shared" ref="AX377" si="2306">+AX376-AT376</f>
        <v>1.2000000000000011E-2</v>
      </c>
      <c r="AY377" s="1633"/>
      <c r="AZ377" s="1633"/>
      <c r="BA377" s="85"/>
      <c r="BB377" s="1633">
        <v>1.2000000000000011E-2</v>
      </c>
      <c r="BC377" s="2197"/>
      <c r="BD377" s="85"/>
      <c r="BE377" s="1613">
        <f>+BE376-BC376</f>
        <v>0.68554676994244534</v>
      </c>
      <c r="BF377" s="1613">
        <f t="shared" ref="BF377:BQ377" si="2307">+BF376-BE376</f>
        <v>-2.0493575771114769E-2</v>
      </c>
      <c r="BG377" s="1613">
        <f t="shared" si="2307"/>
        <v>-7.4823948473945467E-4</v>
      </c>
      <c r="BH377" s="1613">
        <f t="shared" si="2307"/>
        <v>-1.5797205014687066E-3</v>
      </c>
      <c r="BI377" s="1613"/>
      <c r="BJ377" s="2064">
        <f>+BJ376-BH376</f>
        <v>-2.0610375479561793E-2</v>
      </c>
      <c r="BK377" s="1613">
        <f>+BK376-BJ376</f>
        <v>3.3752938530602128E-2</v>
      </c>
      <c r="BL377" s="1613">
        <f t="shared" si="2307"/>
        <v>-7.5676039758059144E-3</v>
      </c>
      <c r="BM377" s="1613">
        <f t="shared" si="2307"/>
        <v>-1.5871466668802681E-2</v>
      </c>
      <c r="BN377" s="1613">
        <f t="shared" si="2307"/>
        <v>-2.0921612445210624E-2</v>
      </c>
      <c r="BO377" s="1872">
        <f t="shared" si="2307"/>
        <v>8.4382250922045987E-3</v>
      </c>
      <c r="BP377" s="1613">
        <f t="shared" si="2307"/>
        <v>1.1990735162496158E-2</v>
      </c>
      <c r="BQ377" s="1613">
        <f t="shared" si="2307"/>
        <v>1.199024275487659E-2</v>
      </c>
      <c r="BR377" s="1634">
        <v>0</v>
      </c>
      <c r="BS377" s="1634">
        <v>0</v>
      </c>
      <c r="BT377" s="1634">
        <v>0</v>
      </c>
      <c r="BU377" s="1634">
        <v>0</v>
      </c>
    </row>
    <row r="378" spans="2:73" s="1602" customFormat="1" ht="15" hidden="1" customHeight="1">
      <c r="B378" s="1597"/>
      <c r="C378" s="1607"/>
      <c r="D378" s="1607"/>
      <c r="E378" s="1607"/>
      <c r="F378" s="1607"/>
      <c r="G378" s="1607"/>
      <c r="H378" s="1607"/>
      <c r="I378" s="1607"/>
      <c r="J378" s="1613"/>
      <c r="K378" s="1613"/>
      <c r="L378" s="1613"/>
      <c r="M378" s="1613"/>
      <c r="N378" s="1613"/>
      <c r="O378" s="1613"/>
      <c r="P378" s="1613"/>
      <c r="Q378" s="1613"/>
      <c r="R378" s="1613"/>
      <c r="S378" s="1872"/>
      <c r="T378" s="1613"/>
      <c r="U378" s="1634"/>
      <c r="V378" s="1634"/>
      <c r="W378" s="1873"/>
      <c r="X378" s="1634"/>
      <c r="Y378" s="1634"/>
      <c r="Z378" s="1634"/>
      <c r="AA378" s="1634"/>
      <c r="AB378" s="1634"/>
      <c r="AC378" s="1634"/>
      <c r="AD378" s="1634"/>
      <c r="AE378" s="1634"/>
      <c r="AF378" s="1634"/>
      <c r="AG378" s="1634"/>
      <c r="AH378" s="1634"/>
      <c r="AI378" s="1634"/>
      <c r="AJ378" s="1634"/>
      <c r="AK378" s="1634"/>
      <c r="AL378" s="1635"/>
      <c r="AM378" s="1873"/>
      <c r="AN378" s="1635"/>
      <c r="AO378" s="1635"/>
      <c r="AP378" s="1635"/>
      <c r="AQ378" s="1635"/>
      <c r="AR378" s="1635"/>
      <c r="AS378" s="1635"/>
      <c r="AT378" s="1635"/>
      <c r="AU378" s="1635"/>
      <c r="AV378" s="1635"/>
      <c r="AW378" s="1635"/>
      <c r="AX378" s="1635"/>
      <c r="AY378" s="1635"/>
      <c r="AZ378" s="1635"/>
      <c r="BA378" s="85"/>
      <c r="BB378" s="1635"/>
      <c r="BC378" s="2197"/>
      <c r="BD378" s="85"/>
      <c r="BE378" s="1599"/>
      <c r="BF378" s="1599"/>
      <c r="BG378" s="1599"/>
      <c r="BH378" s="1599"/>
      <c r="BI378" s="1599"/>
      <c r="BJ378" s="2065"/>
      <c r="BK378" s="1599"/>
      <c r="BL378" s="1599"/>
      <c r="BM378" s="1599"/>
      <c r="BN378" s="1599"/>
      <c r="BO378" s="1975"/>
      <c r="BP378" s="1599"/>
      <c r="BQ378" s="1599"/>
      <c r="BR378" s="1601"/>
      <c r="BS378" s="1601"/>
      <c r="BT378" s="1601"/>
      <c r="BU378" s="1601"/>
    </row>
    <row r="379" spans="2:73" s="1602" customFormat="1" ht="15" hidden="1" customHeight="1">
      <c r="B379" s="1602" t="s">
        <v>16</v>
      </c>
      <c r="C379" s="1626">
        <v>-160.60000000000002</v>
      </c>
      <c r="D379" s="1626">
        <v>-199.2</v>
      </c>
      <c r="E379" s="1626">
        <v>-226.5</v>
      </c>
      <c r="F379" s="1626">
        <v>-266.39999999999998</v>
      </c>
      <c r="G379" s="1626">
        <v>-193.3</v>
      </c>
      <c r="H379" s="1626">
        <v>-222</v>
      </c>
      <c r="I379" s="1626">
        <v>-207.7</v>
      </c>
      <c r="J379" s="1626">
        <v>-233.3</v>
      </c>
      <c r="K379" s="1626">
        <v>-191.55214775942568</v>
      </c>
      <c r="L379" s="1626">
        <v>-220.95914130325889</v>
      </c>
      <c r="M379" s="1626">
        <v>-216.42508037114879</v>
      </c>
      <c r="N379" s="1626">
        <v>-253.37013495083454</v>
      </c>
      <c r="O379" s="1626">
        <v>-216.30211613782438</v>
      </c>
      <c r="P379" s="1626">
        <v>-257.12932464729442</v>
      </c>
      <c r="Q379" s="1626">
        <v>-222.5</v>
      </c>
      <c r="R379" s="1626">
        <v>-298.8</v>
      </c>
      <c r="S379" s="1974">
        <f>-236.4+0.5</f>
        <v>-235.9</v>
      </c>
      <c r="T379" s="1626">
        <f>-311.6+0.1</f>
        <v>-311.5</v>
      </c>
      <c r="U379" s="1626">
        <f>-261.3+1.2</f>
        <v>-260.10000000000002</v>
      </c>
      <c r="V379" s="1626">
        <f>-347+1.2</f>
        <v>-345.8</v>
      </c>
      <c r="W379" s="1868">
        <f t="shared" ref="W379:AK379" si="2308">+W259-W552-W620</f>
        <v>-857.76600000000008</v>
      </c>
      <c r="X379" s="1611">
        <f t="shared" si="2308"/>
        <v>-691.55099999999993</v>
      </c>
      <c r="Y379" s="1611">
        <f t="shared" si="2308"/>
        <v>-1186.279</v>
      </c>
      <c r="Z379" s="1611">
        <f t="shared" si="2308"/>
        <v>-1349.1730000000011</v>
      </c>
      <c r="AA379" s="1611">
        <f t="shared" si="2308"/>
        <v>-927.47900000000016</v>
      </c>
      <c r="AB379" s="1611">
        <f t="shared" si="2308"/>
        <v>-1053.039</v>
      </c>
      <c r="AC379" s="1611">
        <f t="shared" si="2308"/>
        <v>-1124.1079999999999</v>
      </c>
      <c r="AD379" s="1611">
        <f t="shared" si="2308"/>
        <v>-1330.7990000000004</v>
      </c>
      <c r="AE379" s="1611">
        <f t="shared" si="2308"/>
        <v>-913.70999999999992</v>
      </c>
      <c r="AF379" s="1611">
        <f t="shared" si="2308"/>
        <v>-1118.6590000000001</v>
      </c>
      <c r="AG379" s="1611">
        <f t="shared" si="2308"/>
        <v>-1342.4590000000003</v>
      </c>
      <c r="AH379" s="1611">
        <f t="shared" si="2308"/>
        <v>-1358.5919999999999</v>
      </c>
      <c r="AI379" s="1611">
        <f t="shared" si="2308"/>
        <v>-648.11499999999978</v>
      </c>
      <c r="AJ379" s="1611">
        <f t="shared" si="2308"/>
        <v>-1037.7349999999999</v>
      </c>
      <c r="AK379" s="1611">
        <f t="shared" si="2308"/>
        <v>-1059.3449478047289</v>
      </c>
      <c r="AL379" s="1636">
        <f t="shared" ref="AL379:AP379" si="2309">+AL381*AL$368</f>
        <v>-1181.5480965677946</v>
      </c>
      <c r="AM379" s="1869">
        <f t="shared" si="2309"/>
        <v>-955.72531616391734</v>
      </c>
      <c r="AN379" s="1636">
        <f t="shared" si="2309"/>
        <v>-1295.0181854000855</v>
      </c>
      <c r="AO379" s="1636">
        <f t="shared" si="2309"/>
        <v>-1213.5988011688423</v>
      </c>
      <c r="AP379" s="1636">
        <f t="shared" si="2309"/>
        <v>-1288.147340928228</v>
      </c>
      <c r="AQ379" s="1636">
        <f t="shared" ref="AQ379:AT379" si="2310">+AQ381*AQ$368</f>
        <v>-1057.2515350589979</v>
      </c>
      <c r="AR379" s="1636">
        <f t="shared" si="2310"/>
        <v>-1448.0735699929044</v>
      </c>
      <c r="AS379" s="1636">
        <f t="shared" si="2310"/>
        <v>-1357.023739892802</v>
      </c>
      <c r="AT379" s="1636">
        <f t="shared" si="2310"/>
        <v>-1415.2577493886924</v>
      </c>
      <c r="AU379" s="1636">
        <f t="shared" ref="AU379:AX379" si="2311">+AU381*AU$368</f>
        <v>-1179.9876739829344</v>
      </c>
      <c r="AV379" s="1636">
        <f t="shared" si="2311"/>
        <v>-1634.532874665395</v>
      </c>
      <c r="AW379" s="1636">
        <f t="shared" si="2311"/>
        <v>-1531.747081143347</v>
      </c>
      <c r="AX379" s="1636">
        <f t="shared" si="2311"/>
        <v>-1568.041415827114</v>
      </c>
      <c r="AY379" s="1636"/>
      <c r="AZ379" s="1636"/>
      <c r="BA379" s="85"/>
      <c r="BB379" s="1636">
        <v>-1415.2577493886924</v>
      </c>
      <c r="BC379" s="2197"/>
      <c r="BD379" s="85"/>
      <c r="BE379" s="1627">
        <f>+SUM(C379:F379)</f>
        <v>-852.69999999999993</v>
      </c>
      <c r="BF379" s="1627">
        <f>+SUM(G379:J379)</f>
        <v>-856.3</v>
      </c>
      <c r="BG379" s="1627">
        <f>+SUM(K379:N379)</f>
        <v>-882.30650438466785</v>
      </c>
      <c r="BH379" s="1627">
        <f>+SUM(O379:R379)</f>
        <v>-994.73144078511882</v>
      </c>
      <c r="BI379" s="1627"/>
      <c r="BJ379" s="2061">
        <f>+SUM(S379:V379)</f>
        <v>-1153.3</v>
      </c>
      <c r="BK379" s="1627">
        <f>+SUM(W379:Z379)</f>
        <v>-4084.7690000000011</v>
      </c>
      <c r="BL379" s="1627">
        <f>+SUM(AA379:AD379)</f>
        <v>-4435.4250000000011</v>
      </c>
      <c r="BM379" s="1627">
        <f>+SUM(AE379:AH379)</f>
        <v>-4733.42</v>
      </c>
      <c r="BN379" s="1627">
        <f>+SUM(AI379:AL379)</f>
        <v>-3926.7430443725234</v>
      </c>
      <c r="BO379" s="1876">
        <f>+SUM(AM379:AP379)</f>
        <v>-4752.4896436610734</v>
      </c>
      <c r="BP379" s="1627">
        <f>+SUM(AQ379:AT379)</f>
        <v>-5277.6065943333961</v>
      </c>
      <c r="BQ379" s="1627">
        <f>+SUM(AU379:AX379)</f>
        <v>-5914.3090456187902</v>
      </c>
      <c r="BR379" s="1608">
        <f>+BR381*BR$368</f>
        <v>-6368.893051333077</v>
      </c>
      <c r="BS379" s="1608">
        <f>+BS381*BS$368</f>
        <v>-6860.7246436879359</v>
      </c>
      <c r="BT379" s="1608">
        <f>+BT381*BT$368</f>
        <v>-7393.0359325115724</v>
      </c>
      <c r="BU379" s="1608">
        <f>+BU381*BU$368</f>
        <v>-7969.3526796848655</v>
      </c>
    </row>
    <row r="380" spans="2:73" s="1602" customFormat="1" ht="15" hidden="1" customHeight="1">
      <c r="B380" s="1597" t="s">
        <v>316</v>
      </c>
      <c r="C380" s="1637" t="str">
        <f>IF(ISNUMBER((C379/#REF!-1)),IF(#REF!=0,"NMF",IF(OR(#REF!*C379&lt;0,C379/#REF!-1&gt;10),"NMF",C379/#REF!-1)),"")</f>
        <v/>
      </c>
      <c r="D380" s="1637" t="str">
        <f>IF(ISNUMBER((D379/#REF!-1)),IF(#REF!=0,"NMF",IF(OR(#REF!*D379&lt;0,D379/#REF!-1&gt;10),"NMF",D379/#REF!-1)),"")</f>
        <v/>
      </c>
      <c r="E380" s="1637" t="str">
        <f>IF(ISNUMBER((E379/#REF!-1)),IF(#REF!=0,"NMF",IF(OR(#REF!*E379&lt;0,E379/#REF!-1&gt;10),"NMF",E379/#REF!-1)),"")</f>
        <v/>
      </c>
      <c r="F380" s="1637" t="str">
        <f>IF(ISNUMBER((F379/A379-1)),IF(A379=0,"NMF",IF(OR(A379*F379&lt;0,F379/A379-1&gt;10),"NMF",F379/A379-1)),"")</f>
        <v/>
      </c>
      <c r="G380" s="1605">
        <f t="shared" ref="G380:V380" si="2312">+G379/C379-1</f>
        <v>0.2036114570361145</v>
      </c>
      <c r="H380" s="1605">
        <f t="shared" si="2312"/>
        <v>0.1144578313253013</v>
      </c>
      <c r="I380" s="1605">
        <f t="shared" si="2312"/>
        <v>-8.3002207505518788E-2</v>
      </c>
      <c r="J380" s="1605">
        <f t="shared" si="2312"/>
        <v>-0.12424924924924918</v>
      </c>
      <c r="K380" s="1605">
        <f t="shared" si="2312"/>
        <v>-9.0421740329763578E-3</v>
      </c>
      <c r="L380" s="1605">
        <f t="shared" si="2312"/>
        <v>-4.6885526880230399E-3</v>
      </c>
      <c r="M380" s="1605">
        <f t="shared" si="2312"/>
        <v>4.2008090376258078E-2</v>
      </c>
      <c r="N380" s="1605">
        <f t="shared" si="2312"/>
        <v>8.6027153668386314E-2</v>
      </c>
      <c r="O380" s="1605">
        <f t="shared" si="2312"/>
        <v>0.12920746996521659</v>
      </c>
      <c r="P380" s="1605">
        <f t="shared" si="2312"/>
        <v>0.16369625230572926</v>
      </c>
      <c r="Q380" s="1605">
        <f t="shared" si="2312"/>
        <v>2.8069388346458224E-2</v>
      </c>
      <c r="R380" s="1605">
        <f t="shared" si="2312"/>
        <v>0.17930236749481532</v>
      </c>
      <c r="S380" s="1866">
        <f t="shared" si="2312"/>
        <v>9.060421697256138E-2</v>
      </c>
      <c r="T380" s="1605">
        <f t="shared" si="2312"/>
        <v>0.21145264324590785</v>
      </c>
      <c r="U380" s="1605">
        <f t="shared" si="2312"/>
        <v>0.1689887640449439</v>
      </c>
      <c r="V380" s="1605">
        <f t="shared" si="2312"/>
        <v>0.15729585006693436</v>
      </c>
      <c r="W380" s="1866">
        <f t="shared" ref="W380" si="2313">+W379/S379-1</f>
        <v>2.6361424332344217</v>
      </c>
      <c r="X380" s="1605">
        <f t="shared" ref="X380" si="2314">+X379/T379-1</f>
        <v>1.2200674157303371</v>
      </c>
      <c r="Y380" s="1605">
        <f t="shared" ref="Y380" si="2315">+Y379/U379-1</f>
        <v>3.5608573625528637</v>
      </c>
      <c r="Z380" s="1605">
        <f t="shared" ref="Z380" si="2316">+Z379/V379-1</f>
        <v>2.9015991902834042</v>
      </c>
      <c r="AA380" s="1605">
        <f t="shared" ref="AA380" si="2317">+AA379/W379-1</f>
        <v>8.1272748045504439E-2</v>
      </c>
      <c r="AB380" s="1605">
        <f t="shared" ref="AB380" si="2318">+AB379/X379-1</f>
        <v>0.52272066702238895</v>
      </c>
      <c r="AC380" s="1605">
        <f t="shared" ref="AC380" si="2319">+AC379/Y379-1</f>
        <v>-5.2408413197907122E-2</v>
      </c>
      <c r="AD380" s="1605">
        <f t="shared" ref="AD380" si="2320">+AD379/Z379-1</f>
        <v>-1.361871309313234E-2</v>
      </c>
      <c r="AE380" s="1605">
        <f t="shared" ref="AE380" si="2321">+AE379/AA379-1</f>
        <v>-1.4845619146094169E-2</v>
      </c>
      <c r="AF380" s="1605">
        <f t="shared" ref="AF380" si="2322">+AF379/AB379-1</f>
        <v>6.2314881025299362E-2</v>
      </c>
      <c r="AG380" s="1605">
        <f t="shared" ref="AG380" si="2323">+AG379/AC379-1</f>
        <v>0.19424379152181137</v>
      </c>
      <c r="AH380" s="1605">
        <f t="shared" ref="AH380:AK380" si="2324">+AH379/AD379-1</f>
        <v>2.0884446110944976E-2</v>
      </c>
      <c r="AI380" s="1605">
        <f t="shared" si="2324"/>
        <v>-0.2906775672806472</v>
      </c>
      <c r="AJ380" s="1605">
        <f t="shared" si="2324"/>
        <v>-7.2340185883276509E-2</v>
      </c>
      <c r="AK380" s="1605">
        <f t="shared" si="2324"/>
        <v>-0.2108921406130625</v>
      </c>
      <c r="AL380" s="1638">
        <f t="shared" ref="AL380:AP380" si="2325">+AL379/AH379-1</f>
        <v>-0.13031425433993815</v>
      </c>
      <c r="AM380" s="1875">
        <f t="shared" si="2325"/>
        <v>0.47462304708873826</v>
      </c>
      <c r="AN380" s="1638">
        <f t="shared" si="2325"/>
        <v>0.24792763605360291</v>
      </c>
      <c r="AO380" s="1638">
        <f t="shared" si="2325"/>
        <v>0.14561248787165337</v>
      </c>
      <c r="AP380" s="1638">
        <f t="shared" si="2325"/>
        <v>9.0219978915870636E-2</v>
      </c>
      <c r="AQ380" s="1638">
        <f t="shared" ref="AQ380" si="2326">+AQ379/AM379-1</f>
        <v>0.10622949625587585</v>
      </c>
      <c r="AR380" s="1638">
        <f t="shared" ref="AR380" si="2327">+AR379/AN379-1</f>
        <v>0.11818782648641624</v>
      </c>
      <c r="AS380" s="1638">
        <f t="shared" ref="AS380" si="2328">+AS379/AO379-1</f>
        <v>0.11818150989093268</v>
      </c>
      <c r="AT380" s="1638">
        <f t="shared" ref="AT380" si="2329">+AT379/AP379-1</f>
        <v>9.8676917167619838E-2</v>
      </c>
      <c r="AU380" s="1638">
        <f t="shared" ref="AU380" si="2330">+AU379/AQ379-1</f>
        <v>0.11608981860412948</v>
      </c>
      <c r="AV380" s="1638">
        <f t="shared" ref="AV380" si="2331">+AV379/AR379-1</f>
        <v>0.12876369580683966</v>
      </c>
      <c r="AW380" s="1638">
        <f t="shared" ref="AW380" si="2332">+AW379/AS379-1</f>
        <v>0.12875481549375634</v>
      </c>
      <c r="AX380" s="1638">
        <f t="shared" ref="AX380" si="2333">+AX379/AT379-1</f>
        <v>0.1079546580857198</v>
      </c>
      <c r="AY380" s="1638"/>
      <c r="AZ380" s="1638"/>
      <c r="BA380" s="85"/>
      <c r="BB380" s="1638">
        <v>9.8676917167619838E-2</v>
      </c>
      <c r="BC380" s="2197"/>
      <c r="BD380" s="85"/>
      <c r="BE380" s="1605"/>
      <c r="BF380" s="1605">
        <f t="shared" ref="BF380:BR380" si="2334">+BF379/BE379-1</f>
        <v>4.2218834291076757E-3</v>
      </c>
      <c r="BG380" s="1605">
        <f t="shared" si="2334"/>
        <v>3.0370786388728144E-2</v>
      </c>
      <c r="BH380" s="1605">
        <f t="shared" si="2334"/>
        <v>0.12742163391264771</v>
      </c>
      <c r="BI380" s="1605"/>
      <c r="BJ380" s="2059">
        <f>+BJ379/BH379-1</f>
        <v>0.15940841187217991</v>
      </c>
      <c r="BK380" s="1605">
        <f>+BK379/BJ379-1</f>
        <v>2.5418095898725408</v>
      </c>
      <c r="BL380" s="1605">
        <f t="shared" si="2334"/>
        <v>8.5844756459912297E-2</v>
      </c>
      <c r="BM380" s="1605">
        <f t="shared" si="2334"/>
        <v>6.7185219003815577E-2</v>
      </c>
      <c r="BN380" s="1605">
        <f t="shared" si="2334"/>
        <v>-0.17042158854009926</v>
      </c>
      <c r="BO380" s="1866">
        <f t="shared" si="2334"/>
        <v>0.21028791289818161</v>
      </c>
      <c r="BP380" s="1605">
        <f t="shared" si="2334"/>
        <v>0.11049302366660174</v>
      </c>
      <c r="BQ380" s="1605">
        <f t="shared" si="2334"/>
        <v>0.12064227219380586</v>
      </c>
      <c r="BR380" s="1605">
        <f t="shared" si="2334"/>
        <v>7.6861726738989722E-2</v>
      </c>
      <c r="BS380" s="1605">
        <f t="shared" ref="BS380" si="2335">+BS379/BR379-1</f>
        <v>7.7224030673888278E-2</v>
      </c>
      <c r="BT380" s="1605">
        <f t="shared" ref="BT380" si="2336">+BT379/BS379-1</f>
        <v>7.7588201898378006E-2</v>
      </c>
      <c r="BU380" s="1605">
        <f t="shared" ref="BU380" si="2337">+BU379/BT379-1</f>
        <v>7.7954003258510651E-2</v>
      </c>
    </row>
    <row r="381" spans="2:73" s="1602" customFormat="1" ht="15" hidden="1" customHeight="1">
      <c r="B381" s="1597" t="s">
        <v>318</v>
      </c>
      <c r="C381" s="1637"/>
      <c r="D381" s="1637"/>
      <c r="E381" s="1637"/>
      <c r="F381" s="1637"/>
      <c r="G381" s="1639">
        <f t="shared" ref="G381:AJ381" si="2338">+G379/G368</f>
        <v>-0.12420484482426267</v>
      </c>
      <c r="H381" s="1639">
        <f t="shared" si="2338"/>
        <v>-0.1171009600168794</v>
      </c>
      <c r="I381" s="1639">
        <f t="shared" si="2338"/>
        <v>-0.11743752120321158</v>
      </c>
      <c r="J381" s="1639">
        <f t="shared" si="2338"/>
        <v>-0.11121704724221768</v>
      </c>
      <c r="K381" s="1639">
        <f t="shared" si="2338"/>
        <v>-0.12104196809107977</v>
      </c>
      <c r="L381" s="1639">
        <f t="shared" si="2338"/>
        <v>-0.11801250204553887</v>
      </c>
      <c r="M381" s="1639">
        <f t="shared" si="2338"/>
        <v>-0.11049490221070038</v>
      </c>
      <c r="N381" s="1639">
        <f t="shared" si="2338"/>
        <v>-0.11163910168206855</v>
      </c>
      <c r="O381" s="1639">
        <f t="shared" si="2338"/>
        <v>-0.12895109241209443</v>
      </c>
      <c r="P381" s="1639">
        <f t="shared" si="2338"/>
        <v>-0.12507812186379721</v>
      </c>
      <c r="Q381" s="1639">
        <f t="shared" si="2338"/>
        <v>-0.10871689631584092</v>
      </c>
      <c r="R381" s="1639">
        <f t="shared" si="2338"/>
        <v>-0.1137982252351754</v>
      </c>
      <c r="S381" s="1874">
        <f t="shared" si="2338"/>
        <v>-0.13449258836944128</v>
      </c>
      <c r="T381" s="1639">
        <f t="shared" si="2338"/>
        <v>-0.13846290616526649</v>
      </c>
      <c r="U381" s="1639">
        <f t="shared" si="2338"/>
        <v>-0.11611088790678989</v>
      </c>
      <c r="V381" s="1639">
        <f t="shared" si="2338"/>
        <v>-0.12530801565444269</v>
      </c>
      <c r="W381" s="1874">
        <f t="shared" si="2338"/>
        <v>-0.42096981981208242</v>
      </c>
      <c r="X381" s="1639">
        <f t="shared" si="2338"/>
        <v>-0.29285896080214147</v>
      </c>
      <c r="Y381" s="1639">
        <f t="shared" si="2338"/>
        <v>-0.37269281688875316</v>
      </c>
      <c r="Z381" s="1639">
        <f t="shared" si="2338"/>
        <v>-0.38756765405706062</v>
      </c>
      <c r="AA381" s="1639">
        <f t="shared" si="2338"/>
        <v>-0.35180419898723625</v>
      </c>
      <c r="AB381" s="1639">
        <f t="shared" si="2338"/>
        <v>-0.35540617573830102</v>
      </c>
      <c r="AC381" s="1639">
        <f t="shared" si="2338"/>
        <v>-0.36743384538143414</v>
      </c>
      <c r="AD381" s="1639">
        <f t="shared" si="2338"/>
        <v>-0.36412102792308032</v>
      </c>
      <c r="AE381" s="1639">
        <f t="shared" si="2338"/>
        <v>-0.34878447821084724</v>
      </c>
      <c r="AF381" s="1639">
        <f t="shared" si="2338"/>
        <v>-0.33724249911669191</v>
      </c>
      <c r="AG381" s="1639">
        <f t="shared" si="2338"/>
        <v>-0.39484343722224091</v>
      </c>
      <c r="AH381" s="1639">
        <f t="shared" si="2338"/>
        <v>-0.36283070506972509</v>
      </c>
      <c r="AI381" s="1639">
        <f t="shared" si="2338"/>
        <v>-0.27497244399491216</v>
      </c>
      <c r="AJ381" s="1639">
        <f t="shared" si="2338"/>
        <v>-0.33635427214184682</v>
      </c>
      <c r="AK381" s="1639">
        <f t="shared" ref="AK381" si="2339">+AK379/AK368</f>
        <v>-0.33410004149249661</v>
      </c>
      <c r="AL381" s="1640">
        <f>+AK381+0.2%</f>
        <v>-0.33210004149249661</v>
      </c>
      <c r="AM381" s="2414">
        <f>+AL381+0.2%</f>
        <v>-0.33010004149249661</v>
      </c>
      <c r="AN381" s="1640">
        <f>+AM381+0.2%</f>
        <v>-0.32810004149249661</v>
      </c>
      <c r="AO381" s="1640">
        <f>+AN381+0.2%</f>
        <v>-0.32610004149249661</v>
      </c>
      <c r="AP381" s="1640">
        <f>+AO381+0.2%</f>
        <v>-0.3241000414924966</v>
      </c>
      <c r="AQ381" s="1640">
        <f t="shared" ref="AQ381:AT381" si="2340">+AP381+0.2%</f>
        <v>-0.3221000414924966</v>
      </c>
      <c r="AR381" s="1640">
        <f t="shared" si="2340"/>
        <v>-0.3201000414924966</v>
      </c>
      <c r="AS381" s="1640">
        <f t="shared" si="2340"/>
        <v>-0.3181000414924966</v>
      </c>
      <c r="AT381" s="1640">
        <f t="shared" si="2340"/>
        <v>-0.3161000414924966</v>
      </c>
      <c r="AU381" s="1640">
        <f t="shared" ref="AU381" si="2341">+AT381+0.2%</f>
        <v>-0.3141000414924966</v>
      </c>
      <c r="AV381" s="1640">
        <f t="shared" ref="AV381" si="2342">+AU381+0.2%</f>
        <v>-0.31210004149249659</v>
      </c>
      <c r="AW381" s="1640">
        <f t="shared" ref="AW381" si="2343">+AV381+0.2%</f>
        <v>-0.31010004149249659</v>
      </c>
      <c r="AX381" s="1640">
        <f t="shared" ref="AX381" si="2344">+AW381+0.2%</f>
        <v>-0.30810004149249659</v>
      </c>
      <c r="AY381" s="1640"/>
      <c r="AZ381" s="1640"/>
      <c r="BA381" s="85"/>
      <c r="BB381" s="1640">
        <v>-0.3161000414924966</v>
      </c>
      <c r="BC381" s="2197"/>
      <c r="BD381" s="85"/>
      <c r="BE381" s="1639">
        <f t="shared" ref="BE381:BO381" si="2345">+BE379/BE$368</f>
        <v>-0.1144133748389867</v>
      </c>
      <c r="BF381" s="1639">
        <f t="shared" si="2345"/>
        <v>-0.11700644949715783</v>
      </c>
      <c r="BG381" s="1639">
        <f t="shared" si="2345"/>
        <v>-0.11483733077511574</v>
      </c>
      <c r="BH381" s="1639">
        <f t="shared" si="2345"/>
        <v>-0.11834367861459338</v>
      </c>
      <c r="BI381" s="1639"/>
      <c r="BJ381" s="2066">
        <f t="shared" si="2345"/>
        <v>-0.12809605260235021</v>
      </c>
      <c r="BK381" s="1639">
        <f t="shared" si="2345"/>
        <v>-0.36922472974791792</v>
      </c>
      <c r="BL381" s="1639">
        <f t="shared" si="2345"/>
        <v>-0.36021003389710488</v>
      </c>
      <c r="BM381" s="1639">
        <f t="shared" si="2345"/>
        <v>-0.36184972971849017</v>
      </c>
      <c r="BN381" s="1639">
        <f t="shared" si="2345"/>
        <v>-0.32263609139072041</v>
      </c>
      <c r="BO381" s="1874">
        <f t="shared" si="2345"/>
        <v>-0.32689284077485803</v>
      </c>
      <c r="BP381" s="1639">
        <f t="shared" ref="BP381:BQ381" si="2346">+BP379/BP$368</f>
        <v>-0.31889901733319381</v>
      </c>
      <c r="BQ381" s="1639">
        <f t="shared" si="2346"/>
        <v>-0.31090552216327622</v>
      </c>
      <c r="BR381" s="1641">
        <f t="shared" ref="BR381" si="2347">+BQ381</f>
        <v>-0.31090552216327622</v>
      </c>
      <c r="BS381" s="1641">
        <f t="shared" ref="BS381" si="2348">+BR381</f>
        <v>-0.31090552216327622</v>
      </c>
      <c r="BT381" s="1641">
        <f t="shared" ref="BT381" si="2349">+BS381</f>
        <v>-0.31090552216327622</v>
      </c>
      <c r="BU381" s="1641">
        <f t="shared" ref="BU381" si="2350">+BT381</f>
        <v>-0.31090552216327622</v>
      </c>
    </row>
    <row r="382" spans="2:73" s="1602" customFormat="1" ht="15" hidden="1" customHeight="1">
      <c r="B382" s="1602" t="s">
        <v>319</v>
      </c>
      <c r="C382" s="1626">
        <v>-59.399999999999991</v>
      </c>
      <c r="D382" s="1626">
        <v>-59.7</v>
      </c>
      <c r="E382" s="1626">
        <v>-72</v>
      </c>
      <c r="F382" s="1626">
        <v>-77.5</v>
      </c>
      <c r="G382" s="1626">
        <v>-64.8</v>
      </c>
      <c r="H382" s="1626">
        <v>-64.2</v>
      </c>
      <c r="I382" s="1626">
        <v>-55.1</v>
      </c>
      <c r="J382" s="1626">
        <v>-57.9</v>
      </c>
      <c r="K382" s="1626">
        <v>-56.585314128786933</v>
      </c>
      <c r="L382" s="1626">
        <v>-61.770860162844592</v>
      </c>
      <c r="M382" s="1626">
        <v>-63.152249155199087</v>
      </c>
      <c r="N382" s="1626">
        <v>-73.918610971160973</v>
      </c>
      <c r="O382" s="1626">
        <v>-63.726385882106214</v>
      </c>
      <c r="P382" s="1626">
        <v>-68.263425961074674</v>
      </c>
      <c r="Q382" s="1626">
        <v>-50.8</v>
      </c>
      <c r="R382" s="1626">
        <v>-94.2</v>
      </c>
      <c r="S382" s="1974">
        <v>-73.599999999999994</v>
      </c>
      <c r="T382" s="1626">
        <f>-60.5+0.3</f>
        <v>-60.2</v>
      </c>
      <c r="U382" s="1626">
        <f>-70.7+0.8</f>
        <v>-69.900000000000006</v>
      </c>
      <c r="V382" s="1626">
        <f>-82-0.4</f>
        <v>-82.4</v>
      </c>
      <c r="W382" s="1868">
        <f t="shared" ref="W382:AK382" si="2351">+W262-W555-W623</f>
        <v>-276.53100000000001</v>
      </c>
      <c r="X382" s="1611">
        <f t="shared" si="2351"/>
        <v>-397.30700000000002</v>
      </c>
      <c r="Y382" s="1611">
        <f t="shared" si="2351"/>
        <v>-350.80499999999995</v>
      </c>
      <c r="Z382" s="1611">
        <f t="shared" si="2351"/>
        <v>-518.3000000000003</v>
      </c>
      <c r="AA382" s="1611">
        <f t="shared" si="2351"/>
        <v>-355.005</v>
      </c>
      <c r="AB382" s="1611">
        <f t="shared" si="2351"/>
        <v>-461.375</v>
      </c>
      <c r="AC382" s="1611">
        <f t="shared" si="2351"/>
        <v>-480.44600000000008</v>
      </c>
      <c r="AD382" s="1611">
        <f t="shared" si="2351"/>
        <v>-427.41399999999953</v>
      </c>
      <c r="AE382" s="1611">
        <f t="shared" si="2351"/>
        <v>-320.584</v>
      </c>
      <c r="AF382" s="1611">
        <f t="shared" si="2351"/>
        <v>-439.42099999999999</v>
      </c>
      <c r="AG382" s="1611">
        <f t="shared" si="2351"/>
        <v>-359.73200000000003</v>
      </c>
      <c r="AH382" s="1611">
        <f t="shared" si="2351"/>
        <v>-602.24399999999969</v>
      </c>
      <c r="AI382" s="1611">
        <f t="shared" si="2351"/>
        <v>-240.12100000000001</v>
      </c>
      <c r="AJ382" s="1611">
        <f t="shared" si="2351"/>
        <v>-265.70900000000006</v>
      </c>
      <c r="AK382" s="1611">
        <f t="shared" si="2351"/>
        <v>-248.44599999999994</v>
      </c>
      <c r="AL382" s="1636">
        <f t="shared" ref="AL382:AP382" si="2352">+AH382*(1+AL383)</f>
        <v>-511.90739999999971</v>
      </c>
      <c r="AM382" s="1869">
        <f t="shared" si="2352"/>
        <v>-254.52826000000002</v>
      </c>
      <c r="AN382" s="1636">
        <f t="shared" si="2352"/>
        <v>-281.65154000000007</v>
      </c>
      <c r="AO382" s="1636">
        <f t="shared" si="2352"/>
        <v>-263.35275999999993</v>
      </c>
      <c r="AP382" s="1636">
        <f t="shared" si="2352"/>
        <v>-542.62184399999967</v>
      </c>
      <c r="AQ382" s="1636">
        <f t="shared" ref="AQ382" si="2353">+AM382*(1+AQ383)</f>
        <v>-269.79995560000003</v>
      </c>
      <c r="AR382" s="1636">
        <f t="shared" ref="AR382" si="2354">+AN382*(1+AR383)</f>
        <v>-298.5506324000001</v>
      </c>
      <c r="AS382" s="1636">
        <f t="shared" ref="AS382" si="2355">+AO382*(1+AS383)</f>
        <v>-279.15392559999992</v>
      </c>
      <c r="AT382" s="1636">
        <f t="shared" ref="AT382" si="2356">+AP382*(1+AT383)</f>
        <v>-575.17915463999964</v>
      </c>
      <c r="AU382" s="1636">
        <f t="shared" ref="AU382" si="2357">+AQ382*(1+AU383)</f>
        <v>-285.98795293600006</v>
      </c>
      <c r="AV382" s="1636">
        <f t="shared" ref="AV382" si="2358">+AR382*(1+AV383)</f>
        <v>-316.46367034400009</v>
      </c>
      <c r="AW382" s="1636">
        <f t="shared" ref="AW382" si="2359">+AS382*(1+AW383)</f>
        <v>-295.90316113599994</v>
      </c>
      <c r="AX382" s="1636">
        <f t="shared" ref="AX382" si="2360">+AT382*(1+AX383)</f>
        <v>-609.68990391839964</v>
      </c>
      <c r="AY382" s="1636"/>
      <c r="AZ382" s="1636"/>
      <c r="BA382" s="983"/>
      <c r="BB382" s="1636">
        <v>-575.17915463999964</v>
      </c>
      <c r="BC382" s="2202"/>
      <c r="BD382" s="85"/>
      <c r="BE382" s="1627">
        <f>+SUM(C382:F382)</f>
        <v>-268.60000000000002</v>
      </c>
      <c r="BF382" s="1627">
        <f>+SUM(G382:J382)</f>
        <v>-242</v>
      </c>
      <c r="BG382" s="1627">
        <f>+SUM(K382:N382)</f>
        <v>-255.42703441799159</v>
      </c>
      <c r="BH382" s="1627">
        <f>+SUM(O382:R382)</f>
        <v>-276.98981184318086</v>
      </c>
      <c r="BI382" s="1627"/>
      <c r="BJ382" s="2061">
        <f>+SUM(S382:V382)</f>
        <v>-286.10000000000002</v>
      </c>
      <c r="BK382" s="1627">
        <f>+SUM(W382:Z382)</f>
        <v>-1542.9430000000002</v>
      </c>
      <c r="BL382" s="1627">
        <f>+SUM(AA382:AD382)</f>
        <v>-1724.2399999999996</v>
      </c>
      <c r="BM382" s="1627">
        <f>+SUM(AE382:AH382)</f>
        <v>-1721.9809999999998</v>
      </c>
      <c r="BN382" s="1627">
        <f>+SUM(AI382:AL382)</f>
        <v>-1266.1833999999997</v>
      </c>
      <c r="BO382" s="1876">
        <f>+SUM(AM382:AP382)</f>
        <v>-1342.1544039999999</v>
      </c>
      <c r="BP382" s="1627">
        <f>+SUM(AQ382:AT382)</f>
        <v>-1422.6836682399999</v>
      </c>
      <c r="BQ382" s="1627">
        <f>+SUM(AU382:AX382)</f>
        <v>-1508.0446883343998</v>
      </c>
      <c r="BR382" s="1608">
        <f t="shared" ref="BR382" si="2361">+BQ382*(1+BR383)</f>
        <v>-1598.5273696344639</v>
      </c>
      <c r="BS382" s="1608">
        <f t="shared" ref="BS382" si="2362">+BR382*(1+BS383)</f>
        <v>-1694.4390118125318</v>
      </c>
      <c r="BT382" s="1608">
        <f t="shared" ref="BT382" si="2363">+BS382*(1+BT383)</f>
        <v>-1796.1053525212837</v>
      </c>
      <c r="BU382" s="1608">
        <f t="shared" ref="BU382" si="2364">+BT382*(1+BU383)</f>
        <v>-1903.871673672561</v>
      </c>
    </row>
    <row r="383" spans="2:73" s="1602" customFormat="1" ht="15" hidden="1" customHeight="1">
      <c r="B383" s="1597" t="s">
        <v>316</v>
      </c>
      <c r="C383" s="1637" t="str">
        <f>IF(ISNUMBER((C382/#REF!-1)),IF(#REF!=0,"NMF",IF(OR(#REF!*C382&lt;0,C382/#REF!-1&gt;10),"NMF",C382/#REF!-1)),"")</f>
        <v/>
      </c>
      <c r="D383" s="1637" t="str">
        <f>IF(ISNUMBER((D382/#REF!-1)),IF(#REF!=0,"NMF",IF(OR(#REF!*D382&lt;0,D382/#REF!-1&gt;10),"NMF",D382/#REF!-1)),"")</f>
        <v/>
      </c>
      <c r="E383" s="1637" t="str">
        <f>IF(ISNUMBER((E382/#REF!-1)),IF(#REF!=0,"NMF",IF(OR(#REF!*E382&lt;0,E382/#REF!-1&gt;10),"NMF",E382/#REF!-1)),"")</f>
        <v/>
      </c>
      <c r="F383" s="1637" t="str">
        <f>IF(ISNUMBER((F382/A382-1)),IF(A382=0,"NMF",IF(OR(A382*F382&lt;0,F382/A382-1&gt;10),"NMF",F382/A382-1)),"")</f>
        <v/>
      </c>
      <c r="G383" s="1605">
        <f t="shared" ref="G383:V383" si="2365">+G382/C382-1</f>
        <v>9.090909090909105E-2</v>
      </c>
      <c r="H383" s="1605">
        <f t="shared" si="2365"/>
        <v>7.5376884422110546E-2</v>
      </c>
      <c r="I383" s="1605">
        <f t="shared" si="2365"/>
        <v>-0.23472222222222217</v>
      </c>
      <c r="J383" s="1605">
        <f t="shared" si="2365"/>
        <v>-0.25290322580645164</v>
      </c>
      <c r="K383" s="1605">
        <f t="shared" si="2365"/>
        <v>-0.12676984369155964</v>
      </c>
      <c r="L383" s="1605">
        <f t="shared" si="2365"/>
        <v>-3.7837069114570299E-2</v>
      </c>
      <c r="M383" s="1605">
        <f t="shared" si="2365"/>
        <v>0.14613882314335913</v>
      </c>
      <c r="N383" s="1605">
        <f t="shared" si="2365"/>
        <v>0.27665994768844526</v>
      </c>
      <c r="O383" s="1605">
        <f t="shared" si="2365"/>
        <v>0.12620009031082446</v>
      </c>
      <c r="P383" s="1605">
        <f t="shared" si="2365"/>
        <v>0.10510725900714246</v>
      </c>
      <c r="Q383" s="1605">
        <f t="shared" si="2365"/>
        <v>-0.19559476218880123</v>
      </c>
      <c r="R383" s="1605">
        <f t="shared" si="2365"/>
        <v>0.2743745960912567</v>
      </c>
      <c r="S383" s="1866">
        <f t="shared" si="2365"/>
        <v>0.15493761306595921</v>
      </c>
      <c r="T383" s="1605">
        <f t="shared" si="2365"/>
        <v>-0.11812219863785645</v>
      </c>
      <c r="U383" s="1605">
        <f t="shared" si="2365"/>
        <v>0.37598425196850416</v>
      </c>
      <c r="V383" s="1605">
        <f t="shared" si="2365"/>
        <v>-0.12526539278131632</v>
      </c>
      <c r="W383" s="1866">
        <f t="shared" ref="W383" si="2366">+W382/S382-1</f>
        <v>2.7572146739130439</v>
      </c>
      <c r="X383" s="1605">
        <f t="shared" ref="X383" si="2367">+X382/T382-1</f>
        <v>5.5997840531561458</v>
      </c>
      <c r="Y383" s="1605">
        <f t="shared" ref="Y383" si="2368">+Y382/U382-1</f>
        <v>4.0186695278969946</v>
      </c>
      <c r="Z383" s="1605">
        <f t="shared" ref="Z383" si="2369">+Z382/V382-1</f>
        <v>5.2900485436893234</v>
      </c>
      <c r="AA383" s="1605">
        <f t="shared" ref="AA383" si="2370">+AA382/W382-1</f>
        <v>0.28378011868470443</v>
      </c>
      <c r="AB383" s="1605">
        <f t="shared" ref="AB383" si="2371">+AB382/X382-1</f>
        <v>0.16125565368845751</v>
      </c>
      <c r="AC383" s="1605">
        <f t="shared" ref="AC383" si="2372">+AC382/Y382-1</f>
        <v>0.36955288550619336</v>
      </c>
      <c r="AD383" s="1605">
        <f t="shared" ref="AD383" si="2373">+AD382/Z382-1</f>
        <v>-0.17535404206058403</v>
      </c>
      <c r="AE383" s="1605">
        <f t="shared" ref="AE383" si="2374">+AE382/AA382-1</f>
        <v>-9.6959197757778059E-2</v>
      </c>
      <c r="AF383" s="1605">
        <f t="shared" ref="AF383" si="2375">+AF382/AB382-1</f>
        <v>-4.7583852614467625E-2</v>
      </c>
      <c r="AG383" s="1605">
        <f t="shared" ref="AG383" si="2376">+AG382/AC382-1</f>
        <v>-0.25125404311826938</v>
      </c>
      <c r="AH383" s="1605">
        <f t="shared" ref="AH383:AK383" si="2377">+AH382/AD382-1</f>
        <v>0.40904135100862482</v>
      </c>
      <c r="AI383" s="1605">
        <f t="shared" si="2377"/>
        <v>-0.25098882040276493</v>
      </c>
      <c r="AJ383" s="1605">
        <f t="shared" si="2377"/>
        <v>-0.39532020545217439</v>
      </c>
      <c r="AK383" s="1605">
        <f t="shared" si="2377"/>
        <v>-0.30935807768005097</v>
      </c>
      <c r="AL383" s="1640">
        <v>-0.15</v>
      </c>
      <c r="AM383" s="2414">
        <v>0.06</v>
      </c>
      <c r="AN383" s="1640">
        <v>0.06</v>
      </c>
      <c r="AO383" s="1640">
        <v>0.06</v>
      </c>
      <c r="AP383" s="1640">
        <v>0.06</v>
      </c>
      <c r="AQ383" s="1640">
        <v>0.06</v>
      </c>
      <c r="AR383" s="1640">
        <v>0.06</v>
      </c>
      <c r="AS383" s="1640">
        <v>0.06</v>
      </c>
      <c r="AT383" s="1640">
        <v>0.06</v>
      </c>
      <c r="AU383" s="1640">
        <v>0.06</v>
      </c>
      <c r="AV383" s="1640">
        <v>0.06</v>
      </c>
      <c r="AW383" s="1640">
        <v>0.06</v>
      </c>
      <c r="AX383" s="1640">
        <v>0.06</v>
      </c>
      <c r="AY383" s="1640"/>
      <c r="AZ383" s="1640"/>
      <c r="BA383" s="85"/>
      <c r="BB383" s="1640">
        <v>0.06</v>
      </c>
      <c r="BC383" s="2197"/>
      <c r="BD383" s="85"/>
      <c r="BE383" s="1605"/>
      <c r="BF383" s="1605">
        <f t="shared" ref="BF383:BQ383" si="2378">+BF382/BE382-1</f>
        <v>-9.9032017870439359E-2</v>
      </c>
      <c r="BG383" s="1605">
        <f t="shared" si="2378"/>
        <v>5.5483613297485856E-2</v>
      </c>
      <c r="BH383" s="1605">
        <f t="shared" si="2378"/>
        <v>8.4418540403609077E-2</v>
      </c>
      <c r="BI383" s="1605"/>
      <c r="BJ383" s="2059">
        <f>+BJ382/BH382-1</f>
        <v>3.2889975613893396E-2</v>
      </c>
      <c r="BK383" s="1605">
        <f>+BK382/BJ382-1</f>
        <v>4.3930199231038101</v>
      </c>
      <c r="BL383" s="1605">
        <f t="shared" si="2378"/>
        <v>0.11750077611421772</v>
      </c>
      <c r="BM383" s="1605">
        <f t="shared" si="2378"/>
        <v>-1.3101424395675076E-3</v>
      </c>
      <c r="BN383" s="1605">
        <f t="shared" si="2378"/>
        <v>-0.26469374516908151</v>
      </c>
      <c r="BO383" s="1866">
        <f t="shared" si="2378"/>
        <v>6.0000000000000275E-2</v>
      </c>
      <c r="BP383" s="1605">
        <f t="shared" si="2378"/>
        <v>6.0000000000000053E-2</v>
      </c>
      <c r="BQ383" s="1605">
        <f t="shared" si="2378"/>
        <v>6.0000000000000053E-2</v>
      </c>
      <c r="BR383" s="1642">
        <v>0.06</v>
      </c>
      <c r="BS383" s="1642">
        <v>0.06</v>
      </c>
      <c r="BT383" s="1642">
        <v>0.06</v>
      </c>
      <c r="BU383" s="1642">
        <v>0.06</v>
      </c>
    </row>
    <row r="384" spans="2:73" s="1602" customFormat="1" ht="15" hidden="1" customHeight="1">
      <c r="B384" s="1597" t="s">
        <v>318</v>
      </c>
      <c r="C384" s="1637"/>
      <c r="D384" s="1637"/>
      <c r="E384" s="1637"/>
      <c r="F384" s="1637"/>
      <c r="G384" s="1638">
        <f t="shared" ref="G384:AP384" si="2379">+G382/G$368</f>
        <v>-4.1637216474972684E-2</v>
      </c>
      <c r="H384" s="1638">
        <f t="shared" si="2379"/>
        <v>-3.3864331680557018E-2</v>
      </c>
      <c r="I384" s="1638">
        <f t="shared" si="2379"/>
        <v>-3.1154585547890988E-2</v>
      </c>
      <c r="J384" s="1638">
        <f t="shared" si="2379"/>
        <v>-2.7601658959813129E-2</v>
      </c>
      <c r="K384" s="1638">
        <f t="shared" si="2379"/>
        <v>-3.5756309012010677E-2</v>
      </c>
      <c r="L384" s="1638">
        <f t="shared" si="2379"/>
        <v>-3.2991320107084783E-2</v>
      </c>
      <c r="M384" s="1638">
        <f t="shared" si="2379"/>
        <v>-3.2242111601958924E-2</v>
      </c>
      <c r="N384" s="1638">
        <f t="shared" si="2379"/>
        <v>-3.2569771208465492E-2</v>
      </c>
      <c r="O384" s="1638">
        <f t="shared" si="2379"/>
        <v>-3.7991246788062615E-2</v>
      </c>
      <c r="P384" s="1638">
        <f t="shared" si="2379"/>
        <v>-3.3206096282139629E-2</v>
      </c>
      <c r="Q384" s="1638">
        <f t="shared" si="2379"/>
        <v>-2.4821655428515586E-2</v>
      </c>
      <c r="R384" s="1638">
        <f t="shared" si="2379"/>
        <v>-3.5876147313097462E-2</v>
      </c>
      <c r="S384" s="1875">
        <f t="shared" si="2379"/>
        <v>-4.19612314709236E-2</v>
      </c>
      <c r="T384" s="1638">
        <f t="shared" si="2379"/>
        <v>-2.6759123438680716E-2</v>
      </c>
      <c r="U384" s="1638">
        <f t="shared" si="2379"/>
        <v>-3.1203964108745149E-2</v>
      </c>
      <c r="V384" s="1638">
        <f t="shared" si="2379"/>
        <v>-2.9859399913030878E-2</v>
      </c>
      <c r="W384" s="1875">
        <f t="shared" si="2379"/>
        <v>-0.13571440840795154</v>
      </c>
      <c r="X384" s="1638">
        <f t="shared" si="2379"/>
        <v>-0.16825211031350751</v>
      </c>
      <c r="Y384" s="1638">
        <f t="shared" si="2379"/>
        <v>-0.11021227184217122</v>
      </c>
      <c r="Z384" s="1638">
        <f t="shared" si="2379"/>
        <v>-0.14888847842179948</v>
      </c>
      <c r="AA384" s="1638">
        <f t="shared" si="2379"/>
        <v>-0.13465776547120073</v>
      </c>
      <c r="AB384" s="1638">
        <f t="shared" si="2379"/>
        <v>-0.15571647805186573</v>
      </c>
      <c r="AC384" s="1638">
        <f t="shared" si="2379"/>
        <v>-0.15704195795966985</v>
      </c>
      <c r="AD384" s="1638">
        <f t="shared" si="2379"/>
        <v>-0.11694510217449459</v>
      </c>
      <c r="AE384" s="1638">
        <f t="shared" si="2379"/>
        <v>-0.12237441109624089</v>
      </c>
      <c r="AF384" s="1638">
        <f t="shared" si="2379"/>
        <v>-0.13247239436178126</v>
      </c>
      <c r="AG384" s="1638">
        <f t="shared" si="2379"/>
        <v>-0.10580421402726724</v>
      </c>
      <c r="AH384" s="1638">
        <f t="shared" si="2379"/>
        <v>-0.16083755472136699</v>
      </c>
      <c r="AI384" s="1638">
        <f t="shared" si="2379"/>
        <v>-0.10187491143470269</v>
      </c>
      <c r="AJ384" s="1638">
        <f t="shared" si="2379"/>
        <v>-8.6122523858728872E-2</v>
      </c>
      <c r="AK384" s="1638">
        <f t="shared" ref="AK384" si="2380">+AK382/AK$368</f>
        <v>-7.8355798156829845E-2</v>
      </c>
      <c r="AL384" s="1638">
        <f t="shared" si="2379"/>
        <v>-0.14388281719055818</v>
      </c>
      <c r="AM384" s="1875">
        <f t="shared" si="2379"/>
        <v>-8.7912068212497432E-2</v>
      </c>
      <c r="AN384" s="1638">
        <f t="shared" si="2379"/>
        <v>-7.1357980144407238E-2</v>
      </c>
      <c r="AO384" s="1638">
        <f t="shared" si="2379"/>
        <v>-7.0764198086263178E-2</v>
      </c>
      <c r="AP384" s="1638">
        <f t="shared" si="2379"/>
        <v>-0.1365245702625982</v>
      </c>
      <c r="AQ384" s="1638">
        <f t="shared" ref="AQ384:AT384" si="2381">+AQ382/AQ$368</f>
        <v>-8.2196690202567854E-2</v>
      </c>
      <c r="AR384" s="1638">
        <f t="shared" si="2381"/>
        <v>-6.5995313911653961E-2</v>
      </c>
      <c r="AS384" s="1638">
        <f t="shared" si="2381"/>
        <v>-6.5436493633610232E-2</v>
      </c>
      <c r="AT384" s="1638">
        <f t="shared" si="2381"/>
        <v>-0.12846716771263467</v>
      </c>
      <c r="AU384" s="1638">
        <f t="shared" ref="AU384:AX384" si="2382">+AU382/AU$368</f>
        <v>-7.61269205298927E-2</v>
      </c>
      <c r="AV384" s="1638">
        <f t="shared" si="2382"/>
        <v>-6.0426025181934039E-2</v>
      </c>
      <c r="AW384" s="1638">
        <f t="shared" si="2382"/>
        <v>-5.9905178652302098E-2</v>
      </c>
      <c r="AX384" s="1638">
        <f t="shared" si="2382"/>
        <v>-0.11979625206246866</v>
      </c>
      <c r="AY384" s="1638"/>
      <c r="AZ384" s="1638"/>
      <c r="BA384" s="85"/>
      <c r="BB384" s="1638">
        <v>-0.12846716771263467</v>
      </c>
      <c r="BC384" s="2197"/>
      <c r="BD384" s="85"/>
      <c r="BE384" s="1639">
        <f>+BE382/BE$368</f>
        <v>-3.6040145985401464E-2</v>
      </c>
      <c r="BF384" s="1639">
        <f>+BF382/BF$368</f>
        <v>-3.3067337122868384E-2</v>
      </c>
      <c r="BG384" s="1639">
        <f>+BG382/BG$368</f>
        <v>-3.324531633235854E-2</v>
      </c>
      <c r="BH384" s="1639">
        <f>+BH382/BH$368</f>
        <v>-3.2953611324895479E-2</v>
      </c>
      <c r="BI384" s="1639"/>
      <c r="BJ384" s="2066">
        <f t="shared" ref="BJ384:BO384" si="2383">+BJ382/BJ$368</f>
        <v>-3.1776884288157808E-2</v>
      </c>
      <c r="BK384" s="1639">
        <f t="shared" si="2383"/>
        <v>-0.13946754692650712</v>
      </c>
      <c r="BL384" s="1639">
        <f t="shared" si="2383"/>
        <v>-0.14002909503525451</v>
      </c>
      <c r="BM384" s="1639">
        <f t="shared" si="2383"/>
        <v>-0.13163808819635175</v>
      </c>
      <c r="BN384" s="1639">
        <f t="shared" si="2383"/>
        <v>-0.10403442714319296</v>
      </c>
      <c r="BO384" s="1874">
        <f t="shared" si="2383"/>
        <v>-9.2318068797318464E-2</v>
      </c>
      <c r="BP384" s="1639">
        <f t="shared" ref="BP384:BQ384" si="2384">+BP382/BP$368</f>
        <v>-8.5965563303799924E-2</v>
      </c>
      <c r="BQ384" s="1639">
        <f t="shared" si="2384"/>
        <v>-7.9275434823529223E-2</v>
      </c>
      <c r="BR384" s="1639">
        <f>+BR382/BR$368</f>
        <v>-7.8034123440723496E-2</v>
      </c>
      <c r="BS384" s="1639">
        <f>+BS382/BS$368</f>
        <v>-7.6786414424324947E-2</v>
      </c>
      <c r="BT384" s="1639">
        <f>+BT382/BT$368</f>
        <v>-7.5533120301794349E-2</v>
      </c>
      <c r="BU384" s="1639">
        <f>+BU382/BU$368</f>
        <v>-7.4275068581661108E-2</v>
      </c>
    </row>
    <row r="385" spans="1:73" s="1602" customFormat="1" ht="15" hidden="1" customHeight="1">
      <c r="B385" s="1602" t="s">
        <v>20</v>
      </c>
      <c r="C385" s="1626">
        <v>0.1</v>
      </c>
      <c r="D385" s="1626">
        <v>0.1</v>
      </c>
      <c r="E385" s="1626">
        <v>0.5</v>
      </c>
      <c r="F385" s="1626">
        <v>-1</v>
      </c>
      <c r="G385" s="1626">
        <v>0.1</v>
      </c>
      <c r="H385" s="1626">
        <v>0.1</v>
      </c>
      <c r="I385" s="1626">
        <v>0.7</v>
      </c>
      <c r="J385" s="1626">
        <v>4.2</v>
      </c>
      <c r="K385" s="1626">
        <v>0.63976709074163329</v>
      </c>
      <c r="L385" s="1626">
        <v>0.66991995346880895</v>
      </c>
      <c r="M385" s="1626">
        <v>0.13315165092176906</v>
      </c>
      <c r="N385" s="1626">
        <v>2.1334723213294615</v>
      </c>
      <c r="O385" s="1626">
        <v>-1.8121187216162347</v>
      </c>
      <c r="P385" s="1626">
        <v>1.2270886990868572</v>
      </c>
      <c r="Q385" s="1626">
        <v>-2.2999999999999998</v>
      </c>
      <c r="R385" s="1626">
        <v>-1.1000000000000001</v>
      </c>
      <c r="S385" s="1974">
        <v>-0.1</v>
      </c>
      <c r="T385" s="1626">
        <v>-0.5</v>
      </c>
      <c r="U385" s="1626">
        <v>0.8</v>
      </c>
      <c r="V385" s="1626">
        <v>-2.6</v>
      </c>
      <c r="W385" s="1868">
        <f t="shared" ref="W385:AK385" si="2385">+W265-W558-W626</f>
        <v>-63.362000000000002</v>
      </c>
      <c r="X385" s="1611">
        <f t="shared" si="2385"/>
        <v>-58.741</v>
      </c>
      <c r="Y385" s="1611">
        <f t="shared" si="2385"/>
        <v>-83.257000000000005</v>
      </c>
      <c r="Z385" s="1611">
        <f t="shared" si="2385"/>
        <v>-121.99800000000003</v>
      </c>
      <c r="AA385" s="1611">
        <f t="shared" si="2385"/>
        <v>-142.113</v>
      </c>
      <c r="AB385" s="1611">
        <f t="shared" si="2385"/>
        <v>-176.89099999999999</v>
      </c>
      <c r="AC385" s="1611">
        <f t="shared" si="2385"/>
        <v>-142.14099999999999</v>
      </c>
      <c r="AD385" s="1611">
        <f t="shared" si="2385"/>
        <v>-64.490999999999971</v>
      </c>
      <c r="AE385" s="1611">
        <f t="shared" si="2385"/>
        <v>-89.451000000000008</v>
      </c>
      <c r="AF385" s="1611">
        <f t="shared" si="2385"/>
        <v>-100.14400000000001</v>
      </c>
      <c r="AG385" s="1611">
        <f t="shared" si="2385"/>
        <v>-123.73999999999998</v>
      </c>
      <c r="AH385" s="1611">
        <f t="shared" si="2385"/>
        <v>-86.492000000000047</v>
      </c>
      <c r="AI385" s="1611">
        <f t="shared" si="2385"/>
        <v>-124.63099999999997</v>
      </c>
      <c r="AJ385" s="1611">
        <f t="shared" si="2385"/>
        <v>-104.307</v>
      </c>
      <c r="AK385" s="1611">
        <f t="shared" si="2385"/>
        <v>-89.106231946704185</v>
      </c>
      <c r="AL385" s="1643">
        <f>+AVERAGE(AH385:AK385)</f>
        <v>-101.13405798667605</v>
      </c>
      <c r="AM385" s="2416">
        <f>+AVERAGE(AI385:AL385)*0.95</f>
        <v>-99.554843859177794</v>
      </c>
      <c r="AN385" s="1643">
        <f>+AVERAGE(AJ385:AM385)*0.95</f>
        <v>-93.599256775732513</v>
      </c>
      <c r="AO385" s="1643">
        <f>+AVERAGE(AK385:AN385)*0.95</f>
        <v>-91.056167759969</v>
      </c>
      <c r="AP385" s="1643">
        <f>+AVERAGE(AL385:AO385)*0.95</f>
        <v>-91.519277515619407</v>
      </c>
      <c r="AQ385" s="1643">
        <f t="shared" ref="AQ385:AT385" si="2386">+AVERAGE(AM385:AP385)*0.95</f>
        <v>-89.235767153743453</v>
      </c>
      <c r="AR385" s="1643">
        <f t="shared" si="2386"/>
        <v>-86.784986436202786</v>
      </c>
      <c r="AS385" s="1643">
        <f t="shared" si="2386"/>
        <v>-85.166597230564491</v>
      </c>
      <c r="AT385" s="1643">
        <f t="shared" si="2386"/>
        <v>-83.767824229830893</v>
      </c>
      <c r="AU385" s="1643">
        <f t="shared" ref="AU385" si="2387">+AVERAGE(AQ385:AT385)*0.95</f>
        <v>-81.926854074456131</v>
      </c>
      <c r="AV385" s="1643">
        <f t="shared" ref="AV385" si="2388">+AVERAGE(AR385:AU385)*0.95</f>
        <v>-80.190987218125386</v>
      </c>
      <c r="AW385" s="1643">
        <f t="shared" ref="AW385" si="2389">+AVERAGE(AS385:AV385)*0.95</f>
        <v>-78.624912403832013</v>
      </c>
      <c r="AX385" s="1643">
        <f t="shared" ref="AX385" si="2390">+AVERAGE(AT385:AW385)*0.95</f>
        <v>-77.071262257483042</v>
      </c>
      <c r="AY385" s="1643"/>
      <c r="AZ385" s="1643"/>
      <c r="BA385" s="983"/>
      <c r="BB385" s="1643">
        <v>-83.767824229830893</v>
      </c>
      <c r="BC385" s="2202"/>
      <c r="BD385" s="85"/>
      <c r="BE385" s="1627">
        <f>+SUM(C385:F385)</f>
        <v>-0.30000000000000004</v>
      </c>
      <c r="BF385" s="1627">
        <f>+SUM(G385:J385)</f>
        <v>5.0999999999999996</v>
      </c>
      <c r="BG385" s="1627">
        <f>+SUM(K385:N385)</f>
        <v>3.5763110164616729</v>
      </c>
      <c r="BH385" s="1627">
        <f>+SUM(O385:R385)</f>
        <v>-3.9850300225293771</v>
      </c>
      <c r="BI385" s="1627"/>
      <c r="BJ385" s="2061">
        <f>+SUM(S385:V385)</f>
        <v>-2.4</v>
      </c>
      <c r="BK385" s="1627">
        <f>+SUM(W385:Z385)</f>
        <v>-327.35800000000006</v>
      </c>
      <c r="BL385" s="1627">
        <f>+SUM(AA385:AD385)</f>
        <v>-525.63599999999997</v>
      </c>
      <c r="BM385" s="1627">
        <f>+SUM(AE385:AH385)</f>
        <v>-399.82700000000011</v>
      </c>
      <c r="BN385" s="1627">
        <f>+SUM(AI385:AL385)</f>
        <v>-419.1782899333802</v>
      </c>
      <c r="BO385" s="1876">
        <f>+SUM(AM385:AP385)</f>
        <v>-375.72954591049876</v>
      </c>
      <c r="BP385" s="1627">
        <f>+SUM(AQ385:AT385)</f>
        <v>-344.95517505034161</v>
      </c>
      <c r="BQ385" s="1627">
        <f>+SUM(AU385:AX385)</f>
        <v>-317.81401595389656</v>
      </c>
      <c r="BR385" s="1610">
        <f t="shared" ref="BR385:BU385" si="2391">+AVERAGE(BO385:BQ385)*0.95</f>
        <v>-328.85793335633338</v>
      </c>
      <c r="BS385" s="1610">
        <f t="shared" si="2391"/>
        <v>-314.0152560475143</v>
      </c>
      <c r="BT385" s="1610">
        <f t="shared" si="2391"/>
        <v>-304.21761502995236</v>
      </c>
      <c r="BU385" s="1610">
        <f t="shared" si="2391"/>
        <v>-299.91208807070331</v>
      </c>
    </row>
    <row r="386" spans="1:73" s="1602" customFormat="1" ht="15" hidden="1" customHeight="1">
      <c r="B386" s="1597" t="s">
        <v>318</v>
      </c>
      <c r="C386" s="1637"/>
      <c r="D386" s="1637"/>
      <c r="E386" s="1637"/>
      <c r="F386" s="1637"/>
      <c r="G386" s="1639">
        <f t="shared" ref="G386:AP386" si="2392">+G385/G368</f>
        <v>6.4254963695945511E-5</v>
      </c>
      <c r="H386" s="1639">
        <f t="shared" si="2392"/>
        <v>5.2748180187783521E-5</v>
      </c>
      <c r="I386" s="1639">
        <f t="shared" si="2392"/>
        <v>3.9579328282257154E-4</v>
      </c>
      <c r="J386" s="1639">
        <f t="shared" si="2392"/>
        <v>2.0021928779139059E-3</v>
      </c>
      <c r="K386" s="1639">
        <f t="shared" si="2392"/>
        <v>4.0426937880398261E-4</v>
      </c>
      <c r="L386" s="1639">
        <f t="shared" si="2392"/>
        <v>3.5779886458998965E-4</v>
      </c>
      <c r="M386" s="1639">
        <f t="shared" si="2392"/>
        <v>6.7980007781739008E-5</v>
      </c>
      <c r="N386" s="1639">
        <f t="shared" si="2392"/>
        <v>9.4004344064858413E-4</v>
      </c>
      <c r="O386" s="1639">
        <f t="shared" si="2392"/>
        <v>-1.080316239642924E-3</v>
      </c>
      <c r="P386" s="1639">
        <f t="shared" si="2392"/>
        <v>5.9690566236506189E-4</v>
      </c>
      <c r="Q386" s="1639">
        <f t="shared" si="2392"/>
        <v>-1.1238151079839733E-3</v>
      </c>
      <c r="R386" s="1639">
        <f t="shared" si="2392"/>
        <v>-4.189359028068706E-4</v>
      </c>
      <c r="S386" s="1874">
        <f t="shared" si="2392"/>
        <v>-5.7012542759407075E-5</v>
      </c>
      <c r="T386" s="1639">
        <f t="shared" si="2392"/>
        <v>-2.2225185580299598E-4</v>
      </c>
      <c r="U386" s="1639">
        <f t="shared" si="2392"/>
        <v>3.5712691397705461E-4</v>
      </c>
      <c r="V386" s="1639">
        <f t="shared" si="2392"/>
        <v>-9.4216553123641111E-4</v>
      </c>
      <c r="W386" s="1874">
        <f t="shared" si="2392"/>
        <v>-3.1096464213938493E-2</v>
      </c>
      <c r="X386" s="1639">
        <f t="shared" si="2392"/>
        <v>-2.4875718806680335E-2</v>
      </c>
      <c r="Y386" s="1639">
        <f t="shared" si="2392"/>
        <v>-2.6156819648419066E-2</v>
      </c>
      <c r="Z386" s="1639">
        <f t="shared" si="2392"/>
        <v>-3.5045526896590171E-2</v>
      </c>
      <c r="AA386" s="1639">
        <f t="shared" si="2392"/>
        <v>-5.3905209854533738E-2</v>
      </c>
      <c r="AB386" s="1639">
        <f t="shared" si="2392"/>
        <v>-5.9701638621669099E-2</v>
      </c>
      <c r="AC386" s="1639">
        <f t="shared" si="2392"/>
        <v>-4.646120676693203E-2</v>
      </c>
      <c r="AD386" s="1639">
        <f t="shared" si="2392"/>
        <v>-1.764543647221508E-2</v>
      </c>
      <c r="AE386" s="1639">
        <f t="shared" si="2392"/>
        <v>-3.4145538913264058E-2</v>
      </c>
      <c r="AF386" s="1639">
        <f t="shared" si="2392"/>
        <v>-3.0190444837561753E-2</v>
      </c>
      <c r="AG386" s="1639">
        <f t="shared" si="2392"/>
        <v>-3.6394353139932077E-2</v>
      </c>
      <c r="AH386" s="1639">
        <f t="shared" si="2392"/>
        <v>-2.3098879827711839E-2</v>
      </c>
      <c r="AI386" s="1639">
        <f t="shared" si="2392"/>
        <v>-5.2876558431034469E-2</v>
      </c>
      <c r="AJ386" s="1639">
        <f t="shared" si="2392"/>
        <v>-3.3808347086972702E-2</v>
      </c>
      <c r="AK386" s="1639">
        <f t="shared" ref="AK386" si="2393">+AK385/AK368</f>
        <v>-2.810264574568163E-2</v>
      </c>
      <c r="AL386" s="1644">
        <f t="shared" si="2392"/>
        <v>-2.8425948085603434E-2</v>
      </c>
      <c r="AM386" s="1874">
        <f t="shared" si="2392"/>
        <v>-3.4385463618981121E-2</v>
      </c>
      <c r="AN386" s="1644">
        <f t="shared" si="2392"/>
        <v>-2.3713890953814751E-2</v>
      </c>
      <c r="AO386" s="1644">
        <f t="shared" si="2392"/>
        <v>-2.4467245729045933E-2</v>
      </c>
      <c r="AP386" s="1644">
        <f t="shared" si="2392"/>
        <v>-2.3026404431966463E-2</v>
      </c>
      <c r="AQ386" s="1644">
        <f t="shared" ref="AQ386:AT386" si="2394">+AQ385/AQ368</f>
        <v>-2.7186382189770566E-2</v>
      </c>
      <c r="AR386" s="1644">
        <f t="shared" si="2394"/>
        <v>-1.9184023750457919E-2</v>
      </c>
      <c r="AS386" s="1644">
        <f t="shared" si="2394"/>
        <v>-1.9963908748536263E-2</v>
      </c>
      <c r="AT386" s="1644">
        <f t="shared" si="2394"/>
        <v>-1.8709675128945998E-2</v>
      </c>
      <c r="AU386" s="1644">
        <f t="shared" ref="AU386:AX386" si="2395">+AU385/AU368</f>
        <v>-2.1808048364841268E-2</v>
      </c>
      <c r="AV386" s="1644">
        <f t="shared" si="2395"/>
        <v>-1.5311781626432321E-2</v>
      </c>
      <c r="AW386" s="1644">
        <f t="shared" si="2395"/>
        <v>-1.591750289517313E-2</v>
      </c>
      <c r="AX386" s="1644">
        <f t="shared" si="2395"/>
        <v>-1.5143515253954054E-2</v>
      </c>
      <c r="AY386" s="1644"/>
      <c r="AZ386" s="1644"/>
      <c r="BA386" s="85"/>
      <c r="BB386" s="1644">
        <v>-1.8709675128945998E-2</v>
      </c>
      <c r="BC386" s="2197"/>
      <c r="BD386" s="85"/>
      <c r="BE386" s="1639">
        <f>+BE385/BE$368</f>
        <v>-4.0253327608415638E-5</v>
      </c>
      <c r="BF386" s="1639">
        <f>+BF385/BF$368</f>
        <v>6.9687363358111052E-4</v>
      </c>
      <c r="BG386" s="1639">
        <f>+BG385/BG$368</f>
        <v>4.6547770996942033E-4</v>
      </c>
      <c r="BH386" s="1639">
        <f>+BH385/BH$368</f>
        <v>-4.7410094113793855E-4</v>
      </c>
      <c r="BI386" s="1639"/>
      <c r="BJ386" s="2066">
        <f t="shared" ref="BJ386:BO386" si="2396">+BJ385/BJ$368</f>
        <v>-2.665659639691672E-4</v>
      </c>
      <c r="BK386" s="1639">
        <f t="shared" si="2396"/>
        <v>-2.9590086754188276E-2</v>
      </c>
      <c r="BL386" s="1639">
        <f t="shared" si="2396"/>
        <v>-4.2687986242026084E-2</v>
      </c>
      <c r="BM386" s="1639">
        <f t="shared" si="2396"/>
        <v>-3.0565065403905592E-2</v>
      </c>
      <c r="BN386" s="1639">
        <f t="shared" si="2396"/>
        <v>-3.4441277040974057E-2</v>
      </c>
      <c r="BO386" s="1874">
        <f t="shared" si="2396"/>
        <v>-2.5843990799549358E-2</v>
      </c>
      <c r="BP386" s="1639">
        <f t="shared" ref="BP386:BQ386" si="2397">+BP385/BP$368</f>
        <v>-2.0843892848259639E-2</v>
      </c>
      <c r="BQ386" s="1639">
        <f t="shared" si="2397"/>
        <v>-1.6706961340505314E-2</v>
      </c>
      <c r="BR386" s="1639">
        <f>+BR385/BR$368</f>
        <v>-1.6053613502943972E-2</v>
      </c>
      <c r="BS386" s="1639">
        <f>+BS385/BS$368</f>
        <v>-1.4230140724057315E-2</v>
      </c>
      <c r="BT386" s="1639">
        <f>+BT385/BT$368</f>
        <v>-1.2793517753135286E-2</v>
      </c>
      <c r="BU386" s="1639">
        <f>+BU385/BU$368</f>
        <v>-1.1700363642130552E-2</v>
      </c>
    </row>
    <row r="387" spans="1:73" s="1602" customFormat="1" ht="15" hidden="1" customHeight="1">
      <c r="B387" s="1602" t="s">
        <v>322</v>
      </c>
      <c r="C387" s="1627">
        <f t="shared" ref="C387:U387" si="2398">+C379+C382+C385</f>
        <v>-219.9</v>
      </c>
      <c r="D387" s="1627">
        <f t="shared" si="2398"/>
        <v>-258.79999999999995</v>
      </c>
      <c r="E387" s="1627">
        <f t="shared" si="2398"/>
        <v>-298</v>
      </c>
      <c r="F387" s="1627">
        <f t="shared" si="2398"/>
        <v>-344.9</v>
      </c>
      <c r="G387" s="1627">
        <f t="shared" si="2398"/>
        <v>-258</v>
      </c>
      <c r="H387" s="1627">
        <f t="shared" si="2398"/>
        <v>-286.09999999999997</v>
      </c>
      <c r="I387" s="1627">
        <f t="shared" si="2398"/>
        <v>-262.10000000000002</v>
      </c>
      <c r="J387" s="1627">
        <f t="shared" si="2398"/>
        <v>-287</v>
      </c>
      <c r="K387" s="1627">
        <f t="shared" si="2398"/>
        <v>-247.49769479747098</v>
      </c>
      <c r="L387" s="1627">
        <f t="shared" si="2398"/>
        <v>-282.06008151263467</v>
      </c>
      <c r="M387" s="1627">
        <f t="shared" si="2398"/>
        <v>-279.44417787542608</v>
      </c>
      <c r="N387" s="1627">
        <f t="shared" si="2398"/>
        <v>-325.15527360066608</v>
      </c>
      <c r="O387" s="1627">
        <f t="shared" si="2398"/>
        <v>-281.84062074154684</v>
      </c>
      <c r="P387" s="1627">
        <f t="shared" si="2398"/>
        <v>-324.16566190928228</v>
      </c>
      <c r="Q387" s="1627">
        <f t="shared" si="2398"/>
        <v>-275.60000000000002</v>
      </c>
      <c r="R387" s="1627">
        <f t="shared" si="2398"/>
        <v>-394.1</v>
      </c>
      <c r="S387" s="1876">
        <f t="shared" si="2398"/>
        <v>-309.60000000000002</v>
      </c>
      <c r="T387" s="1627">
        <f t="shared" si="2398"/>
        <v>-372.2</v>
      </c>
      <c r="U387" s="1627">
        <f t="shared" si="2398"/>
        <v>-329.2</v>
      </c>
      <c r="V387" s="1627">
        <f>+V379+V382+V385</f>
        <v>-430.80000000000007</v>
      </c>
      <c r="W387" s="1876">
        <f t="shared" ref="W387:AD387" si="2399">+W379+W382+W385</f>
        <v>-1197.6590000000001</v>
      </c>
      <c r="X387" s="1627">
        <f t="shared" si="2399"/>
        <v>-1147.5989999999999</v>
      </c>
      <c r="Y387" s="1627">
        <f t="shared" si="2399"/>
        <v>-1620.3409999999999</v>
      </c>
      <c r="Z387" s="1627">
        <f t="shared" si="2399"/>
        <v>-1989.4710000000014</v>
      </c>
      <c r="AA387" s="1627">
        <f t="shared" si="2399"/>
        <v>-1424.5970000000002</v>
      </c>
      <c r="AB387" s="1627">
        <f t="shared" si="2399"/>
        <v>-1691.3050000000001</v>
      </c>
      <c r="AC387" s="1627">
        <f t="shared" si="2399"/>
        <v>-1746.6950000000002</v>
      </c>
      <c r="AD387" s="1627">
        <f t="shared" si="2399"/>
        <v>-1822.704</v>
      </c>
      <c r="AE387" s="1627">
        <f t="shared" ref="AE387:AH387" si="2400">+AE379+AE382+AE385</f>
        <v>-1323.7449999999999</v>
      </c>
      <c r="AF387" s="1627">
        <f t="shared" si="2400"/>
        <v>-1658.2240000000002</v>
      </c>
      <c r="AG387" s="1627">
        <f t="shared" si="2400"/>
        <v>-1825.9310000000003</v>
      </c>
      <c r="AH387" s="1627">
        <f t="shared" si="2400"/>
        <v>-2047.3279999999995</v>
      </c>
      <c r="AI387" s="1627">
        <f t="shared" ref="AI387:AJ387" si="2401">+AI379+AI382+AI385</f>
        <v>-1012.8669999999997</v>
      </c>
      <c r="AJ387" s="1627">
        <f t="shared" si="2401"/>
        <v>-1407.751</v>
      </c>
      <c r="AK387" s="1627">
        <f t="shared" ref="AK387" si="2402">+AK379+AK382+AK385</f>
        <v>-1396.897179751433</v>
      </c>
      <c r="AL387" s="1629">
        <f t="shared" ref="AL387:AP387" si="2403">+AL382+AL379+AL385</f>
        <v>-1794.5895545544704</v>
      </c>
      <c r="AM387" s="1868">
        <f t="shared" si="2403"/>
        <v>-1309.8084200230951</v>
      </c>
      <c r="AN387" s="1629">
        <f t="shared" si="2403"/>
        <v>-1670.2689821758181</v>
      </c>
      <c r="AO387" s="1629">
        <f t="shared" si="2403"/>
        <v>-1568.0077289288113</v>
      </c>
      <c r="AP387" s="1629">
        <f t="shared" si="2403"/>
        <v>-1922.2884624438473</v>
      </c>
      <c r="AQ387" s="1629">
        <f t="shared" ref="AQ387:AT387" si="2404">+AQ382+AQ379+AQ385</f>
        <v>-1416.2872578127412</v>
      </c>
      <c r="AR387" s="1629">
        <f t="shared" si="2404"/>
        <v>-1833.4091888291073</v>
      </c>
      <c r="AS387" s="1629">
        <f t="shared" si="2404"/>
        <v>-1721.3442627233665</v>
      </c>
      <c r="AT387" s="1629">
        <f t="shared" si="2404"/>
        <v>-2074.2047282585227</v>
      </c>
      <c r="AU387" s="1629">
        <f t="shared" ref="AU387:AX387" si="2405">+AU382+AU379+AU385</f>
        <v>-1547.9024809933906</v>
      </c>
      <c r="AV387" s="1629">
        <f t="shared" si="2405"/>
        <v>-2031.1875322275205</v>
      </c>
      <c r="AW387" s="1629">
        <f t="shared" si="2405"/>
        <v>-1906.2751546831789</v>
      </c>
      <c r="AX387" s="1629">
        <f t="shared" si="2405"/>
        <v>-2254.8025820029966</v>
      </c>
      <c r="AY387" s="1629"/>
      <c r="AZ387" s="1629"/>
      <c r="BA387" s="983"/>
      <c r="BB387" s="1629">
        <v>-2074.2047282585227</v>
      </c>
      <c r="BC387" s="2202"/>
      <c r="BD387" s="85"/>
      <c r="BE387" s="1627">
        <f>+SUM(C387:F387)</f>
        <v>-1121.5999999999999</v>
      </c>
      <c r="BF387" s="1627">
        <f>+SUM(G387:J387)</f>
        <v>-1093.1999999999998</v>
      </c>
      <c r="BG387" s="1627">
        <f>+SUM(K387:N387)</f>
        <v>-1134.1572277861978</v>
      </c>
      <c r="BH387" s="1627">
        <f>+SUM(O387:R387)</f>
        <v>-1275.7062826508291</v>
      </c>
      <c r="BI387" s="1627"/>
      <c r="BJ387" s="2061">
        <f>+SUM(S387:V387)</f>
        <v>-1441.8000000000002</v>
      </c>
      <c r="BK387" s="1627">
        <f>+SUM(W387:Z387)</f>
        <v>-5955.0700000000015</v>
      </c>
      <c r="BL387" s="1627">
        <f>+SUM(AA387:AD387)</f>
        <v>-6685.3009999999995</v>
      </c>
      <c r="BM387" s="1627">
        <f>+SUM(AE387:AH387)</f>
        <v>-6855.2280000000001</v>
      </c>
      <c r="BN387" s="1627">
        <f>+SUM(AI387:AL387)</f>
        <v>-5612.1047343059035</v>
      </c>
      <c r="BO387" s="1876">
        <f>+SUM(AM387:AP387)</f>
        <v>-6470.3735935715722</v>
      </c>
      <c r="BP387" s="1627">
        <f>+SUM(AQ387:AT387)</f>
        <v>-7045.2454376237374</v>
      </c>
      <c r="BQ387" s="1627">
        <f>+SUM(AU387:AX387)</f>
        <v>-7740.1677499070865</v>
      </c>
      <c r="BR387" s="1608">
        <f t="shared" ref="BR387" si="2406">BR379+BR382+BR385</f>
        <v>-8296.2783543238747</v>
      </c>
      <c r="BS387" s="1608">
        <f t="shared" ref="BS387:BU387" si="2407">BS379+BS382+BS385</f>
        <v>-8869.1789115479824</v>
      </c>
      <c r="BT387" s="1608">
        <f t="shared" si="2407"/>
        <v>-9493.358900062809</v>
      </c>
      <c r="BU387" s="1608">
        <f t="shared" si="2407"/>
        <v>-10173.136441428129</v>
      </c>
    </row>
    <row r="388" spans="1:73" s="1602" customFormat="1" ht="15" hidden="1" customHeight="1">
      <c r="B388" s="1597" t="s">
        <v>316</v>
      </c>
      <c r="C388" s="1637" t="str">
        <f>IF(ISNUMBER((C387/#REF!-1)),IF(#REF!=0,"NMF",IF(OR(#REF!*C387&lt;0,C387/#REF!-1&gt;10),"NMF",C387/#REF!-1)),"")</f>
        <v/>
      </c>
      <c r="D388" s="1637" t="str">
        <f>IF(ISNUMBER((D387/#REF!-1)),IF(#REF!=0,"NMF",IF(OR(#REF!*D387&lt;0,D387/#REF!-1&gt;10),"NMF",D387/#REF!-1)),"")</f>
        <v/>
      </c>
      <c r="E388" s="1637" t="str">
        <f>IF(ISNUMBER((E387/#REF!-1)),IF(#REF!=0,"NMF",IF(OR(#REF!*E387&lt;0,E387/#REF!-1&gt;10),"NMF",E387/#REF!-1)),"")</f>
        <v/>
      </c>
      <c r="F388" s="1637" t="str">
        <f>IF(ISNUMBER((F387/A387-1)),IF(A387=0,"NMF",IF(OR(A387*F387&lt;0,F387/A387-1&gt;10),"NMF",F387/A387-1)),"")</f>
        <v/>
      </c>
      <c r="G388" s="1605">
        <f t="shared" ref="G388:V388" si="2408">+G387/C387-1</f>
        <v>0.17326057298772168</v>
      </c>
      <c r="H388" s="1605">
        <f t="shared" si="2408"/>
        <v>0.1054868624420402</v>
      </c>
      <c r="I388" s="1605">
        <f t="shared" si="2408"/>
        <v>-0.12046979865771801</v>
      </c>
      <c r="J388" s="1605">
        <f t="shared" si="2408"/>
        <v>-0.16787474630327626</v>
      </c>
      <c r="K388" s="1605">
        <f t="shared" si="2408"/>
        <v>-4.0706609312127995E-2</v>
      </c>
      <c r="L388" s="1605">
        <f t="shared" si="2408"/>
        <v>-1.4120651825813679E-2</v>
      </c>
      <c r="M388" s="1605">
        <f t="shared" si="2408"/>
        <v>6.6173894984456583E-2</v>
      </c>
      <c r="N388" s="1605">
        <f t="shared" si="2408"/>
        <v>0.13294520418350553</v>
      </c>
      <c r="O388" s="1605">
        <f t="shared" si="2408"/>
        <v>0.13876058915287648</v>
      </c>
      <c r="P388" s="1605">
        <f t="shared" si="2408"/>
        <v>0.14927876419393837</v>
      </c>
      <c r="Q388" s="1605">
        <f t="shared" si="2408"/>
        <v>-1.375651446615489E-2</v>
      </c>
      <c r="R388" s="1605">
        <f t="shared" si="2408"/>
        <v>0.21203631617553653</v>
      </c>
      <c r="S388" s="1866">
        <f t="shared" si="2408"/>
        <v>9.8493180952468284E-2</v>
      </c>
      <c r="T388" s="1605">
        <f t="shared" si="2408"/>
        <v>0.14817836598670997</v>
      </c>
      <c r="U388" s="1605">
        <f t="shared" si="2408"/>
        <v>0.19448476052249619</v>
      </c>
      <c r="V388" s="1605">
        <f t="shared" si="2408"/>
        <v>9.3123572697284995E-2</v>
      </c>
      <c r="W388" s="1866">
        <f t="shared" ref="W388" si="2409">+W387/S387-1</f>
        <v>2.8684076227390181</v>
      </c>
      <c r="X388" s="1605">
        <f t="shared" ref="X388" si="2410">+X387/T387-1</f>
        <v>2.0832858678130037</v>
      </c>
      <c r="Y388" s="1605">
        <f t="shared" ref="Y388" si="2411">+Y387/U387-1</f>
        <v>3.9220565006075336</v>
      </c>
      <c r="Z388" s="1605">
        <f t="shared" ref="Z388" si="2412">+Z387/V387-1</f>
        <v>3.6180849582172723</v>
      </c>
      <c r="AA388" s="1605">
        <f t="shared" ref="AA388" si="2413">+AA387/W387-1</f>
        <v>0.18948465297718298</v>
      </c>
      <c r="AB388" s="1605">
        <f t="shared" ref="AB388" si="2414">+AB387/X387-1</f>
        <v>0.4737769900461748</v>
      </c>
      <c r="AC388" s="1605">
        <f t="shared" ref="AC388" si="2415">+AC387/Y387-1</f>
        <v>7.7979882012490176E-2</v>
      </c>
      <c r="AD388" s="1605">
        <f t="shared" ref="AD388" si="2416">+AD387/Z387-1</f>
        <v>-8.3824795636629701E-2</v>
      </c>
      <c r="AE388" s="1605">
        <f t="shared" ref="AE388" si="2417">+AE387/AA387-1</f>
        <v>-7.0793354190694102E-2</v>
      </c>
      <c r="AF388" s="1605">
        <f t="shared" ref="AF388" si="2418">+AF387/AB387-1</f>
        <v>-1.9559452612036177E-2</v>
      </c>
      <c r="AG388" s="1605">
        <f t="shared" ref="AG388" si="2419">+AG387/AC387-1</f>
        <v>4.5363386280947715E-2</v>
      </c>
      <c r="AH388" s="1605">
        <f t="shared" ref="AH388:AI388" si="2420">+AH387/AD387-1</f>
        <v>0.12323668571528867</v>
      </c>
      <c r="AI388" s="1605">
        <f t="shared" si="2420"/>
        <v>-0.23484734597675549</v>
      </c>
      <c r="AJ388" s="1605">
        <f t="shared" ref="AJ388:AP388" si="2421">+AJ387/AF387-1</f>
        <v>-0.15104895357925119</v>
      </c>
      <c r="AK388" s="1605">
        <f t="shared" si="2421"/>
        <v>-0.2349671593551822</v>
      </c>
      <c r="AL388" s="1628">
        <f t="shared" si="2421"/>
        <v>-0.12344795042393264</v>
      </c>
      <c r="AM388" s="1866">
        <f t="shared" si="2421"/>
        <v>0.29316921177518407</v>
      </c>
      <c r="AN388" s="1628">
        <f t="shared" si="2421"/>
        <v>0.18648040894719164</v>
      </c>
      <c r="AO388" s="1628">
        <f t="shared" si="2421"/>
        <v>0.12249330276966131</v>
      </c>
      <c r="AP388" s="1628">
        <f t="shared" si="2421"/>
        <v>7.1157723817845131E-2</v>
      </c>
      <c r="AQ388" s="1628">
        <f t="shared" ref="AQ388" si="2422">+AQ387/AM387-1</f>
        <v>8.1293444263985215E-2</v>
      </c>
      <c r="AR388" s="1628">
        <f t="shared" ref="AR388" si="2423">+AR387/AN387-1</f>
        <v>9.7673014582819073E-2</v>
      </c>
      <c r="AS388" s="1628">
        <f t="shared" ref="AS388" si="2424">+AS387/AO387-1</f>
        <v>9.7790674730479532E-2</v>
      </c>
      <c r="AT388" s="1628">
        <f t="shared" ref="AT388" si="2425">+AT387/AP387-1</f>
        <v>7.9028860019032088E-2</v>
      </c>
      <c r="AU388" s="1628">
        <f t="shared" ref="AU388" si="2426">+AU387/AQ387-1</f>
        <v>9.2929751683221928E-2</v>
      </c>
      <c r="AV388" s="1628">
        <f t="shared" ref="AV388" si="2427">+AV387/AR387-1</f>
        <v>0.10787463300798805</v>
      </c>
      <c r="AW388" s="1628">
        <f t="shared" ref="AW388" si="2428">+AW387/AS387-1</f>
        <v>0.10743399560714861</v>
      </c>
      <c r="AX388" s="1628">
        <f t="shared" ref="AX388" si="2429">+AX387/AT387-1</f>
        <v>8.7068480407959337E-2</v>
      </c>
      <c r="AY388" s="1628"/>
      <c r="AZ388" s="1628"/>
      <c r="BA388" s="85"/>
      <c r="BB388" s="1628">
        <v>7.9028860019032088E-2</v>
      </c>
      <c r="BC388" s="2197"/>
      <c r="BD388" s="85"/>
      <c r="BE388" s="1605"/>
      <c r="BF388" s="1605">
        <f t="shared" ref="BF388:BR388" si="2430">+BF387/BE387-1</f>
        <v>-2.5320970042796098E-2</v>
      </c>
      <c r="BG388" s="1605">
        <f t="shared" si="2430"/>
        <v>3.7465448029818882E-2</v>
      </c>
      <c r="BH388" s="1605">
        <f t="shared" si="2430"/>
        <v>0.12480549556689402</v>
      </c>
      <c r="BI388" s="1605"/>
      <c r="BJ388" s="2059">
        <f>+BJ387/BH387-1</f>
        <v>0.13019745971936425</v>
      </c>
      <c r="BK388" s="1605">
        <f>+BK387/BJ387-1</f>
        <v>3.1303023997780555</v>
      </c>
      <c r="BL388" s="1605">
        <f t="shared" si="2430"/>
        <v>0.12262341164755375</v>
      </c>
      <c r="BM388" s="1605">
        <f t="shared" si="2430"/>
        <v>2.5418002869280087E-2</v>
      </c>
      <c r="BN388" s="1605">
        <f t="shared" si="2430"/>
        <v>-0.1813394486214166</v>
      </c>
      <c r="BO388" s="1866">
        <f t="shared" si="2430"/>
        <v>0.15293172524368748</v>
      </c>
      <c r="BP388" s="1605">
        <f t="shared" si="2430"/>
        <v>8.884677766107818E-2</v>
      </c>
      <c r="BQ388" s="1605">
        <f t="shared" si="2430"/>
        <v>9.8637062177032719E-2</v>
      </c>
      <c r="BR388" s="1605">
        <f t="shared" si="2430"/>
        <v>7.1847358143299234E-2</v>
      </c>
      <c r="BS388" s="1605">
        <f t="shared" ref="BS388" si="2431">+BS387/BR387-1</f>
        <v>6.9055127221656187E-2</v>
      </c>
      <c r="BT388" s="1605">
        <f t="shared" ref="BT388" si="2432">+BT387/BS387-1</f>
        <v>7.0376299174901291E-2</v>
      </c>
      <c r="BU388" s="1605">
        <f t="shared" ref="BU388" si="2433">+BU387/BT387-1</f>
        <v>7.1605587497679313E-2</v>
      </c>
    </row>
    <row r="389" spans="1:73" s="1602" customFormat="1" ht="15" hidden="1" customHeight="1">
      <c r="B389" s="1597" t="s">
        <v>318</v>
      </c>
      <c r="C389" s="1637"/>
      <c r="D389" s="1637"/>
      <c r="E389" s="1637"/>
      <c r="F389" s="1637"/>
      <c r="G389" s="1638">
        <f t="shared" ref="G389:AP389" si="2434">+G387/G$368</f>
        <v>-0.1657778063355394</v>
      </c>
      <c r="H389" s="1638">
        <f t="shared" si="2434"/>
        <v>-0.15091254351724862</v>
      </c>
      <c r="I389" s="1638">
        <f t="shared" si="2434"/>
        <v>-0.14819631346828002</v>
      </c>
      <c r="J389" s="1638">
        <f t="shared" si="2434"/>
        <v>-0.1368165133241169</v>
      </c>
      <c r="K389" s="1638">
        <f t="shared" si="2434"/>
        <v>-0.15639400772428647</v>
      </c>
      <c r="L389" s="1638">
        <f t="shared" si="2434"/>
        <v>-0.15064602328803367</v>
      </c>
      <c r="M389" s="1638">
        <f t="shared" si="2434"/>
        <v>-0.14266903380487755</v>
      </c>
      <c r="N389" s="1638">
        <f t="shared" si="2434"/>
        <v>-0.14326882944988548</v>
      </c>
      <c r="O389" s="1638">
        <f t="shared" si="2434"/>
        <v>-0.16802265543979997</v>
      </c>
      <c r="P389" s="1638">
        <f t="shared" si="2434"/>
        <v>-0.15768731248357179</v>
      </c>
      <c r="Q389" s="1638">
        <f t="shared" si="2434"/>
        <v>-0.13466236685234048</v>
      </c>
      <c r="R389" s="1638">
        <f t="shared" si="2434"/>
        <v>-0.15009330845107974</v>
      </c>
      <c r="S389" s="1875">
        <f t="shared" si="2434"/>
        <v>-0.17651083238312429</v>
      </c>
      <c r="T389" s="1638">
        <f t="shared" si="2434"/>
        <v>-0.16544428145975021</v>
      </c>
      <c r="U389" s="1638">
        <f t="shared" si="2434"/>
        <v>-0.14695772510155797</v>
      </c>
      <c r="V389" s="1638">
        <f t="shared" si="2434"/>
        <v>-0.15610958109870998</v>
      </c>
      <c r="W389" s="1875">
        <f t="shared" si="2434"/>
        <v>-0.58778069243397246</v>
      </c>
      <c r="X389" s="1638">
        <f t="shared" si="2434"/>
        <v>-0.4859867899223293</v>
      </c>
      <c r="Y389" s="1638">
        <f t="shared" si="2434"/>
        <v>-0.5090619083793434</v>
      </c>
      <c r="Z389" s="1638">
        <f t="shared" si="2434"/>
        <v>-0.57150165937545028</v>
      </c>
      <c r="AA389" s="1638">
        <f t="shared" si="2434"/>
        <v>-0.54036717431297077</v>
      </c>
      <c r="AB389" s="1638">
        <f t="shared" si="2434"/>
        <v>-0.57082429241183585</v>
      </c>
      <c r="AC389" s="1638">
        <f t="shared" si="2434"/>
        <v>-0.5709370101080361</v>
      </c>
      <c r="AD389" s="1638">
        <f t="shared" si="2434"/>
        <v>-0.49871156656978999</v>
      </c>
      <c r="AE389" s="1638">
        <f t="shared" si="2434"/>
        <v>-0.50530442822035215</v>
      </c>
      <c r="AF389" s="1638">
        <f t="shared" si="2434"/>
        <v>-0.49990533831603495</v>
      </c>
      <c r="AG389" s="1638">
        <f t="shared" si="2434"/>
        <v>-0.53704200438944028</v>
      </c>
      <c r="AH389" s="1638">
        <f t="shared" si="2434"/>
        <v>-0.54676713961880397</v>
      </c>
      <c r="AI389" s="1638">
        <f t="shared" si="2434"/>
        <v>-0.42972391386064929</v>
      </c>
      <c r="AJ389" s="1638">
        <f t="shared" si="2434"/>
        <v>-0.45628514308754836</v>
      </c>
      <c r="AK389" s="1638">
        <f t="shared" ref="AK389" si="2435">+AK387/AK$368</f>
        <v>-0.44055848539500803</v>
      </c>
      <c r="AL389" s="1638">
        <f t="shared" si="2434"/>
        <v>-0.50440880676865829</v>
      </c>
      <c r="AM389" s="1875">
        <f t="shared" si="2434"/>
        <v>-0.45239757332397518</v>
      </c>
      <c r="AN389" s="1638">
        <f t="shared" si="2434"/>
        <v>-0.42317191259071857</v>
      </c>
      <c r="AO389" s="1638">
        <f t="shared" si="2434"/>
        <v>-0.42133148530780573</v>
      </c>
      <c r="AP389" s="1638">
        <f t="shared" si="2434"/>
        <v>-0.48365101618706136</v>
      </c>
      <c r="AQ389" s="1638">
        <f t="shared" ref="AQ389:AT389" si="2436">+AQ387/AQ$368</f>
        <v>-0.43148311388483496</v>
      </c>
      <c r="AR389" s="1638">
        <f t="shared" si="2436"/>
        <v>-0.40527937915460849</v>
      </c>
      <c r="AS389" s="1638">
        <f t="shared" si="2436"/>
        <v>-0.40350044387464312</v>
      </c>
      <c r="AT389" s="1638">
        <f t="shared" si="2436"/>
        <v>-0.46327688433407721</v>
      </c>
      <c r="AU389" s="1638">
        <f t="shared" ref="AU389:AX389" si="2437">+AU387/AU$368</f>
        <v>-0.41203501038723056</v>
      </c>
      <c r="AV389" s="1638">
        <f t="shared" si="2437"/>
        <v>-0.38783784830086299</v>
      </c>
      <c r="AW389" s="1638">
        <f t="shared" si="2437"/>
        <v>-0.38592272303997177</v>
      </c>
      <c r="AX389" s="1638">
        <f t="shared" si="2437"/>
        <v>-0.4430398088089193</v>
      </c>
      <c r="AY389" s="1638"/>
      <c r="AZ389" s="1638"/>
      <c r="BA389" s="85"/>
      <c r="BB389" s="1638">
        <v>-0.46327688433407721</v>
      </c>
      <c r="BC389" s="2197"/>
      <c r="BD389" s="85"/>
      <c r="BE389" s="1639"/>
      <c r="BF389" s="1639">
        <f>+BF387/BF$368</f>
        <v>-0.14937691298644509</v>
      </c>
      <c r="BG389" s="1639">
        <f>+BG387/BG$368</f>
        <v>-0.14761716939750485</v>
      </c>
      <c r="BH389" s="1639">
        <f>+BH387/BH$368</f>
        <v>-0.1517713908806268</v>
      </c>
      <c r="BI389" s="1639"/>
      <c r="BJ389" s="2066">
        <f t="shared" ref="BJ389:BO389" si="2438">+BJ387/BJ$368</f>
        <v>-0.16013950285447723</v>
      </c>
      <c r="BK389" s="1639">
        <f t="shared" si="2438"/>
        <v>-0.53828236342861335</v>
      </c>
      <c r="BL389" s="1639">
        <f t="shared" si="2438"/>
        <v>-0.54292711517438541</v>
      </c>
      <c r="BM389" s="1639">
        <f t="shared" si="2438"/>
        <v>-0.52405288331874755</v>
      </c>
      <c r="BN389" s="1639">
        <f t="shared" si="2438"/>
        <v>-0.46111179557488746</v>
      </c>
      <c r="BO389" s="1874">
        <f t="shared" si="2438"/>
        <v>-0.4450549003717259</v>
      </c>
      <c r="BP389" s="1639">
        <f t="shared" ref="BP389:BQ389" si="2439">+BP387/BP$368</f>
        <v>-0.42570847348525337</v>
      </c>
      <c r="BQ389" s="1639">
        <f t="shared" si="2439"/>
        <v>-0.40688791832731075</v>
      </c>
      <c r="BR389" s="1639">
        <f>+BR387/BR$368</f>
        <v>-0.40499325910694367</v>
      </c>
      <c r="BS389" s="1639">
        <f>+BS387/BS$368</f>
        <v>-0.40192207731165847</v>
      </c>
      <c r="BT389" s="1639">
        <f>+BT387/BT$368</f>
        <v>-0.39923216021820584</v>
      </c>
      <c r="BU389" s="1639">
        <f>+BU387/BU$368</f>
        <v>-0.39688095438706783</v>
      </c>
    </row>
    <row r="390" spans="1:73" s="1602" customFormat="1" ht="15" hidden="1" customHeight="1">
      <c r="B390" s="1597"/>
      <c r="C390" s="1599"/>
      <c r="D390" s="1599"/>
      <c r="E390" s="1599"/>
      <c r="F390" s="1599"/>
      <c r="G390" s="1599"/>
      <c r="H390" s="1599"/>
      <c r="I390" s="1599"/>
      <c r="J390" s="1599"/>
      <c r="K390" s="1599"/>
      <c r="L390" s="1599"/>
      <c r="M390" s="1599"/>
      <c r="N390" s="1599"/>
      <c r="O390" s="1599"/>
      <c r="P390" s="1599"/>
      <c r="Q390" s="1599"/>
      <c r="R390" s="1599"/>
      <c r="S390" s="1975"/>
      <c r="T390" s="1599"/>
      <c r="U390" s="1601"/>
      <c r="V390" s="1601"/>
      <c r="W390" s="1877"/>
      <c r="X390" s="1601"/>
      <c r="Y390" s="1601"/>
      <c r="Z390" s="1601"/>
      <c r="AA390" s="1601"/>
      <c r="AB390" s="1601"/>
      <c r="AC390" s="1601"/>
      <c r="AD390" s="1601"/>
      <c r="AE390" s="1601"/>
      <c r="AF390" s="1601"/>
      <c r="AG390" s="1601"/>
      <c r="AH390" s="1601"/>
      <c r="AI390" s="1601"/>
      <c r="AJ390" s="1601"/>
      <c r="AK390" s="1601"/>
      <c r="AL390" s="1645"/>
      <c r="AM390" s="1870"/>
      <c r="AN390" s="1645"/>
      <c r="AO390" s="1645"/>
      <c r="AP390" s="1645"/>
      <c r="AQ390" s="1645"/>
      <c r="AR390" s="1645"/>
      <c r="AS390" s="1645"/>
      <c r="AT390" s="1645"/>
      <c r="AU390" s="1645"/>
      <c r="AV390" s="1645"/>
      <c r="AW390" s="1645"/>
      <c r="AX390" s="1645"/>
      <c r="AY390" s="1645"/>
      <c r="AZ390" s="1645"/>
      <c r="BA390" s="85"/>
      <c r="BB390" s="1645"/>
      <c r="BC390" s="2197"/>
      <c r="BD390" s="85"/>
      <c r="BE390" s="1599"/>
      <c r="BF390" s="1599"/>
      <c r="BG390" s="1599"/>
      <c r="BH390" s="1599"/>
      <c r="BI390" s="1599"/>
      <c r="BJ390" s="2065"/>
      <c r="BK390" s="1599"/>
      <c r="BL390" s="1599"/>
      <c r="BM390" s="1599"/>
      <c r="BN390" s="1599"/>
      <c r="BO390" s="1975"/>
      <c r="BP390" s="1599"/>
      <c r="BQ390" s="1599"/>
      <c r="BR390" s="1601"/>
      <c r="BS390" s="1601"/>
      <c r="BT390" s="1601"/>
      <c r="BU390" s="1601"/>
    </row>
    <row r="391" spans="1:73" s="1596" customFormat="1" ht="15" hidden="1" customHeight="1">
      <c r="A391" s="1595"/>
      <c r="B391" s="1596" t="s">
        <v>323</v>
      </c>
      <c r="C391" s="1612">
        <f t="shared" ref="C391:Z391" si="2440">+C374+C387</f>
        <v>10.19999999999996</v>
      </c>
      <c r="D391" s="1612">
        <f t="shared" si="2440"/>
        <v>38.400000000000034</v>
      </c>
      <c r="E391" s="1612">
        <f t="shared" si="2440"/>
        <v>56.300000000000011</v>
      </c>
      <c r="F391" s="1612">
        <f t="shared" si="2440"/>
        <v>48</v>
      </c>
      <c r="G391" s="1612">
        <f t="shared" si="2440"/>
        <v>44.800000000000011</v>
      </c>
      <c r="H391" s="1612">
        <f t="shared" si="2440"/>
        <v>53.100000000000023</v>
      </c>
      <c r="I391" s="1612">
        <f t="shared" si="2440"/>
        <v>74.899999999999977</v>
      </c>
      <c r="J391" s="1612">
        <f t="shared" si="2440"/>
        <v>53</v>
      </c>
      <c r="K391" s="1612">
        <f t="shared" si="2440"/>
        <v>30.447816040302115</v>
      </c>
      <c r="L391" s="1612">
        <f t="shared" si="2440"/>
        <v>72.894358887503188</v>
      </c>
      <c r="M391" s="1612">
        <f t="shared" si="2440"/>
        <v>98.028158056393067</v>
      </c>
      <c r="N391" s="1612">
        <f t="shared" si="2440"/>
        <v>64.978363546398896</v>
      </c>
      <c r="O391" s="1612">
        <f t="shared" si="2440"/>
        <v>62.557889471093517</v>
      </c>
      <c r="P391" s="1612">
        <f t="shared" si="2440"/>
        <v>89.194681321390874</v>
      </c>
      <c r="Q391" s="1612">
        <f t="shared" si="2440"/>
        <v>82.299999999999955</v>
      </c>
      <c r="R391" s="1612">
        <f t="shared" si="2440"/>
        <v>69.699999999999989</v>
      </c>
      <c r="S391" s="1878">
        <f t="shared" si="2440"/>
        <v>58.799999999999955</v>
      </c>
      <c r="T391" s="1612">
        <f t="shared" si="2440"/>
        <v>76.100000000000023</v>
      </c>
      <c r="U391" s="1612">
        <f t="shared" si="2440"/>
        <v>111</v>
      </c>
      <c r="V391" s="1612">
        <f t="shared" si="2440"/>
        <v>73.299999999999955</v>
      </c>
      <c r="W391" s="1878">
        <f t="shared" si="2440"/>
        <v>174.68599999999992</v>
      </c>
      <c r="X391" s="1612">
        <f t="shared" si="2440"/>
        <v>447.70999999999981</v>
      </c>
      <c r="Y391" s="1612">
        <f t="shared" si="2440"/>
        <v>544.35400000000027</v>
      </c>
      <c r="Z391" s="1612">
        <f t="shared" si="2440"/>
        <v>355.37099999999828</v>
      </c>
      <c r="AA391" s="1612">
        <f>+AA374+AA387</f>
        <v>374.95699999999943</v>
      </c>
      <c r="AB391" s="1612">
        <f>+AB374+AB387</f>
        <v>276.50800000000049</v>
      </c>
      <c r="AC391" s="1612">
        <f>+AC374+AC387</f>
        <v>338.57700000000023</v>
      </c>
      <c r="AD391" s="1612">
        <f>+AD374+AD387</f>
        <v>553.73200000000156</v>
      </c>
      <c r="AE391" s="1612">
        <f t="shared" ref="AE391:AH391" si="2441">+AE374+AE387</f>
        <v>389.5019999999995</v>
      </c>
      <c r="AF391" s="1612">
        <f t="shared" si="2441"/>
        <v>485.33500000000004</v>
      </c>
      <c r="AG391" s="1612">
        <f t="shared" si="2441"/>
        <v>446.51199999999994</v>
      </c>
      <c r="AH391" s="1612">
        <f t="shared" si="2441"/>
        <v>357.95799999999963</v>
      </c>
      <c r="AI391" s="1612">
        <f t="shared" ref="AI391" si="2442">+AI374+AI387</f>
        <v>462.92999999999938</v>
      </c>
      <c r="AJ391" s="1612">
        <f t="shared" ref="AJ391:AP391" si="2443">+AJ374+AJ387</f>
        <v>555.39899999999966</v>
      </c>
      <c r="AK391" s="1612">
        <f t="shared" ref="AK391" si="2444">+AK374+AK387</f>
        <v>601.09670392866883</v>
      </c>
      <c r="AL391" s="1612">
        <f t="shared" si="2443"/>
        <v>454.42359516853185</v>
      </c>
      <c r="AM391" s="1878">
        <f t="shared" si="2443"/>
        <v>529.07095286963772</v>
      </c>
      <c r="AN391" s="1612">
        <f t="shared" si="2443"/>
        <v>848.46228007149466</v>
      </c>
      <c r="AO391" s="1612">
        <f t="shared" si="2443"/>
        <v>818.00885463349209</v>
      </c>
      <c r="AP391" s="1612">
        <f t="shared" si="2443"/>
        <v>637.84756442160574</v>
      </c>
      <c r="AQ391" s="1612">
        <f t="shared" ref="AQ391:AT391" si="2445">+AQ374+AQ387</f>
        <v>707.84778014410358</v>
      </c>
      <c r="AR391" s="1612">
        <f t="shared" si="2445"/>
        <v>1107.6795947352471</v>
      </c>
      <c r="AS391" s="1612">
        <f t="shared" si="2445"/>
        <v>1064.9460799982151</v>
      </c>
      <c r="AT391" s="1612">
        <f t="shared" si="2445"/>
        <v>863.47122202290575</v>
      </c>
      <c r="AU391" s="1612">
        <f t="shared" ref="AU391:AX391" si="2446">+AU374+AU387</f>
        <v>928.2851273622116</v>
      </c>
      <c r="AV391" s="1612">
        <f t="shared" si="2446"/>
        <v>1436.5488541623699</v>
      </c>
      <c r="AW391" s="1612">
        <f t="shared" si="2446"/>
        <v>1379.1738974804018</v>
      </c>
      <c r="AX391" s="1612">
        <f t="shared" si="2446"/>
        <v>1145.5949710372338</v>
      </c>
      <c r="AY391" s="1609"/>
      <c r="AZ391" s="1609"/>
      <c r="BA391" s="85"/>
      <c r="BB391" s="1612">
        <v>863.47122202290575</v>
      </c>
      <c r="BC391" s="2198"/>
      <c r="BD391" s="85"/>
      <c r="BE391" s="1612">
        <f>+SUM(C391:F391)</f>
        <v>152.9</v>
      </c>
      <c r="BF391" s="1612">
        <f>+SUM(G391:J391)</f>
        <v>225.8</v>
      </c>
      <c r="BG391" s="1612">
        <f>+SUM(K391:N391)</f>
        <v>266.34869653059729</v>
      </c>
      <c r="BH391" s="1609">
        <f>+SUM(O391:R391)</f>
        <v>303.75257079248433</v>
      </c>
      <c r="BI391" s="1609"/>
      <c r="BJ391" s="2062">
        <f>+SUM(S391:V391)</f>
        <v>319.19999999999993</v>
      </c>
      <c r="BK391" s="1612">
        <f>+SUM(W391:Z391)</f>
        <v>1522.1209999999983</v>
      </c>
      <c r="BL391" s="1612">
        <f>+SUM(AA391:AD391)</f>
        <v>1543.7740000000017</v>
      </c>
      <c r="BM391" s="1612">
        <f>+SUM(AE391:AH391)</f>
        <v>1679.3069999999991</v>
      </c>
      <c r="BN391" s="1612">
        <f>+SUM(AI391:AL391)</f>
        <v>2073.8492990971999</v>
      </c>
      <c r="BO391" s="1878">
        <f>+SUM(AM391:AP391)</f>
        <v>2833.38965199623</v>
      </c>
      <c r="BP391" s="1612">
        <f>+SUM(AQ391:AT391)</f>
        <v>3743.9446769004717</v>
      </c>
      <c r="BQ391" s="1612">
        <f>+SUM(AU391:AX391)</f>
        <v>4889.6028500422181</v>
      </c>
      <c r="BR391" s="1612">
        <f t="shared" ref="BR391" si="2447">+BR374+BR387</f>
        <v>5304.2382222548604</v>
      </c>
      <c r="BS391" s="1612">
        <f t="shared" ref="BS391:BU391" si="2448">+BS374+BS387</f>
        <v>5781.6243743211926</v>
      </c>
      <c r="BT391" s="1612">
        <f t="shared" si="2448"/>
        <v>6294.1738691238024</v>
      </c>
      <c r="BU391" s="1612">
        <f t="shared" si="2448"/>
        <v>6845.0977086914991</v>
      </c>
    </row>
    <row r="392" spans="1:73" s="1602" customFormat="1" ht="15" hidden="1" customHeight="1">
      <c r="B392" s="1597" t="s">
        <v>316</v>
      </c>
      <c r="C392" s="1599"/>
      <c r="D392" s="1599"/>
      <c r="E392" s="1599"/>
      <c r="F392" s="1599"/>
      <c r="G392" s="1605">
        <f t="shared" ref="G392:AD392" si="2449">+G391/C391-1</f>
        <v>3.3921568627451162</v>
      </c>
      <c r="H392" s="1605">
        <f t="shared" si="2449"/>
        <v>0.38281249999999933</v>
      </c>
      <c r="I392" s="1605">
        <f t="shared" si="2449"/>
        <v>0.33037300177619833</v>
      </c>
      <c r="J392" s="1605">
        <f t="shared" si="2449"/>
        <v>0.10416666666666674</v>
      </c>
      <c r="K392" s="1605">
        <f t="shared" si="2449"/>
        <v>-0.32036124910039943</v>
      </c>
      <c r="L392" s="1605">
        <f t="shared" si="2449"/>
        <v>0.37277512029196158</v>
      </c>
      <c r="M392" s="1605">
        <f t="shared" si="2449"/>
        <v>0.30878715696118952</v>
      </c>
      <c r="N392" s="1605">
        <f t="shared" si="2449"/>
        <v>0.22600685936601694</v>
      </c>
      <c r="O392" s="1605">
        <f t="shared" si="2449"/>
        <v>1.0545936492879835</v>
      </c>
      <c r="P392" s="1605">
        <f t="shared" si="2449"/>
        <v>0.22361569101723955</v>
      </c>
      <c r="Q392" s="1605">
        <f t="shared" si="2449"/>
        <v>-0.16044530845254801</v>
      </c>
      <c r="R392" s="1605">
        <f t="shared" si="2449"/>
        <v>7.2664748631743104E-2</v>
      </c>
      <c r="S392" s="1866">
        <f t="shared" si="2449"/>
        <v>-6.0070592260469291E-2</v>
      </c>
      <c r="T392" s="1605">
        <f t="shared" si="2449"/>
        <v>-0.14681011386998988</v>
      </c>
      <c r="U392" s="1605">
        <f t="shared" si="2449"/>
        <v>0.34872417982989146</v>
      </c>
      <c r="V392" s="1605">
        <f t="shared" si="2449"/>
        <v>5.1649928263987954E-2</v>
      </c>
      <c r="W392" s="1866">
        <f t="shared" si="2449"/>
        <v>1.9708503401360553</v>
      </c>
      <c r="X392" s="1605">
        <f t="shared" si="2449"/>
        <v>4.8831800262812051</v>
      </c>
      <c r="Y392" s="1605">
        <f t="shared" si="2449"/>
        <v>3.9040900900900928</v>
      </c>
      <c r="Z392" s="1605">
        <f t="shared" si="2449"/>
        <v>3.8481718963164866</v>
      </c>
      <c r="AA392" s="1605">
        <f t="shared" si="2449"/>
        <v>1.146462796102719</v>
      </c>
      <c r="AB392" s="1605">
        <f t="shared" si="2449"/>
        <v>-0.38239485381161775</v>
      </c>
      <c r="AC392" s="1605">
        <f t="shared" si="2449"/>
        <v>-0.37802055280203684</v>
      </c>
      <c r="AD392" s="1605">
        <f t="shared" si="2449"/>
        <v>0.55818004282849265</v>
      </c>
      <c r="AE392" s="1605">
        <f t="shared" ref="AE392" si="2450">+AE391/AA391-1</f>
        <v>3.8791114714487485E-2</v>
      </c>
      <c r="AF392" s="1605">
        <f t="shared" ref="AF392" si="2451">+AF391/AB391-1</f>
        <v>0.75522950511377318</v>
      </c>
      <c r="AG392" s="1605">
        <f t="shared" ref="AG392" si="2452">+AG391/AC391-1</f>
        <v>0.31879011273654045</v>
      </c>
      <c r="AH392" s="1605">
        <f t="shared" ref="AH392:AK392" si="2453">+AH391/AD391-1</f>
        <v>-0.35355370468024494</v>
      </c>
      <c r="AI392" s="1605">
        <f t="shared" si="2453"/>
        <v>0.1885176456090083</v>
      </c>
      <c r="AJ392" s="1605">
        <f t="shared" si="2453"/>
        <v>0.1443621416135239</v>
      </c>
      <c r="AK392" s="1605">
        <f t="shared" si="2453"/>
        <v>0.3462050380027164</v>
      </c>
      <c r="AL392" s="1638">
        <f t="shared" ref="AL392:AP392" si="2454">+AL391/AH391-1</f>
        <v>0.2694885857238345</v>
      </c>
      <c r="AM392" s="1875">
        <f t="shared" si="2454"/>
        <v>0.14287463087213714</v>
      </c>
      <c r="AN392" s="1638">
        <f t="shared" si="2454"/>
        <v>0.52766259944921612</v>
      </c>
      <c r="AO392" s="1638">
        <f t="shared" si="2454"/>
        <v>0.3608606556767342</v>
      </c>
      <c r="AP392" s="1638">
        <f t="shared" si="2454"/>
        <v>0.40364094471161316</v>
      </c>
      <c r="AQ392" s="1638">
        <f t="shared" ref="AQ392" si="2455">+AQ391/AM391-1</f>
        <v>0.33790709224310067</v>
      </c>
      <c r="AR392" s="1638">
        <f t="shared" ref="AR392" si="2456">+AR391/AN391-1</f>
        <v>0.30551424707048813</v>
      </c>
      <c r="AS392" s="1638">
        <f t="shared" ref="AS392" si="2457">+AS391/AO391-1</f>
        <v>0.30187598088453815</v>
      </c>
      <c r="AT392" s="1638">
        <f t="shared" ref="AT392" si="2458">+AT391/AP391-1</f>
        <v>0.35372661147635398</v>
      </c>
      <c r="AU392" s="1638">
        <f t="shared" ref="AU392" si="2459">+AU391/AQ391-1</f>
        <v>0.31141914038810925</v>
      </c>
      <c r="AV392" s="1638">
        <f t="shared" ref="AV392" si="2460">+AV391/AR391-1</f>
        <v>0.2968992667105399</v>
      </c>
      <c r="AW392" s="1638">
        <f t="shared" ref="AW392" si="2461">+AW391/AS391-1</f>
        <v>0.29506453273457134</v>
      </c>
      <c r="AX392" s="1638">
        <f t="shared" ref="AX392" si="2462">+AX391/AT391-1</f>
        <v>0.32673208072109206</v>
      </c>
      <c r="AY392" s="1638"/>
      <c r="AZ392" s="1638"/>
      <c r="BA392" s="85"/>
      <c r="BB392" s="1638">
        <v>0.35372661147635398</v>
      </c>
      <c r="BC392" s="2197"/>
      <c r="BD392" s="85"/>
      <c r="BE392" s="1605"/>
      <c r="BF392" s="1605">
        <f t="shared" ref="BF392:BR392" si="2463">+BF391/BE391-1</f>
        <v>0.47678221059516024</v>
      </c>
      <c r="BG392" s="1605">
        <f t="shared" si="2463"/>
        <v>0.17957792971920861</v>
      </c>
      <c r="BH392" s="1605">
        <f t="shared" si="2463"/>
        <v>0.14043197788876816</v>
      </c>
      <c r="BI392" s="1605"/>
      <c r="BJ392" s="2059">
        <f>+BJ391/BH391-1</f>
        <v>5.0855303601920365E-2</v>
      </c>
      <c r="BK392" s="1605">
        <f>+BK391/BJ391-1</f>
        <v>3.7685494987468626</v>
      </c>
      <c r="BL392" s="1605">
        <f t="shared" si="2463"/>
        <v>1.4225544486938579E-2</v>
      </c>
      <c r="BM392" s="1605">
        <f t="shared" si="2463"/>
        <v>8.7793290986891481E-2</v>
      </c>
      <c r="BN392" s="1605">
        <f t="shared" si="2463"/>
        <v>0.23494352080781011</v>
      </c>
      <c r="BO392" s="1866">
        <f t="shared" si="2463"/>
        <v>0.36624664734784607</v>
      </c>
      <c r="BP392" s="1605">
        <f t="shared" si="2463"/>
        <v>0.32136597388316201</v>
      </c>
      <c r="BQ392" s="1605">
        <f t="shared" si="2463"/>
        <v>0.3060029653243197</v>
      </c>
      <c r="BR392" s="1605">
        <f t="shared" si="2463"/>
        <v>8.479939678721804E-2</v>
      </c>
      <c r="BS392" s="1605">
        <f t="shared" ref="BS392" si="2464">+BS391/BR391-1</f>
        <v>9.0000888358176434E-2</v>
      </c>
      <c r="BT392" s="1605">
        <f t="shared" ref="BT392" si="2465">+BT391/BS391-1</f>
        <v>8.8651469140588635E-2</v>
      </c>
      <c r="BU392" s="1605">
        <f t="shared" ref="BU392" si="2466">+BU391/BT391-1</f>
        <v>8.7529173966779839E-2</v>
      </c>
    </row>
    <row r="393" spans="1:73" s="1602" customFormat="1" ht="15" hidden="1" customHeight="1">
      <c r="B393" s="1602" t="s">
        <v>324</v>
      </c>
      <c r="C393" s="1599"/>
      <c r="D393" s="1599"/>
      <c r="E393" s="1599"/>
      <c r="F393" s="1599"/>
      <c r="G393" s="1633">
        <f t="shared" ref="G393:AP393" si="2467">+G391/G368</f>
        <v>2.8786223735783593E-2</v>
      </c>
      <c r="H393" s="1633">
        <f t="shared" si="2467"/>
        <v>2.800928367971306E-2</v>
      </c>
      <c r="I393" s="1633">
        <f t="shared" si="2467"/>
        <v>4.2349881262015145E-2</v>
      </c>
      <c r="J393" s="1633">
        <f t="shared" si="2467"/>
        <v>2.5265767268913573E-2</v>
      </c>
      <c r="K393" s="1633">
        <f t="shared" si="2467"/>
        <v>1.9240001329674284E-2</v>
      </c>
      <c r="L393" s="1633">
        <f t="shared" si="2467"/>
        <v>3.893229140274921E-2</v>
      </c>
      <c r="M393" s="1633">
        <f t="shared" si="2467"/>
        <v>5.0047858223090554E-2</v>
      </c>
      <c r="N393" s="1633">
        <f t="shared" si="2467"/>
        <v>2.8630549281186895E-2</v>
      </c>
      <c r="O393" s="1633">
        <f t="shared" si="2467"/>
        <v>3.7294633683345284E-2</v>
      </c>
      <c r="P393" s="1633">
        <f t="shared" si="2467"/>
        <v>4.3387906981137377E-2</v>
      </c>
      <c r="Q393" s="1633">
        <f t="shared" si="2467"/>
        <v>4.0213036255252591E-2</v>
      </c>
      <c r="R393" s="1633">
        <f t="shared" si="2467"/>
        <v>2.6545302205126249E-2</v>
      </c>
      <c r="S393" s="1872">
        <f t="shared" si="2467"/>
        <v>3.3523375142531328E-2</v>
      </c>
      <c r="T393" s="1633">
        <f t="shared" si="2467"/>
        <v>3.3826732453215998E-2</v>
      </c>
      <c r="U393" s="1633">
        <f t="shared" si="2467"/>
        <v>4.9551359314316326E-2</v>
      </c>
      <c r="V393" s="1633">
        <f t="shared" si="2467"/>
        <v>2.656182055370342E-2</v>
      </c>
      <c r="W393" s="1872">
        <f t="shared" si="2467"/>
        <v>8.5731462827500021E-2</v>
      </c>
      <c r="X393" s="1633">
        <f t="shared" si="2467"/>
        <v>0.18959684150659417</v>
      </c>
      <c r="Y393" s="1633">
        <f t="shared" si="2467"/>
        <v>0.17101948668454928</v>
      </c>
      <c r="Z393" s="1633">
        <f t="shared" si="2467"/>
        <v>0.10208498449784491</v>
      </c>
      <c r="AA393" s="1633">
        <f t="shared" si="2467"/>
        <v>0.14222580461623058</v>
      </c>
      <c r="AB393" s="1633">
        <f t="shared" si="2467"/>
        <v>9.3322897671450272E-2</v>
      </c>
      <c r="AC393" s="1633">
        <f t="shared" si="2467"/>
        <v>0.11066965902538717</v>
      </c>
      <c r="AD393" s="1633">
        <f t="shared" si="2467"/>
        <v>0.15150707584984932</v>
      </c>
      <c r="AE393" s="1633">
        <f t="shared" si="2467"/>
        <v>0.14868202365310795</v>
      </c>
      <c r="AF393" s="1633">
        <f t="shared" si="2467"/>
        <v>0.14631410314385318</v>
      </c>
      <c r="AG393" s="1633">
        <f t="shared" si="2467"/>
        <v>0.13132790859234969</v>
      </c>
      <c r="AH393" s="1633">
        <f t="shared" si="2467"/>
        <v>9.5597613945429191E-2</v>
      </c>
      <c r="AI393" s="1633">
        <f t="shared" si="2467"/>
        <v>0.19640494896517527</v>
      </c>
      <c r="AJ393" s="1633">
        <f t="shared" si="2467"/>
        <v>0.1800178527208868</v>
      </c>
      <c r="AK393" s="1633">
        <f t="shared" ref="AK393" si="2468">+AK391/AK368</f>
        <v>0.18957605276708217</v>
      </c>
      <c r="AL393" s="1633">
        <f t="shared" si="2467"/>
        <v>0.12772573139343193</v>
      </c>
      <c r="AM393" s="1872">
        <f t="shared" si="2467"/>
        <v>0.18273696483811502</v>
      </c>
      <c r="AN393" s="1633">
        <f t="shared" si="2467"/>
        <v>0.21496262557137161</v>
      </c>
      <c r="AO393" s="1633">
        <f t="shared" si="2467"/>
        <v>0.21980305285428453</v>
      </c>
      <c r="AP393" s="1633">
        <f t="shared" si="2467"/>
        <v>0.16048352197502891</v>
      </c>
      <c r="AQ393" s="1633">
        <f t="shared" ref="AQ393:AT393" si="2469">+AQ391/AQ368</f>
        <v>0.21565142427725528</v>
      </c>
      <c r="AR393" s="1633">
        <f t="shared" si="2469"/>
        <v>0.24485515900748178</v>
      </c>
      <c r="AS393" s="1633">
        <f t="shared" si="2469"/>
        <v>0.24963409428744709</v>
      </c>
      <c r="AT393" s="1633">
        <f t="shared" si="2469"/>
        <v>0.19285765382801304</v>
      </c>
      <c r="AU393" s="1633">
        <f t="shared" ref="AU393:AX393" si="2470">+AU391/AU368</f>
        <v>0.24709952777485966</v>
      </c>
      <c r="AV393" s="1633">
        <f t="shared" si="2470"/>
        <v>0.27429668986122729</v>
      </c>
      <c r="AW393" s="1633">
        <f t="shared" si="2470"/>
        <v>0.27921181512211846</v>
      </c>
      <c r="AX393" s="1633">
        <f t="shared" si="2470"/>
        <v>0.22509472935317093</v>
      </c>
      <c r="AY393" s="1633"/>
      <c r="AZ393" s="1633"/>
      <c r="BA393" s="85"/>
      <c r="BB393" s="1633">
        <v>0.19285765382801304</v>
      </c>
      <c r="BC393" s="2197"/>
      <c r="BD393" s="85"/>
      <c r="BE393" s="1631">
        <f t="shared" ref="BE393:BK393" si="2471">+BE391/BE$368</f>
        <v>2.0515779304422502E-2</v>
      </c>
      <c r="BF393" s="1631">
        <f t="shared" si="2471"/>
        <v>3.0853738522081328E-2</v>
      </c>
      <c r="BG393" s="1631">
        <f t="shared" si="2471"/>
        <v>3.4666834272446788E-2</v>
      </c>
      <c r="BH393" s="1631">
        <f t="shared" si="2471"/>
        <v>3.6137589647161433E-2</v>
      </c>
      <c r="BI393" s="1631"/>
      <c r="BJ393" s="2063">
        <f t="shared" si="2471"/>
        <v>3.5453273207899233E-2</v>
      </c>
      <c r="BK393" s="1631">
        <f t="shared" si="2471"/>
        <v>0.1375854338075494</v>
      </c>
      <c r="BL393" s="1631">
        <f>+BL391/BL$368</f>
        <v>0.1253730780859714</v>
      </c>
      <c r="BM393" s="1631">
        <f t="shared" ref="BM393:BN393" si="2472">+BM391/BM$368</f>
        <v>0.1283758432728066</v>
      </c>
      <c r="BN393" s="1631">
        <f t="shared" si="2472"/>
        <v>0.17039531857145615</v>
      </c>
      <c r="BO393" s="1871">
        <f t="shared" ref="BO393:BP393" si="2473">+BO391/BO$368</f>
        <v>0.1948904388668222</v>
      </c>
      <c r="BP393" s="1631">
        <f t="shared" si="2473"/>
        <v>0.22622760091579097</v>
      </c>
      <c r="BQ393" s="1631">
        <f t="shared" ref="BQ393" si="2474">+BQ391/BQ$368</f>
        <v>0.25703839882861018</v>
      </c>
      <c r="BR393" s="1646">
        <f>+BR391/BR$368</f>
        <v>0.2589330580489772</v>
      </c>
      <c r="BS393" s="1646">
        <f>+BS391/BS$368</f>
        <v>0.26200423984426235</v>
      </c>
      <c r="BT393" s="1646">
        <f>+BT391/BT$368</f>
        <v>0.26469415693771497</v>
      </c>
      <c r="BU393" s="1646">
        <f>+BU391/BU$368</f>
        <v>0.26704536276885305</v>
      </c>
    </row>
    <row r="394" spans="1:73" s="1602" customFormat="1" ht="15" hidden="1" customHeight="1">
      <c r="B394" s="1597"/>
      <c r="C394" s="1599"/>
      <c r="D394" s="1599"/>
      <c r="E394" s="1599"/>
      <c r="F394" s="1599"/>
      <c r="G394" s="1599"/>
      <c r="H394" s="1599"/>
      <c r="I394" s="1599"/>
      <c r="J394" s="1599"/>
      <c r="K394" s="1599"/>
      <c r="L394" s="1599"/>
      <c r="M394" s="1599"/>
      <c r="N394" s="1599"/>
      <c r="O394" s="1599"/>
      <c r="P394" s="1599"/>
      <c r="Q394" s="1599"/>
      <c r="R394" s="1599"/>
      <c r="S394" s="1975"/>
      <c r="T394" s="1599"/>
      <c r="U394" s="1601"/>
      <c r="V394" s="1601"/>
      <c r="W394" s="1877"/>
      <c r="X394" s="1601"/>
      <c r="Y394" s="1601"/>
      <c r="Z394" s="1601"/>
      <c r="AA394" s="1601"/>
      <c r="AB394" s="1601"/>
      <c r="AC394" s="1601"/>
      <c r="AD394" s="1601"/>
      <c r="AE394" s="1601"/>
      <c r="AF394" s="1601"/>
      <c r="AG394" s="1601"/>
      <c r="AH394" s="1601"/>
      <c r="AI394" s="1601"/>
      <c r="AJ394" s="1601"/>
      <c r="AK394" s="1601"/>
      <c r="AL394" s="1645"/>
      <c r="AM394" s="1870"/>
      <c r="AN394" s="1645"/>
      <c r="AO394" s="1645"/>
      <c r="AP394" s="1645"/>
      <c r="AQ394" s="1645"/>
      <c r="AR394" s="1645"/>
      <c r="AS394" s="1645"/>
      <c r="AT394" s="1645"/>
      <c r="AU394" s="1645"/>
      <c r="AV394" s="1645"/>
      <c r="AW394" s="1645"/>
      <c r="AX394" s="1645"/>
      <c r="AY394" s="1645"/>
      <c r="AZ394" s="1645"/>
      <c r="BA394" s="85"/>
      <c r="BB394" s="1645"/>
      <c r="BC394" s="2197"/>
      <c r="BD394" s="85"/>
      <c r="BE394" s="1599"/>
      <c r="BF394" s="1599"/>
      <c r="BG394" s="1599"/>
      <c r="BH394" s="1599"/>
      <c r="BI394" s="1599"/>
      <c r="BJ394" s="2065"/>
      <c r="BK394" s="1599"/>
      <c r="BL394" s="1599"/>
      <c r="BM394" s="1599"/>
      <c r="BN394" s="1599"/>
      <c r="BO394" s="1975"/>
      <c r="BP394" s="1599"/>
      <c r="BQ394" s="1599"/>
      <c r="BR394" s="1601"/>
      <c r="BS394" s="1601"/>
      <c r="BT394" s="1601"/>
      <c r="BU394" s="1601"/>
    </row>
    <row r="395" spans="1:73" s="1602" customFormat="1" ht="15" hidden="1" customHeight="1">
      <c r="B395" s="1602" t="s">
        <v>325</v>
      </c>
      <c r="C395" s="1603">
        <v>3.5000000000000426</v>
      </c>
      <c r="D395" s="1603">
        <v>4.3999999999999631</v>
      </c>
      <c r="E395" s="1603">
        <v>4.3999999999999915</v>
      </c>
      <c r="F395" s="1603">
        <v>4.6000000000000014</v>
      </c>
      <c r="G395" s="1603">
        <v>5.3999999999999915</v>
      </c>
      <c r="H395" s="1603">
        <v>5.4999999999999787</v>
      </c>
      <c r="I395" s="1603">
        <v>5.6000000000000227</v>
      </c>
      <c r="J395" s="1603">
        <v>5.2999999999999972</v>
      </c>
      <c r="K395" s="1603">
        <v>7.4006843302968264</v>
      </c>
      <c r="L395" s="1603">
        <v>5.4887890279359937</v>
      </c>
      <c r="M395" s="1603">
        <v>6.0128318012244932</v>
      </c>
      <c r="N395" s="1603">
        <v>6.7256016280986017</v>
      </c>
      <c r="O395" s="1603">
        <v>6.810726200860941</v>
      </c>
      <c r="P395" s="1603">
        <v>7.3309210048775384</v>
      </c>
      <c r="Q395" s="1603">
        <v>5.2000000000000455</v>
      </c>
      <c r="R395" s="1603">
        <v>8.6000000000000085</v>
      </c>
      <c r="S395" s="1976">
        <f>8.60000000000005+3.8</f>
        <v>12.400000000000048</v>
      </c>
      <c r="T395" s="1603">
        <f>10.9+4.7</f>
        <v>15.600000000000001</v>
      </c>
      <c r="U395" s="1603">
        <f>6.9+4</f>
        <v>10.9</v>
      </c>
      <c r="V395" s="1603">
        <f>14.9+7</f>
        <v>21.9</v>
      </c>
      <c r="W395" s="1868">
        <f t="shared" ref="W395:AK395" si="2475">+W275-W569-W637</f>
        <v>97.375000000000028</v>
      </c>
      <c r="X395" s="1611">
        <f t="shared" si="2475"/>
        <v>102.09999999999997</v>
      </c>
      <c r="Y395" s="1611">
        <f t="shared" si="2475"/>
        <v>99.156000000000063</v>
      </c>
      <c r="Z395" s="1611">
        <f t="shared" si="2475"/>
        <v>100.66599999999966</v>
      </c>
      <c r="AA395" s="1611">
        <f t="shared" si="2475"/>
        <v>99.90300000000002</v>
      </c>
      <c r="AB395" s="1611">
        <f t="shared" si="2475"/>
        <v>103.23600000000005</v>
      </c>
      <c r="AC395" s="1611">
        <f t="shared" si="2475"/>
        <v>96.555999999999983</v>
      </c>
      <c r="AD395" s="1611">
        <f t="shared" si="2475"/>
        <v>137.43699999999995</v>
      </c>
      <c r="AE395" s="1611">
        <f t="shared" si="2475"/>
        <v>115.25399999999999</v>
      </c>
      <c r="AF395" s="1611">
        <f t="shared" si="2475"/>
        <v>126.68500000000003</v>
      </c>
      <c r="AG395" s="1611">
        <f t="shared" si="2475"/>
        <v>129.95399999999978</v>
      </c>
      <c r="AH395" s="1611">
        <f t="shared" si="2475"/>
        <v>132.66600000000011</v>
      </c>
      <c r="AI395" s="1611">
        <f t="shared" si="2475"/>
        <v>35.137</v>
      </c>
      <c r="AJ395" s="1611">
        <f t="shared" si="2475"/>
        <v>66.245000000000033</v>
      </c>
      <c r="AK395" s="1611">
        <f t="shared" si="2475"/>
        <v>60.940094092888671</v>
      </c>
      <c r="AL395" s="1614">
        <f>+AL397*AL228</f>
        <v>52.251582234110984</v>
      </c>
      <c r="AM395" s="2417">
        <f>+AM397*AM228</f>
        <v>56.276668454712969</v>
      </c>
      <c r="AN395" s="1614">
        <f>+AN397*AN228</f>
        <v>60.064897901515423</v>
      </c>
      <c r="AO395" s="1614">
        <f>+AO397*AO228</f>
        <v>56.599669200810659</v>
      </c>
      <c r="AP395" s="1614">
        <f>+AP397*AP228</f>
        <v>64.898303754397475</v>
      </c>
      <c r="AQ395" s="1614">
        <f t="shared" ref="AQ395:AT395" si="2476">+AQ397*AQ228</f>
        <v>54.26412534441198</v>
      </c>
      <c r="AR395" s="1614">
        <f t="shared" si="2476"/>
        <v>52.303115007673455</v>
      </c>
      <c r="AS395" s="1614">
        <f t="shared" si="2476"/>
        <v>59.432137281975017</v>
      </c>
      <c r="AT395" s="1614">
        <f t="shared" si="2476"/>
        <v>59.879369084264134</v>
      </c>
      <c r="AU395" s="1614">
        <f t="shared" ref="AU395:AX395" si="2477">+AU397*AU228</f>
        <v>44.287460533173487</v>
      </c>
      <c r="AV395" s="1614">
        <f t="shared" si="2477"/>
        <v>45.083947433300104</v>
      </c>
      <c r="AW395" s="1614">
        <f t="shared" si="2477"/>
        <v>77.310152063763013</v>
      </c>
      <c r="AX395" s="1614">
        <f t="shared" si="2477"/>
        <v>54.163441343241296</v>
      </c>
      <c r="AY395" s="1614"/>
      <c r="AZ395" s="1614"/>
      <c r="BA395" s="982"/>
      <c r="BB395" s="1614">
        <v>59.432137281975017</v>
      </c>
      <c r="BC395" s="2202"/>
      <c r="BD395" s="85"/>
      <c r="BE395" s="1647">
        <f>+SUM(C395:F395)</f>
        <v>16.899999999999999</v>
      </c>
      <c r="BF395" s="1647">
        <f>+SUM(G395:J395)</f>
        <v>21.79999999999999</v>
      </c>
      <c r="BG395" s="1647">
        <f>+SUM(K395:N395)</f>
        <v>25.627906787555915</v>
      </c>
      <c r="BH395" s="1647">
        <f>+SUM(O395:R395)</f>
        <v>27.941647205738533</v>
      </c>
      <c r="BI395" s="1647"/>
      <c r="BJ395" s="2067">
        <f>+SUM(S395:V395)</f>
        <v>60.800000000000047</v>
      </c>
      <c r="BK395" s="1648">
        <f>+SUM(W395:Z395)</f>
        <v>399.29699999999974</v>
      </c>
      <c r="BL395" s="1648">
        <f>+SUM(AA395:AD395)</f>
        <v>437.13200000000001</v>
      </c>
      <c r="BM395" s="1648">
        <f>+SUM(AE395:AH395)</f>
        <v>504.55899999999991</v>
      </c>
      <c r="BN395" s="1648">
        <f>+SUM(AI395:AL395)</f>
        <v>214.5736763269997</v>
      </c>
      <c r="BO395" s="1876">
        <f>+SUM(AM395:AP395)</f>
        <v>237.83953931143651</v>
      </c>
      <c r="BP395" s="1648">
        <f>+SUM(AQ395:AT395)</f>
        <v>225.87874671832461</v>
      </c>
      <c r="BQ395" s="1648">
        <f>+SUM(AU395:AX395)</f>
        <v>220.84500137347788</v>
      </c>
      <c r="BR395" s="1614">
        <f t="shared" ref="BR395:BU395" si="2478">+BR397*BR228</f>
        <v>195.7449213403797</v>
      </c>
      <c r="BS395" s="1614">
        <f t="shared" si="2478"/>
        <v>184.65463018862084</v>
      </c>
      <c r="BT395" s="1614">
        <f t="shared" si="2478"/>
        <v>179.5465242451412</v>
      </c>
      <c r="BU395" s="1614">
        <f t="shared" si="2478"/>
        <v>177.03826234294746</v>
      </c>
    </row>
    <row r="396" spans="1:73" s="1602" customFormat="1" ht="15" hidden="1" customHeight="1">
      <c r="B396" s="1597" t="s">
        <v>318</v>
      </c>
      <c r="C396" s="1638">
        <f t="shared" ref="C396:AJ396" si="2479">+C395/C368</f>
        <v>2.2254721180136341E-3</v>
      </c>
      <c r="D396" s="1638">
        <f t="shared" si="2479"/>
        <v>2.3905248288601339E-3</v>
      </c>
      <c r="E396" s="1638">
        <f t="shared" si="2479"/>
        <v>2.3362004884782796E-3</v>
      </c>
      <c r="F396" s="1638">
        <f t="shared" si="2479"/>
        <v>2.1334817494550354E-3</v>
      </c>
      <c r="G396" s="1638">
        <f t="shared" si="2479"/>
        <v>3.4697680395810518E-3</v>
      </c>
      <c r="H396" s="1638">
        <f t="shared" si="2479"/>
        <v>2.901149910328082E-3</v>
      </c>
      <c r="I396" s="1638">
        <f t="shared" si="2479"/>
        <v>3.1663462625805853E-3</v>
      </c>
      <c r="J396" s="1638">
        <f t="shared" si="2479"/>
        <v>2.5265767268913561E-3</v>
      </c>
      <c r="K396" s="1638">
        <f t="shared" si="2479"/>
        <v>4.6764988387652433E-3</v>
      </c>
      <c r="L396" s="1638">
        <f t="shared" si="2479"/>
        <v>2.9315181194419053E-3</v>
      </c>
      <c r="M396" s="1638">
        <f t="shared" si="2479"/>
        <v>3.0698256447280864E-3</v>
      </c>
      <c r="N396" s="1638">
        <f t="shared" si="2479"/>
        <v>2.9634121013436847E-3</v>
      </c>
      <c r="O396" s="1638">
        <f t="shared" si="2479"/>
        <v>4.0602958463942362E-3</v>
      </c>
      <c r="P396" s="1638">
        <f t="shared" si="2479"/>
        <v>3.5660570107268461E-3</v>
      </c>
      <c r="Q396" s="1638">
        <f t="shared" si="2479"/>
        <v>2.540799374572484E-3</v>
      </c>
      <c r="R396" s="1638">
        <f t="shared" si="2479"/>
        <v>3.2753170583082643E-3</v>
      </c>
      <c r="S396" s="1875">
        <f t="shared" si="2479"/>
        <v>7.0695553021665044E-3</v>
      </c>
      <c r="T396" s="1638">
        <f t="shared" si="2479"/>
        <v>6.934257901053475E-3</v>
      </c>
      <c r="U396" s="1638">
        <f t="shared" si="2479"/>
        <v>4.8658542029373694E-3</v>
      </c>
      <c r="V396" s="1638">
        <f t="shared" si="2479"/>
        <v>7.9359327438759241E-3</v>
      </c>
      <c r="W396" s="1875">
        <f t="shared" si="2479"/>
        <v>4.778918283564694E-2</v>
      </c>
      <c r="X396" s="1638">
        <f t="shared" si="2479"/>
        <v>4.3237447271276645E-2</v>
      </c>
      <c r="Y396" s="1638">
        <f t="shared" si="2479"/>
        <v>3.1151802359665165E-2</v>
      </c>
      <c r="Z396" s="1638">
        <f t="shared" si="2479"/>
        <v>2.8917629883868042E-2</v>
      </c>
      <c r="AA396" s="1638">
        <f t="shared" si="2479"/>
        <v>3.789443738502097E-2</v>
      </c>
      <c r="AB396" s="1638">
        <f t="shared" si="2479"/>
        <v>3.4842690497236345E-2</v>
      </c>
      <c r="AC396" s="1638">
        <f t="shared" si="2479"/>
        <v>3.1560973122377697E-2</v>
      </c>
      <c r="AD396" s="1638">
        <f t="shared" si="2479"/>
        <v>3.7604252569068922E-2</v>
      </c>
      <c r="AE396" s="1638">
        <f t="shared" si="2479"/>
        <v>4.3995147532272808E-2</v>
      </c>
      <c r="AF396" s="1638">
        <f t="shared" si="2479"/>
        <v>3.8191768895255947E-2</v>
      </c>
      <c r="AG396" s="1638">
        <f t="shared" si="2479"/>
        <v>3.8222012024783626E-2</v>
      </c>
      <c r="AH396" s="1638">
        <f t="shared" si="2479"/>
        <v>3.5430282468011144E-2</v>
      </c>
      <c r="AI396" s="1638">
        <f t="shared" si="2479"/>
        <v>1.4907395700838945E-2</v>
      </c>
      <c r="AJ396" s="1638">
        <f t="shared" si="2479"/>
        <v>2.147155946174761E-2</v>
      </c>
      <c r="AK396" s="1638">
        <f t="shared" ref="AK396" si="2480">+AK395/AK368</f>
        <v>1.9219507307022873E-2</v>
      </c>
      <c r="AL396" s="1638">
        <f t="shared" ref="AL396:AP396" si="2481">+AL395/AL$144</f>
        <v>8.8829999377972504E-3</v>
      </c>
      <c r="AM396" s="1875">
        <f t="shared" si="2481"/>
        <v>1.1962051705716313E-2</v>
      </c>
      <c r="AN396" s="1638">
        <f t="shared" si="2481"/>
        <v>1.0141913299789189E-2</v>
      </c>
      <c r="AO396" s="1638">
        <f t="shared" si="2481"/>
        <v>9.471750695987281E-3</v>
      </c>
      <c r="AP396" s="1638">
        <f t="shared" si="2481"/>
        <v>9.1527238533265828E-3</v>
      </c>
      <c r="AQ396" s="1638">
        <f t="shared" ref="AQ396:AT396" si="2482">+AQ395/AQ$144</f>
        <v>1.0550969950790846E-2</v>
      </c>
      <c r="AR396" s="1638">
        <f t="shared" si="2482"/>
        <v>9.1963137826904136E-3</v>
      </c>
      <c r="AS396" s="1638">
        <f t="shared" si="2482"/>
        <v>1.1442460008081443E-2</v>
      </c>
      <c r="AT396" s="1638">
        <f t="shared" si="2482"/>
        <v>9.6688792320788197E-3</v>
      </c>
      <c r="AU396" s="1638">
        <f t="shared" ref="AU396:AX396" si="2483">+AU395/AU$144</f>
        <v>9.4809908753218271E-3</v>
      </c>
      <c r="AV396" s="1638">
        <f t="shared" si="2483"/>
        <v>8.0662647124088611E-3</v>
      </c>
      <c r="AW396" s="1638">
        <f t="shared" si="2483"/>
        <v>1.5244198106145631E-2</v>
      </c>
      <c r="AX396" s="1638">
        <f t="shared" si="2483"/>
        <v>8.5228288267272453E-3</v>
      </c>
      <c r="AY396" s="1638"/>
      <c r="AZ396" s="1638"/>
      <c r="BA396" s="85"/>
      <c r="BB396" s="1638">
        <v>9.3653786974245024E-3</v>
      </c>
      <c r="BC396" s="2197"/>
      <c r="BD396" s="85"/>
      <c r="BE396" s="1638">
        <f t="shared" ref="BE396:BO396" si="2484">+BE395/BE368</f>
        <v>2.2676041219407473E-3</v>
      </c>
      <c r="BF396" s="1638">
        <f t="shared" si="2484"/>
        <v>2.9787931788369027E-3</v>
      </c>
      <c r="BG396" s="1638">
        <f t="shared" si="2484"/>
        <v>3.3356213449756982E-3</v>
      </c>
      <c r="BH396" s="1598">
        <f t="shared" si="2484"/>
        <v>3.3242312259360732E-3</v>
      </c>
      <c r="BI396" s="1598"/>
      <c r="BJ396" s="2068">
        <f t="shared" si="2484"/>
        <v>6.7530044205522414E-3</v>
      </c>
      <c r="BK396" s="1638">
        <f t="shared" si="2484"/>
        <v>3.6092696285678391E-2</v>
      </c>
      <c r="BL396" s="1638">
        <f t="shared" si="2484"/>
        <v>3.5500393431860351E-2</v>
      </c>
      <c r="BM396" s="1638">
        <f t="shared" si="2484"/>
        <v>3.8571379209331021E-2</v>
      </c>
      <c r="BN396" s="1638">
        <f t="shared" si="2484"/>
        <v>1.7630186509069955E-2</v>
      </c>
      <c r="BO396" s="1875">
        <f t="shared" si="2484"/>
        <v>1.6359434419346976E-2</v>
      </c>
      <c r="BP396" s="1638">
        <f t="shared" ref="BP396:BQ396" si="2485">+BP395/BP368</f>
        <v>1.3648707814309031E-2</v>
      </c>
      <c r="BQ396" s="1638">
        <f t="shared" si="2485"/>
        <v>1.1609459353503698E-2</v>
      </c>
      <c r="BR396" s="1638">
        <f>+BR395/BR$144</f>
        <v>8.6392596512318651E-3</v>
      </c>
      <c r="BS396" s="1638">
        <f>+BS395/BS$144</f>
        <v>7.8458372058602018E-3</v>
      </c>
      <c r="BT396" s="1638">
        <f>+BT395/BT$144</f>
        <v>7.3466184594622929E-3</v>
      </c>
      <c r="BU396" s="1638">
        <f>+BU395/BU$144</f>
        <v>6.994622841489345E-3</v>
      </c>
    </row>
    <row r="397" spans="1:73" s="1597" customFormat="1" ht="15" hidden="1" customHeight="1">
      <c r="B397" s="1597" t="s">
        <v>326</v>
      </c>
      <c r="C397" s="1598" t="e">
        <f t="shared" ref="C397:AJ397" si="2486">+C395/C$228</f>
        <v>#DIV/0!</v>
      </c>
      <c r="D397" s="1598" t="e">
        <f t="shared" si="2486"/>
        <v>#DIV/0!</v>
      </c>
      <c r="E397" s="1598" t="e">
        <f t="shared" si="2486"/>
        <v>#DIV/0!</v>
      </c>
      <c r="F397" s="1598" t="e">
        <f t="shared" si="2486"/>
        <v>#DIV/0!</v>
      </c>
      <c r="G397" s="1598" t="e">
        <f t="shared" si="2486"/>
        <v>#DIV/0!</v>
      </c>
      <c r="H397" s="1598" t="e">
        <f t="shared" si="2486"/>
        <v>#DIV/0!</v>
      </c>
      <c r="I397" s="1598" t="e">
        <f t="shared" si="2486"/>
        <v>#DIV/0!</v>
      </c>
      <c r="J397" s="1598" t="e">
        <f t="shared" si="2486"/>
        <v>#DIV/0!</v>
      </c>
      <c r="K397" s="1598" t="e">
        <f t="shared" si="2486"/>
        <v>#DIV/0!</v>
      </c>
      <c r="L397" s="1598" t="e">
        <f t="shared" si="2486"/>
        <v>#DIV/0!</v>
      </c>
      <c r="M397" s="1598" t="e">
        <f t="shared" si="2486"/>
        <v>#DIV/0!</v>
      </c>
      <c r="N397" s="1598" t="e">
        <f t="shared" si="2486"/>
        <v>#DIV/0!</v>
      </c>
      <c r="O397" s="1598" t="e">
        <f t="shared" si="2486"/>
        <v>#DIV/0!</v>
      </c>
      <c r="P397" s="1598" t="e">
        <f t="shared" si="2486"/>
        <v>#DIV/0!</v>
      </c>
      <c r="Q397" s="1598" t="e">
        <f t="shared" si="2486"/>
        <v>#DIV/0!</v>
      </c>
      <c r="R397" s="1598" t="e">
        <f t="shared" si="2486"/>
        <v>#DIV/0!</v>
      </c>
      <c r="S397" s="1875">
        <f t="shared" si="2486"/>
        <v>9.531129900076904E-2</v>
      </c>
      <c r="T397" s="1598">
        <f t="shared" si="2486"/>
        <v>0.11279826464208242</v>
      </c>
      <c r="U397" s="1598">
        <f t="shared" si="2486"/>
        <v>7.5747046560111192E-2</v>
      </c>
      <c r="V397" s="1598">
        <f t="shared" si="2486"/>
        <v>0.13713212273011896</v>
      </c>
      <c r="W397" s="1875">
        <f t="shared" si="2486"/>
        <v>0.43882379450202808</v>
      </c>
      <c r="X397" s="1598">
        <f t="shared" si="2486"/>
        <v>0.43080168776371291</v>
      </c>
      <c r="Y397" s="1598">
        <f t="shared" si="2486"/>
        <v>0.41126503525508112</v>
      </c>
      <c r="Z397" s="1598">
        <f t="shared" si="2486"/>
        <v>0.57655211912943671</v>
      </c>
      <c r="AA397" s="1598">
        <f t="shared" si="2486"/>
        <v>0.4683684950773559</v>
      </c>
      <c r="AB397" s="1598">
        <f t="shared" si="2486"/>
        <v>0.47838739573679351</v>
      </c>
      <c r="AC397" s="1598">
        <f t="shared" si="2486"/>
        <v>0.46132823698041081</v>
      </c>
      <c r="AD397" s="1598">
        <f t="shared" si="2486"/>
        <v>0.58859528907922898</v>
      </c>
      <c r="AE397" s="1598">
        <f t="shared" si="2486"/>
        <v>0.52483606557377049</v>
      </c>
      <c r="AF397" s="1598">
        <f t="shared" si="2486"/>
        <v>0.56055309734513292</v>
      </c>
      <c r="AG397" s="1598">
        <f t="shared" si="2486"/>
        <v>0.6064115725618282</v>
      </c>
      <c r="AH397" s="1598">
        <f t="shared" si="2486"/>
        <v>0.52520190023753011</v>
      </c>
      <c r="AI397" s="1598">
        <f t="shared" si="2486"/>
        <v>0.15485676509475541</v>
      </c>
      <c r="AJ397" s="1598">
        <f t="shared" si="2486"/>
        <v>0.27717573221757336</v>
      </c>
      <c r="AK397" s="1598">
        <f t="shared" ref="AK397" si="2487">+AK395/AK$228</f>
        <v>0.24846211238283872</v>
      </c>
      <c r="AL397" s="1640">
        <f t="shared" ref="AL397:AP397" si="2488">+AK397</f>
        <v>0.24846211238283872</v>
      </c>
      <c r="AM397" s="2414">
        <f t="shared" si="2488"/>
        <v>0.24846211238283872</v>
      </c>
      <c r="AN397" s="1640">
        <f t="shared" si="2488"/>
        <v>0.24846211238283872</v>
      </c>
      <c r="AO397" s="1640">
        <f t="shared" si="2488"/>
        <v>0.24846211238283872</v>
      </c>
      <c r="AP397" s="1640">
        <f t="shared" si="2488"/>
        <v>0.24846211238283872</v>
      </c>
      <c r="AQ397" s="1640">
        <f t="shared" ref="AQ397" si="2489">+AP397</f>
        <v>0.24846211238283872</v>
      </c>
      <c r="AR397" s="1640">
        <f t="shared" ref="AR397" si="2490">+AQ397</f>
        <v>0.24846211238283872</v>
      </c>
      <c r="AS397" s="1640">
        <f t="shared" ref="AS397" si="2491">+AR397</f>
        <v>0.24846211238283872</v>
      </c>
      <c r="AT397" s="1640">
        <f t="shared" ref="AT397" si="2492">+AS397</f>
        <v>0.24846211238283872</v>
      </c>
      <c r="AU397" s="1640">
        <f t="shared" ref="AU397" si="2493">+AT397</f>
        <v>0.24846211238283872</v>
      </c>
      <c r="AV397" s="1640">
        <f t="shared" ref="AV397" si="2494">+AU397</f>
        <v>0.24846211238283872</v>
      </c>
      <c r="AW397" s="1640">
        <f t="shared" ref="AW397" si="2495">+AV397</f>
        <v>0.24846211238283872</v>
      </c>
      <c r="AX397" s="1640">
        <f t="shared" ref="AX397" si="2496">+AW397</f>
        <v>0.24846211238283872</v>
      </c>
      <c r="AY397" s="1640"/>
      <c r="AZ397" s="1640"/>
      <c r="BA397" s="72"/>
      <c r="BB397" s="1640">
        <v>0.24846211238283872</v>
      </c>
      <c r="BC397" s="2189"/>
      <c r="BD397" s="72"/>
      <c r="BE397" s="1598" t="e">
        <f t="shared" ref="BE397:BO397" si="2497">+BE395/BE$228</f>
        <v>#DIV/0!</v>
      </c>
      <c r="BF397" s="1598" t="e">
        <f t="shared" si="2497"/>
        <v>#DIV/0!</v>
      </c>
      <c r="BG397" s="1598" t="e">
        <f t="shared" si="2497"/>
        <v>#DIV/0!</v>
      </c>
      <c r="BH397" s="1598" t="e">
        <f t="shared" si="2497"/>
        <v>#DIV/0!</v>
      </c>
      <c r="BI397" s="1598"/>
      <c r="BJ397" s="2068">
        <f t="shared" si="2497"/>
        <v>0.10629370629370638</v>
      </c>
      <c r="BK397" s="1598">
        <f t="shared" si="2497"/>
        <v>0.45654813629087554</v>
      </c>
      <c r="BL397" s="1598">
        <f t="shared" si="2497"/>
        <v>0.50135566005275833</v>
      </c>
      <c r="BM397" s="1598">
        <f t="shared" si="2497"/>
        <v>0.55294136986301357</v>
      </c>
      <c r="BN397" s="1598">
        <f t="shared" si="2497"/>
        <v>0.23286039856318028</v>
      </c>
      <c r="BO397" s="1875">
        <f t="shared" si="2497"/>
        <v>0.24846211238283872</v>
      </c>
      <c r="BP397" s="1598">
        <f t="shared" ref="BP397:BQ397" si="2498">+BP395/BP$228</f>
        <v>0.24846211238283872</v>
      </c>
      <c r="BQ397" s="1598">
        <f t="shared" si="2498"/>
        <v>0.24846211238283869</v>
      </c>
      <c r="BR397" s="1640">
        <f t="shared" ref="BR397:BU397" si="2499">+BQ397</f>
        <v>0.24846211238283869</v>
      </c>
      <c r="BS397" s="1640">
        <f t="shared" si="2499"/>
        <v>0.24846211238283869</v>
      </c>
      <c r="BT397" s="1640">
        <f t="shared" si="2499"/>
        <v>0.24846211238283869</v>
      </c>
      <c r="BU397" s="1640">
        <f t="shared" si="2499"/>
        <v>0.24846211238283869</v>
      </c>
    </row>
    <row r="398" spans="1:73" s="1602" customFormat="1" ht="15" hidden="1" customHeight="1">
      <c r="B398" s="1597"/>
      <c r="C398" s="1599"/>
      <c r="D398" s="1599"/>
      <c r="E398" s="1599"/>
      <c r="F398" s="1599"/>
      <c r="G398" s="1599"/>
      <c r="H398" s="1599"/>
      <c r="I398" s="1599"/>
      <c r="J398" s="1599"/>
      <c r="K398" s="1599"/>
      <c r="L398" s="1599"/>
      <c r="M398" s="1599"/>
      <c r="N398" s="1599"/>
      <c r="O398" s="1599"/>
      <c r="P398" s="1599"/>
      <c r="Q398" s="1599"/>
      <c r="R398" s="1599"/>
      <c r="S398" s="1975"/>
      <c r="T398" s="1599"/>
      <c r="U398" s="1601"/>
      <c r="V398" s="1601"/>
      <c r="W398" s="1877"/>
      <c r="X398" s="1601"/>
      <c r="Y398" s="1601"/>
      <c r="Z398" s="1601"/>
      <c r="AA398" s="1601"/>
      <c r="AB398" s="1601"/>
      <c r="AC398" s="1601"/>
      <c r="AD398" s="1601"/>
      <c r="AE398" s="1601"/>
      <c r="AF398" s="1601"/>
      <c r="AG398" s="1601"/>
      <c r="AH398" s="1601"/>
      <c r="AI398" s="1601"/>
      <c r="AJ398" s="1601"/>
      <c r="AK398" s="1601"/>
      <c r="AL398" s="1601"/>
      <c r="AM398" s="1877"/>
      <c r="AN398" s="1601"/>
      <c r="AO398" s="1601"/>
      <c r="AP398" s="1601"/>
      <c r="AQ398" s="1601"/>
      <c r="AR398" s="1601"/>
      <c r="AS398" s="1601"/>
      <c r="AT398" s="1601"/>
      <c r="AU398" s="1601"/>
      <c r="AV398" s="1601"/>
      <c r="AW398" s="1601"/>
      <c r="AX398" s="1601"/>
      <c r="AY398" s="1601"/>
      <c r="AZ398" s="1601"/>
      <c r="BA398" s="85"/>
      <c r="BB398" s="1601"/>
      <c r="BC398" s="2197"/>
      <c r="BD398" s="85"/>
      <c r="BE398" s="1599"/>
      <c r="BF398" s="1599"/>
      <c r="BG398" s="1599"/>
      <c r="BH398" s="1599"/>
      <c r="BI398" s="1599"/>
      <c r="BJ398" s="2065"/>
      <c r="BK398" s="1599"/>
      <c r="BL398" s="1599"/>
      <c r="BM398" s="1599"/>
      <c r="BN398" s="1599"/>
      <c r="BO398" s="1975"/>
      <c r="BP398" s="1599"/>
      <c r="BQ398" s="1599"/>
      <c r="BR398" s="1601"/>
      <c r="BS398" s="1601"/>
      <c r="BT398" s="1601"/>
      <c r="BU398" s="1601"/>
    </row>
    <row r="399" spans="1:73" s="1596" customFormat="1" ht="15" hidden="1" customHeight="1">
      <c r="A399" s="1595"/>
      <c r="B399" s="1596" t="s">
        <v>114</v>
      </c>
      <c r="C399" s="1612">
        <f t="shared" ref="C399:AD399" si="2500">+C391+C395</f>
        <v>13.700000000000003</v>
      </c>
      <c r="D399" s="1612">
        <f t="shared" si="2500"/>
        <v>42.8</v>
      </c>
      <c r="E399" s="1612">
        <f t="shared" si="2500"/>
        <v>60.7</v>
      </c>
      <c r="F399" s="1612">
        <f t="shared" si="2500"/>
        <v>52.6</v>
      </c>
      <c r="G399" s="1612">
        <f t="shared" si="2500"/>
        <v>50.2</v>
      </c>
      <c r="H399" s="1612">
        <f t="shared" si="2500"/>
        <v>58.6</v>
      </c>
      <c r="I399" s="1612">
        <f t="shared" si="2500"/>
        <v>80.5</v>
      </c>
      <c r="J399" s="1612">
        <f t="shared" si="2500"/>
        <v>58.3</v>
      </c>
      <c r="K399" s="1612">
        <f t="shared" si="2500"/>
        <v>37.848500370598941</v>
      </c>
      <c r="L399" s="1612">
        <f t="shared" si="2500"/>
        <v>78.383147915439181</v>
      </c>
      <c r="M399" s="1612">
        <f t="shared" si="2500"/>
        <v>104.04098985761756</v>
      </c>
      <c r="N399" s="1612">
        <f t="shared" si="2500"/>
        <v>71.703965174497498</v>
      </c>
      <c r="O399" s="1612">
        <f t="shared" si="2500"/>
        <v>69.368615671954458</v>
      </c>
      <c r="P399" s="1612">
        <f t="shared" si="2500"/>
        <v>96.525602326268412</v>
      </c>
      <c r="Q399" s="1612">
        <f t="shared" si="2500"/>
        <v>87.5</v>
      </c>
      <c r="R399" s="1612">
        <f t="shared" si="2500"/>
        <v>78.3</v>
      </c>
      <c r="S399" s="1878">
        <f t="shared" si="2500"/>
        <v>71.2</v>
      </c>
      <c r="T399" s="1612">
        <f t="shared" si="2500"/>
        <v>91.700000000000017</v>
      </c>
      <c r="U399" s="1612">
        <f t="shared" si="2500"/>
        <v>121.9</v>
      </c>
      <c r="V399" s="1612">
        <f t="shared" si="2500"/>
        <v>95.19999999999996</v>
      </c>
      <c r="W399" s="1878">
        <f t="shared" si="2500"/>
        <v>272.06099999999992</v>
      </c>
      <c r="X399" s="1612">
        <f t="shared" si="2500"/>
        <v>549.80999999999972</v>
      </c>
      <c r="Y399" s="1612">
        <f t="shared" si="2500"/>
        <v>643.51000000000033</v>
      </c>
      <c r="Z399" s="1612">
        <f t="shared" si="2500"/>
        <v>456.03699999999793</v>
      </c>
      <c r="AA399" s="1612">
        <f t="shared" si="2500"/>
        <v>474.85999999999945</v>
      </c>
      <c r="AB399" s="1612">
        <f t="shared" si="2500"/>
        <v>379.74400000000054</v>
      </c>
      <c r="AC399" s="1612">
        <f t="shared" si="2500"/>
        <v>435.13300000000021</v>
      </c>
      <c r="AD399" s="1612">
        <f t="shared" si="2500"/>
        <v>691.16900000000146</v>
      </c>
      <c r="AE399" s="1612">
        <f t="shared" ref="AE399:AH399" si="2501">+AE391+AE395</f>
        <v>504.75599999999952</v>
      </c>
      <c r="AF399" s="1612">
        <f t="shared" si="2501"/>
        <v>612.0200000000001</v>
      </c>
      <c r="AG399" s="1612">
        <f t="shared" si="2501"/>
        <v>576.46599999999967</v>
      </c>
      <c r="AH399" s="1612">
        <f t="shared" si="2501"/>
        <v>490.62399999999974</v>
      </c>
      <c r="AI399" s="1612">
        <f t="shared" ref="AI399:AJ399" si="2502">+AI391+AI395</f>
        <v>498.06699999999938</v>
      </c>
      <c r="AJ399" s="1612">
        <f t="shared" si="2502"/>
        <v>621.64399999999966</v>
      </c>
      <c r="AK399" s="1612">
        <f t="shared" ref="AK399" si="2503">+AK391+AK395</f>
        <v>662.0367980215575</v>
      </c>
      <c r="AL399" s="1612">
        <f t="shared" ref="AL399:AP399" si="2504">+AL391+AL395</f>
        <v>506.67517740264282</v>
      </c>
      <c r="AM399" s="1878">
        <f t="shared" si="2504"/>
        <v>585.34762132435071</v>
      </c>
      <c r="AN399" s="1612">
        <f t="shared" si="2504"/>
        <v>908.52717797301011</v>
      </c>
      <c r="AO399" s="1612">
        <f t="shared" si="2504"/>
        <v>874.60852383430279</v>
      </c>
      <c r="AP399" s="1612">
        <f t="shared" si="2504"/>
        <v>702.74586817600323</v>
      </c>
      <c r="AQ399" s="1612">
        <f t="shared" ref="AQ399:AT399" si="2505">+AQ391+AQ395</f>
        <v>762.1119054885155</v>
      </c>
      <c r="AR399" s="1612">
        <f t="shared" si="2505"/>
        <v>1159.9827097429206</v>
      </c>
      <c r="AS399" s="1612">
        <f t="shared" si="2505"/>
        <v>1124.37821728019</v>
      </c>
      <c r="AT399" s="1612">
        <f t="shared" si="2505"/>
        <v>923.35059110716986</v>
      </c>
      <c r="AU399" s="1612">
        <f t="shared" ref="AU399:AX399" si="2506">+AU391+AU395</f>
        <v>972.57258789538514</v>
      </c>
      <c r="AV399" s="1612">
        <f t="shared" si="2506"/>
        <v>1481.6328015956701</v>
      </c>
      <c r="AW399" s="1612">
        <f t="shared" si="2506"/>
        <v>1456.4840495441649</v>
      </c>
      <c r="AX399" s="1612">
        <f t="shared" si="2506"/>
        <v>1199.7584123804752</v>
      </c>
      <c r="AY399" s="1609"/>
      <c r="AZ399" s="1609"/>
      <c r="BA399" s="85"/>
      <c r="BB399" s="1612">
        <v>922.90335930488072</v>
      </c>
      <c r="BC399" s="2198"/>
      <c r="BD399" s="85"/>
      <c r="BE399" s="1612">
        <f>+SUM(C399:F399)</f>
        <v>169.8</v>
      </c>
      <c r="BF399" s="1612">
        <f>+SUM(G399:J399)</f>
        <v>247.60000000000002</v>
      </c>
      <c r="BG399" s="1612">
        <f>+SUM(K399:N399)</f>
        <v>291.9766033181532</v>
      </c>
      <c r="BH399" s="1609">
        <f>+SUM(O399:R399)</f>
        <v>331.69421799822288</v>
      </c>
      <c r="BI399" s="1609"/>
      <c r="BJ399" s="2062">
        <f>+SUM(S399:V399)</f>
        <v>380</v>
      </c>
      <c r="BK399" s="1612">
        <f>+SUM(W399:Z399)</f>
        <v>1921.4179999999978</v>
      </c>
      <c r="BL399" s="1612">
        <f>+SUM(AA399:AD399)</f>
        <v>1980.9060000000018</v>
      </c>
      <c r="BM399" s="1612">
        <f>+SUM(AE399:AH399)</f>
        <v>2183.8659999999991</v>
      </c>
      <c r="BN399" s="1612">
        <f>+SUM(AI399:AL399)</f>
        <v>2288.4229754241996</v>
      </c>
      <c r="BO399" s="1878">
        <f>+SUM(AM399:AP399)</f>
        <v>3071.2291913076665</v>
      </c>
      <c r="BP399" s="1612">
        <f>+SUM(AQ399:AT399)</f>
        <v>3969.8234236187959</v>
      </c>
      <c r="BQ399" s="1612">
        <f>+SUM(AU399:AX399)</f>
        <v>5110.4478514156954</v>
      </c>
      <c r="BR399" s="1612">
        <f t="shared" ref="BR399" si="2507">+BR391+BR395</f>
        <v>5499.9831435952401</v>
      </c>
      <c r="BS399" s="1612">
        <f t="shared" ref="BS399:BU399" si="2508">+BS391+BS395</f>
        <v>5966.2790045098136</v>
      </c>
      <c r="BT399" s="1612">
        <f t="shared" si="2508"/>
        <v>6473.7203933689434</v>
      </c>
      <c r="BU399" s="1612">
        <f t="shared" si="2508"/>
        <v>7022.1359710344468</v>
      </c>
    </row>
    <row r="400" spans="1:73" s="1602" customFormat="1" ht="15" hidden="1" customHeight="1">
      <c r="B400" s="1597" t="s">
        <v>316</v>
      </c>
      <c r="C400" s="1599"/>
      <c r="D400" s="1599"/>
      <c r="E400" s="1599"/>
      <c r="F400" s="1599"/>
      <c r="G400" s="1605">
        <f t="shared" ref="G400:V400" si="2509">+G399/C399-1</f>
        <v>2.6642335766423351</v>
      </c>
      <c r="H400" s="1605">
        <f t="shared" si="2509"/>
        <v>0.3691588785046731</v>
      </c>
      <c r="I400" s="1605">
        <f t="shared" si="2509"/>
        <v>0.32619439868204281</v>
      </c>
      <c r="J400" s="1605">
        <f t="shared" si="2509"/>
        <v>0.10836501901140672</v>
      </c>
      <c r="K400" s="1605">
        <f t="shared" si="2509"/>
        <v>-0.2460458093506187</v>
      </c>
      <c r="L400" s="1605">
        <f t="shared" si="2509"/>
        <v>0.33759638080954235</v>
      </c>
      <c r="M400" s="1605">
        <f t="shared" si="2509"/>
        <v>0.29243465661636714</v>
      </c>
      <c r="N400" s="1605">
        <f t="shared" si="2509"/>
        <v>0.22991363935673248</v>
      </c>
      <c r="O400" s="1605">
        <f t="shared" si="2509"/>
        <v>0.83279694024127382</v>
      </c>
      <c r="P400" s="1605">
        <f t="shared" si="2509"/>
        <v>0.23145860932252371</v>
      </c>
      <c r="Q400" s="1605">
        <f t="shared" si="2509"/>
        <v>-0.15898531800066762</v>
      </c>
      <c r="R400" s="1605">
        <f t="shared" si="2509"/>
        <v>9.1989819662699368E-2</v>
      </c>
      <c r="S400" s="1866">
        <f t="shared" si="2509"/>
        <v>2.6400762222302365E-2</v>
      </c>
      <c r="T400" s="1605">
        <f t="shared" si="2509"/>
        <v>-4.9992978131928822E-2</v>
      </c>
      <c r="U400" s="1605">
        <f t="shared" si="2509"/>
        <v>0.39314285714285724</v>
      </c>
      <c r="V400" s="1605">
        <f t="shared" si="2509"/>
        <v>0.21583652618135329</v>
      </c>
      <c r="W400" s="1866">
        <f t="shared" ref="W400" si="2510">+W399/S399-1</f>
        <v>2.8210814606741561</v>
      </c>
      <c r="X400" s="1605">
        <f t="shared" ref="X400" si="2511">+X399/T399-1</f>
        <v>4.9957470010905087</v>
      </c>
      <c r="Y400" s="1605">
        <f t="shared" ref="Y400" si="2512">+Y399/U399-1</f>
        <v>4.2789991796554574</v>
      </c>
      <c r="Z400" s="1605">
        <f t="shared" ref="Z400" si="2513">+Z399/V399-1</f>
        <v>3.79030462184872</v>
      </c>
      <c r="AA400" s="1605">
        <f t="shared" ref="AA400" si="2514">+AA399/W399-1</f>
        <v>0.74541738801224566</v>
      </c>
      <c r="AB400" s="1605">
        <f t="shared" ref="AB400" si="2515">+AB399/X399-1</f>
        <v>-0.30931776431858149</v>
      </c>
      <c r="AC400" s="1605">
        <f t="shared" ref="AC400" si="2516">+AC399/Y399-1</f>
        <v>-0.32381314975680253</v>
      </c>
      <c r="AD400" s="1605">
        <f t="shared" ref="AD400" si="2517">+AD399/Z399-1</f>
        <v>0.51559851503278153</v>
      </c>
      <c r="AE400" s="1605">
        <f t="shared" ref="AE400" si="2518">+AE399/AA399-1</f>
        <v>6.2957503264120085E-2</v>
      </c>
      <c r="AF400" s="1605">
        <f t="shared" ref="AF400" si="2519">+AF399/AB399-1</f>
        <v>0.61166470042976107</v>
      </c>
      <c r="AG400" s="1605">
        <f t="shared" ref="AG400" si="2520">+AG399/AC399-1</f>
        <v>0.32480414034329597</v>
      </c>
      <c r="AH400" s="1605">
        <f t="shared" ref="AH400:AK400" si="2521">+AH399/AD399-1</f>
        <v>-0.29015334889151756</v>
      </c>
      <c r="AI400" s="1605">
        <f t="shared" si="2521"/>
        <v>-1.3251947475612313E-2</v>
      </c>
      <c r="AJ400" s="1605">
        <f t="shared" si="2521"/>
        <v>1.572497630796299E-2</v>
      </c>
      <c r="AK400" s="1605">
        <f t="shared" si="2521"/>
        <v>0.14844032088893</v>
      </c>
      <c r="AL400" s="1605">
        <f t="shared" ref="AL400:AP400" si="2522">+AL399/AH399-1</f>
        <v>3.2715842279715357E-2</v>
      </c>
      <c r="AM400" s="1866">
        <f t="shared" si="2522"/>
        <v>0.17523871552291448</v>
      </c>
      <c r="AN400" s="1605">
        <f t="shared" si="2522"/>
        <v>0.46149110740715038</v>
      </c>
      <c r="AO400" s="1605">
        <f t="shared" si="2522"/>
        <v>0.32108747798913662</v>
      </c>
      <c r="AP400" s="1605">
        <f t="shared" si="2522"/>
        <v>0.38697512630966657</v>
      </c>
      <c r="AQ400" s="1605">
        <f t="shared" ref="AQ400" si="2523">+AQ399/AM399-1</f>
        <v>0.30198172457630412</v>
      </c>
      <c r="AR400" s="1605">
        <f t="shared" ref="AR400" si="2524">+AR399/AN399-1</f>
        <v>0.27677271287681893</v>
      </c>
      <c r="AS400" s="1605">
        <f t="shared" ref="AS400" si="2525">+AS399/AO399-1</f>
        <v>0.28557884658028665</v>
      </c>
      <c r="AT400" s="1605">
        <f t="shared" ref="AT400" si="2526">+AT399/AP399-1</f>
        <v>0.31391820702376005</v>
      </c>
      <c r="AU400" s="1605">
        <f t="shared" ref="AU400" si="2527">+AU399/AQ399-1</f>
        <v>0.27615456587305753</v>
      </c>
      <c r="AV400" s="1605">
        <f t="shared" ref="AV400" si="2528">+AV399/AR399-1</f>
        <v>0.2772886950392861</v>
      </c>
      <c r="AW400" s="1605">
        <f t="shared" ref="AW400" si="2529">+AW399/AS399-1</f>
        <v>0.29536843311258809</v>
      </c>
      <c r="AX400" s="1605">
        <f t="shared" ref="AX400" si="2530">+AX399/AT399-1</f>
        <v>0.29935305607144369</v>
      </c>
      <c r="AY400" s="1605"/>
      <c r="AZ400" s="1605"/>
      <c r="BA400" s="85"/>
      <c r="BB400" s="1605">
        <v>0.31328180085967983</v>
      </c>
      <c r="BC400" s="2197"/>
      <c r="BD400" s="85"/>
      <c r="BE400" s="1605"/>
      <c r="BF400" s="1605">
        <f t="shared" ref="BF400:BR400" si="2531">+BF399/BE399-1</f>
        <v>0.45818610129564208</v>
      </c>
      <c r="BG400" s="1605">
        <f t="shared" si="2531"/>
        <v>0.17922699239964923</v>
      </c>
      <c r="BH400" s="1605">
        <f t="shared" si="2531"/>
        <v>0.13603012785511193</v>
      </c>
      <c r="BI400" s="1605"/>
      <c r="BJ400" s="2059">
        <f>+BJ399/BH399-1</f>
        <v>0.14563347619775491</v>
      </c>
      <c r="BK400" s="1605">
        <f>+BK399/BJ399-1</f>
        <v>4.0563631578947312</v>
      </c>
      <c r="BL400" s="1605">
        <f t="shared" si="2531"/>
        <v>3.0960467737891406E-2</v>
      </c>
      <c r="BM400" s="1605">
        <f t="shared" si="2531"/>
        <v>0.10245816813114672</v>
      </c>
      <c r="BN400" s="1605">
        <f t="shared" si="2531"/>
        <v>4.7877010505315232E-2</v>
      </c>
      <c r="BO400" s="1866">
        <f t="shared" si="2531"/>
        <v>0.34207234601739644</v>
      </c>
      <c r="BP400" s="1605">
        <f t="shared" si="2531"/>
        <v>0.29258455697620089</v>
      </c>
      <c r="BQ400" s="1605">
        <f t="shared" si="2531"/>
        <v>0.28732371848346183</v>
      </c>
      <c r="BR400" s="1605">
        <f t="shared" si="2531"/>
        <v>7.6223318093664894E-2</v>
      </c>
      <c r="BS400" s="1605">
        <f t="shared" ref="BS400" si="2532">+BS399/BR399-1</f>
        <v>8.4781325458711088E-2</v>
      </c>
      <c r="BT400" s="1605">
        <f t="shared" ref="BT400" si="2533">+BT399/BS399-1</f>
        <v>8.505156873749331E-2</v>
      </c>
      <c r="BU400" s="1605">
        <f t="shared" ref="BU400" si="2534">+BU399/BT399-1</f>
        <v>8.4714127942140838E-2</v>
      </c>
    </row>
    <row r="401" spans="2:73" s="1606" customFormat="1" ht="15" hidden="1" customHeight="1">
      <c r="B401" s="1606" t="s">
        <v>30</v>
      </c>
      <c r="C401" s="1631"/>
      <c r="D401" s="1631"/>
      <c r="E401" s="1631"/>
      <c r="F401" s="1631"/>
      <c r="G401" s="1631">
        <f t="shared" ref="G401:AP401" si="2535">+G399/G368</f>
        <v>3.2255991775364645E-2</v>
      </c>
      <c r="H401" s="1631">
        <f t="shared" si="2535"/>
        <v>3.0910433590041142E-2</v>
      </c>
      <c r="I401" s="1631">
        <f t="shared" si="2535"/>
        <v>4.5516227524595727E-2</v>
      </c>
      <c r="J401" s="1631">
        <f t="shared" si="2535"/>
        <v>2.7792343995804929E-2</v>
      </c>
      <c r="K401" s="1631">
        <f t="shared" si="2535"/>
        <v>2.391650016843953E-2</v>
      </c>
      <c r="L401" s="1631">
        <f t="shared" si="2535"/>
        <v>4.1863809522191119E-2</v>
      </c>
      <c r="M401" s="1631">
        <f t="shared" si="2535"/>
        <v>5.3117683867818635E-2</v>
      </c>
      <c r="N401" s="1631">
        <f t="shared" si="2535"/>
        <v>3.159396138253058E-2</v>
      </c>
      <c r="O401" s="1631">
        <f t="shared" si="2535"/>
        <v>4.1354929529739522E-2</v>
      </c>
      <c r="P401" s="1631">
        <f t="shared" si="2535"/>
        <v>4.6953963991864224E-2</v>
      </c>
      <c r="Q401" s="1631">
        <f t="shared" si="2535"/>
        <v>4.2753835629825078E-2</v>
      </c>
      <c r="R401" s="1631">
        <f t="shared" si="2535"/>
        <v>2.9820619263434513E-2</v>
      </c>
      <c r="S401" s="1871">
        <f t="shared" si="2535"/>
        <v>4.0592930444697833E-2</v>
      </c>
      <c r="T401" s="1631">
        <f t="shared" si="2535"/>
        <v>4.0760990354269472E-2</v>
      </c>
      <c r="U401" s="1631">
        <f t="shared" si="2535"/>
        <v>5.4417213517253697E-2</v>
      </c>
      <c r="V401" s="1631">
        <f t="shared" si="2535"/>
        <v>3.4497753297579349E-2</v>
      </c>
      <c r="W401" s="1871">
        <f t="shared" si="2535"/>
        <v>0.13352064566314695</v>
      </c>
      <c r="X401" s="1631">
        <f t="shared" si="2535"/>
        <v>0.2328342887778708</v>
      </c>
      <c r="Y401" s="1631">
        <f t="shared" si="2535"/>
        <v>0.20217128904421444</v>
      </c>
      <c r="Z401" s="1631">
        <f t="shared" si="2535"/>
        <v>0.13100261438171296</v>
      </c>
      <c r="AA401" s="1631">
        <f t="shared" si="2535"/>
        <v>0.18012024200125157</v>
      </c>
      <c r="AB401" s="1631">
        <f t="shared" si="2535"/>
        <v>0.12816558816868662</v>
      </c>
      <c r="AC401" s="1631">
        <f t="shared" si="2535"/>
        <v>0.14223063214776488</v>
      </c>
      <c r="AD401" s="1631">
        <f t="shared" si="2535"/>
        <v>0.18911132841891823</v>
      </c>
      <c r="AE401" s="1631">
        <f t="shared" si="2535"/>
        <v>0.19267717118538077</v>
      </c>
      <c r="AF401" s="1631">
        <f t="shared" si="2535"/>
        <v>0.18450587203910915</v>
      </c>
      <c r="AG401" s="1631">
        <f t="shared" si="2535"/>
        <v>0.16954992061713331</v>
      </c>
      <c r="AH401" s="1631">
        <f t="shared" si="2535"/>
        <v>0.13102789641344034</v>
      </c>
      <c r="AI401" s="1631">
        <f t="shared" si="2535"/>
        <v>0.2113123446660142</v>
      </c>
      <c r="AJ401" s="1631">
        <f t="shared" si="2535"/>
        <v>0.20148941218263441</v>
      </c>
      <c r="AK401" s="1631">
        <f t="shared" ref="AK401" si="2536">+AK399/AK368</f>
        <v>0.20879556007410505</v>
      </c>
      <c r="AL401" s="1649">
        <f t="shared" si="2535"/>
        <v>0.14241218612041578</v>
      </c>
      <c r="AM401" s="1871">
        <f t="shared" si="2535"/>
        <v>0.20217448551249056</v>
      </c>
      <c r="AN401" s="1649">
        <f t="shared" si="2535"/>
        <v>0.2301804006697509</v>
      </c>
      <c r="AO401" s="1649">
        <f t="shared" si="2535"/>
        <v>0.23501166583006325</v>
      </c>
      <c r="AP401" s="1649">
        <f t="shared" si="2535"/>
        <v>0.17681204455260632</v>
      </c>
      <c r="AQ401" s="1649">
        <f t="shared" ref="AQ401:AT401" si="2537">+AQ399/AQ368</f>
        <v>0.23218341921449956</v>
      </c>
      <c r="AR401" s="1649">
        <f t="shared" si="2537"/>
        <v>0.25641688462079104</v>
      </c>
      <c r="AS401" s="1649">
        <f t="shared" si="2537"/>
        <v>0.26356558625742355</v>
      </c>
      <c r="AT401" s="1649">
        <f t="shared" si="2537"/>
        <v>0.20623180497486676</v>
      </c>
      <c r="AU401" s="1649">
        <f t="shared" ref="AU401:AX401" si="2538">+AU399/AU368</f>
        <v>0.25888837396179731</v>
      </c>
      <c r="AV401" s="1649">
        <f t="shared" si="2538"/>
        <v>0.28290508317204333</v>
      </c>
      <c r="AW401" s="1649">
        <f t="shared" si="2538"/>
        <v>0.29486314663624108</v>
      </c>
      <c r="AX401" s="1649">
        <f t="shared" si="2538"/>
        <v>0.23573715139431745</v>
      </c>
      <c r="AY401" s="1649"/>
      <c r="AZ401" s="1649"/>
      <c r="BA401" s="2257"/>
      <c r="BB401" s="1649">
        <v>0.2061319150492886</v>
      </c>
      <c r="BC401" s="2200"/>
      <c r="BD401" s="2257"/>
      <c r="BE401" s="1631">
        <f>+BE399/BE$364</f>
        <v>9.1334516701629828E-2</v>
      </c>
      <c r="BF401" s="1631">
        <f>+BF399/BF$364</f>
        <v>0.12484243432662734</v>
      </c>
      <c r="BG401" s="1631">
        <f>+BG399/BG$364</f>
        <v>0.13849388343817987</v>
      </c>
      <c r="BH401" s="1631">
        <f>+BH399/BH$364</f>
        <v>0.13917559664279833</v>
      </c>
      <c r="BI401" s="1631"/>
      <c r="BJ401" s="2063">
        <f>+BJ399/BJ$364</f>
        <v>0.13855970829535097</v>
      </c>
      <c r="BK401" s="1631">
        <f t="shared" ref="BK401" si="2539">+BK399/BK$368</f>
        <v>0.17367813009322777</v>
      </c>
      <c r="BL401" s="1631">
        <f>+BL399/BL$368</f>
        <v>0.16087347151783174</v>
      </c>
      <c r="BM401" s="1631">
        <f t="shared" ref="BM401:BN401" si="2540">+BM399/BM$368</f>
        <v>0.16694722248213761</v>
      </c>
      <c r="BN401" s="1631">
        <f t="shared" si="2540"/>
        <v>0.1880255050805261</v>
      </c>
      <c r="BO401" s="1871">
        <f t="shared" ref="BO401:BP401" si="2541">+BO399/BO$368</f>
        <v>0.21124987328616918</v>
      </c>
      <c r="BP401" s="1631">
        <f t="shared" si="2541"/>
        <v>0.23987630873009996</v>
      </c>
      <c r="BQ401" s="1631">
        <f t="shared" ref="BQ401" si="2542">+BQ399/BQ$368</f>
        <v>0.26864785818211384</v>
      </c>
      <c r="BR401" s="1631">
        <f>+BR399/BR$368</f>
        <v>0.26848859250208001</v>
      </c>
      <c r="BS401" s="1631">
        <f>+BS399/BS$368</f>
        <v>0.27037218159972676</v>
      </c>
      <c r="BT401" s="1631">
        <f>+BT399/BT$368</f>
        <v>0.27224477705949129</v>
      </c>
      <c r="BU401" s="1631">
        <f>+BU399/BU$368</f>
        <v>0.27395209354222244</v>
      </c>
    </row>
    <row r="402" spans="2:73" s="1650" customFormat="1" ht="15" hidden="1" customHeight="1">
      <c r="B402" s="1651" t="s">
        <v>297</v>
      </c>
      <c r="C402" s="1652"/>
      <c r="D402" s="1652"/>
      <c r="E402" s="1652"/>
      <c r="F402" s="1652"/>
      <c r="G402" s="1652"/>
      <c r="H402" s="1652"/>
      <c r="I402" s="1652"/>
      <c r="J402" s="1652"/>
      <c r="K402" s="1652"/>
      <c r="L402" s="1652"/>
      <c r="M402" s="1652"/>
      <c r="N402" s="1652"/>
      <c r="O402" s="1653">
        <f t="shared" ref="O402:V402" si="2543">+O401-K401</f>
        <v>1.7438429361299992E-2</v>
      </c>
      <c r="P402" s="1653">
        <f t="shared" si="2543"/>
        <v>5.0901544696731055E-3</v>
      </c>
      <c r="Q402" s="1653">
        <f t="shared" si="2543"/>
        <v>-1.0363848237993557E-2</v>
      </c>
      <c r="R402" s="1653">
        <f t="shared" si="2543"/>
        <v>-1.773342119096067E-3</v>
      </c>
      <c r="S402" s="1879">
        <f t="shared" si="2543"/>
        <v>-7.6199908504168828E-4</v>
      </c>
      <c r="T402" s="1653">
        <f t="shared" si="2543"/>
        <v>-6.1929736375947522E-3</v>
      </c>
      <c r="U402" s="1653">
        <f t="shared" si="2543"/>
        <v>1.1663377887428619E-2</v>
      </c>
      <c r="V402" s="1653">
        <f t="shared" si="2543"/>
        <v>4.6771340341448357E-3</v>
      </c>
      <c r="W402" s="1879">
        <f t="shared" ref="W402" si="2544">+W401-S401</f>
        <v>9.2927715218449114E-2</v>
      </c>
      <c r="X402" s="1653">
        <f t="shared" ref="X402" si="2545">+X401-T401</f>
        <v>0.19207329842360132</v>
      </c>
      <c r="Y402" s="1653">
        <f t="shared" ref="Y402" si="2546">+Y401-U401</f>
        <v>0.14775407552696074</v>
      </c>
      <c r="Z402" s="1653">
        <f t="shared" ref="Z402" si="2547">+Z401-V401</f>
        <v>9.6504861084133614E-2</v>
      </c>
      <c r="AA402" s="1653">
        <f t="shared" ref="AA402" si="2548">+AA401-W401</f>
        <v>4.6599596338104621E-2</v>
      </c>
      <c r="AB402" s="1653">
        <f t="shared" ref="AB402" si="2549">+AB401-X401</f>
        <v>-0.10466870060918418</v>
      </c>
      <c r="AC402" s="1653">
        <f t="shared" ref="AC402" si="2550">+AC401-Y401</f>
        <v>-5.9940656896449562E-2</v>
      </c>
      <c r="AD402" s="1653">
        <f t="shared" ref="AD402" si="2551">+AD401-Z401</f>
        <v>5.8108714037205272E-2</v>
      </c>
      <c r="AE402" s="1653">
        <f t="shared" ref="AE402" si="2552">+AE401-AA401</f>
        <v>1.2556929184129206E-2</v>
      </c>
      <c r="AF402" s="1653">
        <f t="shared" ref="AF402" si="2553">+AF401-AB401</f>
        <v>5.6340283870422531E-2</v>
      </c>
      <c r="AG402" s="1653">
        <f t="shared" ref="AG402" si="2554">+AG401-AC401</f>
        <v>2.731928846936843E-2</v>
      </c>
      <c r="AH402" s="1653">
        <f t="shared" ref="AH402:AK402" si="2555">+AH401-AD401</f>
        <v>-5.8083432005477886E-2</v>
      </c>
      <c r="AI402" s="1653">
        <f t="shared" si="2555"/>
        <v>1.8635173480633427E-2</v>
      </c>
      <c r="AJ402" s="1653">
        <f t="shared" si="2555"/>
        <v>1.6983540143525266E-2</v>
      </c>
      <c r="AK402" s="1653">
        <f t="shared" si="2555"/>
        <v>3.9245639456971737E-2</v>
      </c>
      <c r="AL402" s="1653">
        <f t="shared" ref="AL402:AP402" si="2556">+AL401-AH401</f>
        <v>1.1384289706975442E-2</v>
      </c>
      <c r="AM402" s="1879">
        <f t="shared" si="2556"/>
        <v>-9.1378591535236364E-3</v>
      </c>
      <c r="AN402" s="1653">
        <f t="shared" si="2556"/>
        <v>2.8690988487116487E-2</v>
      </c>
      <c r="AO402" s="1653">
        <f t="shared" si="2556"/>
        <v>2.6216105755958202E-2</v>
      </c>
      <c r="AP402" s="1653">
        <f t="shared" si="2556"/>
        <v>3.4399858432190539E-2</v>
      </c>
      <c r="AQ402" s="1653">
        <f t="shared" ref="AQ402" si="2557">+AQ401-AM401</f>
        <v>3.0008933702008994E-2</v>
      </c>
      <c r="AR402" s="1653">
        <f t="shared" ref="AR402" si="2558">+AR401-AN401</f>
        <v>2.623648395104014E-2</v>
      </c>
      <c r="AS402" s="1653">
        <f t="shared" ref="AS402" si="2559">+AS401-AO401</f>
        <v>2.8553920427360296E-2</v>
      </c>
      <c r="AT402" s="1653">
        <f t="shared" ref="AT402" si="2560">+AT401-AP401</f>
        <v>2.9419760422260438E-2</v>
      </c>
      <c r="AU402" s="1653">
        <f t="shared" ref="AU402" si="2561">+AU401-AQ401</f>
        <v>2.6704954747297754E-2</v>
      </c>
      <c r="AV402" s="1653">
        <f t="shared" ref="AV402" si="2562">+AV401-AR401</f>
        <v>2.6488198551252284E-2</v>
      </c>
      <c r="AW402" s="1653">
        <f t="shared" ref="AW402" si="2563">+AW401-AS401</f>
        <v>3.1297560378817535E-2</v>
      </c>
      <c r="AX402" s="1653">
        <f t="shared" ref="AX402" si="2564">+AX401-AT401</f>
        <v>2.9505346419450684E-2</v>
      </c>
      <c r="AY402" s="1653"/>
      <c r="AZ402" s="1653"/>
      <c r="BA402" s="2259"/>
      <c r="BB402" s="1653">
        <v>2.9319870496682277E-2</v>
      </c>
      <c r="BC402" s="2206"/>
      <c r="BD402" s="2259"/>
      <c r="BE402" s="1652"/>
      <c r="BF402" s="1652"/>
      <c r="BG402" s="1652"/>
      <c r="BH402" s="1652"/>
      <c r="BI402" s="1652"/>
      <c r="BJ402" s="2069"/>
      <c r="BK402" s="1654">
        <f>+BL402+BL403</f>
        <v>3100</v>
      </c>
      <c r="BL402" s="1654">
        <f>3100-BL403</f>
        <v>400</v>
      </c>
      <c r="BM402" s="1652"/>
      <c r="BN402" s="1652"/>
      <c r="BO402" s="2472"/>
      <c r="BP402" s="1652"/>
      <c r="BQ402" s="1652"/>
      <c r="BR402" s="1653"/>
      <c r="BS402" s="1653"/>
      <c r="BT402" s="1653"/>
      <c r="BU402" s="1653"/>
    </row>
    <row r="403" spans="2:73" s="1602" customFormat="1" ht="15" hidden="1" customHeight="1">
      <c r="B403" s="1597"/>
      <c r="C403" s="1599"/>
      <c r="D403" s="1599"/>
      <c r="E403" s="1599"/>
      <c r="F403" s="1599"/>
      <c r="G403" s="1599"/>
      <c r="H403" s="1599"/>
      <c r="I403" s="1599"/>
      <c r="J403" s="1599"/>
      <c r="K403" s="1599"/>
      <c r="L403" s="1599"/>
      <c r="M403" s="1599"/>
      <c r="N403" s="1599"/>
      <c r="O403" s="1601"/>
      <c r="P403" s="1601"/>
      <c r="Q403" s="1601"/>
      <c r="R403" s="1601"/>
      <c r="S403" s="1877"/>
      <c r="T403" s="1601"/>
      <c r="U403" s="1616"/>
      <c r="V403" s="1616"/>
      <c r="W403" s="1877"/>
      <c r="X403" s="1601"/>
      <c r="Y403" s="1601"/>
      <c r="Z403" s="1601"/>
      <c r="AA403" s="1601"/>
      <c r="AB403" s="1601"/>
      <c r="AC403" s="1601"/>
      <c r="AD403" s="1601"/>
      <c r="AE403" s="1601"/>
      <c r="AF403" s="1601"/>
      <c r="AG403" s="1601"/>
      <c r="AH403" s="1601"/>
      <c r="AI403" s="1601"/>
      <c r="AJ403" s="1601"/>
      <c r="AK403" s="1601"/>
      <c r="AL403" s="1601"/>
      <c r="AM403" s="1877"/>
      <c r="AN403" s="1601"/>
      <c r="AO403" s="1601"/>
      <c r="AP403" s="1601"/>
      <c r="AQ403" s="1601"/>
      <c r="AR403" s="1601"/>
      <c r="AS403" s="1601"/>
      <c r="AT403" s="1601"/>
      <c r="AU403" s="1601"/>
      <c r="AV403" s="1601"/>
      <c r="AW403" s="1601"/>
      <c r="AX403" s="1601"/>
      <c r="AY403" s="1601"/>
      <c r="AZ403" s="1601"/>
      <c r="BA403" s="85"/>
      <c r="BB403" s="1601"/>
      <c r="BC403" s="2197"/>
      <c r="BD403" s="85"/>
      <c r="BE403" s="1599"/>
      <c r="BF403" s="1599"/>
      <c r="BG403" s="1599"/>
      <c r="BH403" s="1599"/>
      <c r="BI403" s="1599"/>
      <c r="BJ403" s="2065"/>
      <c r="BK403" s="1655"/>
      <c r="BL403" s="1655">
        <v>2700</v>
      </c>
      <c r="BM403" s="1599"/>
      <c r="BN403" s="1599"/>
      <c r="BO403" s="1975"/>
      <c r="BP403" s="1599"/>
      <c r="BQ403" s="1599"/>
      <c r="BR403" s="1601"/>
      <c r="BS403" s="1601"/>
      <c r="BT403" s="1601"/>
      <c r="BU403" s="1601"/>
    </row>
    <row r="404" spans="2:73" s="1597" customFormat="1" ht="15" hidden="1" customHeight="1">
      <c r="G404" s="1617"/>
      <c r="H404" s="1617"/>
      <c r="I404" s="1617"/>
      <c r="J404" s="1617"/>
      <c r="K404" s="1615"/>
      <c r="L404" s="1615"/>
      <c r="M404" s="1615"/>
      <c r="N404" s="1615"/>
      <c r="O404" s="1615"/>
      <c r="P404" s="1615"/>
      <c r="Q404" s="1615"/>
      <c r="R404" s="1615"/>
      <c r="S404" s="1977"/>
      <c r="T404" s="1618"/>
      <c r="U404" s="1618"/>
      <c r="V404" s="1618"/>
      <c r="W404" s="1880"/>
      <c r="X404" s="1619"/>
      <c r="Y404" s="1619"/>
      <c r="Z404" s="1619"/>
      <c r="AA404" s="1619"/>
      <c r="AB404" s="1619"/>
      <c r="AC404" s="1619"/>
      <c r="AD404" s="1619"/>
      <c r="AE404" s="1619"/>
      <c r="AF404" s="1619"/>
      <c r="AG404" s="1619"/>
      <c r="AH404" s="1619"/>
      <c r="AI404" s="1619"/>
      <c r="AJ404" s="1619"/>
      <c r="AK404" s="1619"/>
      <c r="AL404" s="1619"/>
      <c r="AM404" s="1880"/>
      <c r="AN404" s="1619"/>
      <c r="AO404" s="1619"/>
      <c r="AP404" s="1619"/>
      <c r="AQ404" s="1619"/>
      <c r="AR404" s="1619"/>
      <c r="AS404" s="1619"/>
      <c r="AT404" s="1619"/>
      <c r="AU404" s="1619"/>
      <c r="AV404" s="1619"/>
      <c r="AW404" s="1619"/>
      <c r="AX404" s="1619"/>
      <c r="AY404" s="1619"/>
      <c r="AZ404" s="1619"/>
      <c r="BA404" s="72"/>
      <c r="BB404" s="1619"/>
      <c r="BC404" s="2189"/>
      <c r="BD404" s="72"/>
      <c r="BE404" s="1618"/>
      <c r="BF404" s="1618"/>
      <c r="BG404" s="1618"/>
      <c r="BH404" s="1618"/>
      <c r="BI404" s="1656"/>
      <c r="BJ404" s="2070">
        <f>+BJ405/MACRO!BH3</f>
        <v>2242.2321666265229</v>
      </c>
      <c r="BK404" s="1656">
        <f>+BK405/MACRO!BI3</f>
        <v>3601.1249394203737</v>
      </c>
      <c r="BL404" s="1656">
        <f>+BL405/MACRO!BJ3</f>
        <v>3598.6606841050002</v>
      </c>
      <c r="BM404" s="1656">
        <f>+BM405/MACRO!BK3</f>
        <v>3124.4239702694331</v>
      </c>
      <c r="BN404" s="1656">
        <f>+BN405/MACRO!BL3</f>
        <v>3072.9422611153705</v>
      </c>
      <c r="BO404" s="2473">
        <f>+BO405/MACRO!BM3</f>
        <v>2811.4021039888416</v>
      </c>
      <c r="BP404" s="1656">
        <f>+BP405/MACRO!BN3</f>
        <v>2730.98104906854</v>
      </c>
      <c r="BQ404" s="1656">
        <f>+BQ405/MACRO!BO3</f>
        <v>2872.4242214105047</v>
      </c>
      <c r="BR404" s="1619"/>
      <c r="BS404" s="1619"/>
      <c r="BT404" s="1619"/>
      <c r="BU404" s="1619"/>
    </row>
    <row r="405" spans="2:73" s="1597" customFormat="1" ht="15" hidden="1" customHeight="1">
      <c r="G405" s="1617"/>
      <c r="H405" s="1617"/>
      <c r="I405" s="1617"/>
      <c r="J405" s="1617"/>
      <c r="K405" s="1615"/>
      <c r="L405" s="1615"/>
      <c r="M405" s="1615"/>
      <c r="N405" s="1615"/>
      <c r="O405" s="1615"/>
      <c r="P405" s="1615"/>
      <c r="Q405" s="1615"/>
      <c r="R405" s="1615"/>
      <c r="S405" s="1977"/>
      <c r="T405" s="1618"/>
      <c r="U405" s="1618"/>
      <c r="V405" s="1618"/>
      <c r="W405" s="1880"/>
      <c r="X405" s="1619"/>
      <c r="Y405" s="1619"/>
      <c r="Z405" s="1619"/>
      <c r="AA405" s="1619"/>
      <c r="AB405" s="1619"/>
      <c r="AC405" s="1619"/>
      <c r="AD405" s="1619"/>
      <c r="AE405" s="1619"/>
      <c r="AF405" s="1619"/>
      <c r="AG405" s="1619"/>
      <c r="AH405" s="1619"/>
      <c r="AI405" s="1619"/>
      <c r="AJ405" s="1619"/>
      <c r="AK405" s="1619"/>
      <c r="AL405" s="1619"/>
      <c r="AM405" s="1880"/>
      <c r="AN405" s="1619"/>
      <c r="AO405" s="1619"/>
      <c r="AP405" s="1619"/>
      <c r="AQ405" s="1619"/>
      <c r="AR405" s="1619"/>
      <c r="AS405" s="1619"/>
      <c r="AT405" s="1619"/>
      <c r="AU405" s="1619"/>
      <c r="AV405" s="1619"/>
      <c r="AW405" s="1619"/>
      <c r="AX405" s="1619"/>
      <c r="AY405" s="1619"/>
      <c r="AZ405" s="1619"/>
      <c r="BA405" s="72"/>
      <c r="BB405" s="1619"/>
      <c r="BC405" s="2189"/>
      <c r="BD405" s="72"/>
      <c r="BE405" s="1618"/>
      <c r="BF405" s="1618"/>
      <c r="BG405" s="1618"/>
      <c r="BH405" s="1618"/>
      <c r="BI405" s="1656"/>
      <c r="BJ405" s="2070">
        <f t="shared" ref="BJ405" si="2565">+BJ413+BJ470</f>
        <v>8843.7000000000007</v>
      </c>
      <c r="BK405" s="1656">
        <f t="shared" ref="BK405:BN405" si="2566">+BK413+BK470</f>
        <v>18576.402999999998</v>
      </c>
      <c r="BL405" s="1656">
        <f t="shared" si="2566"/>
        <v>19429.258999999998</v>
      </c>
      <c r="BM405" s="1656">
        <f t="shared" si="2566"/>
        <v>16142.024000000001</v>
      </c>
      <c r="BN405" s="1656">
        <f t="shared" si="2566"/>
        <v>15344.199415983909</v>
      </c>
      <c r="BO405" s="2473">
        <f>+BO413+BO470</f>
        <v>15101.938396944261</v>
      </c>
      <c r="BP405" s="1656">
        <f>+BP413+BP470</f>
        <v>15256.967003252532</v>
      </c>
      <c r="BQ405" s="1656">
        <f>+BQ413+BQ470</f>
        <v>15266.408336700841</v>
      </c>
      <c r="BR405" s="1619"/>
      <c r="BS405" s="1619"/>
      <c r="BT405" s="1619"/>
      <c r="BU405" s="1619"/>
    </row>
    <row r="406" spans="2:73" s="1505" customFormat="1" ht="27" hidden="1" customHeight="1">
      <c r="B406" s="1505" t="s">
        <v>355</v>
      </c>
      <c r="C406" s="1506"/>
      <c r="D406" s="1506"/>
      <c r="E406" s="1506"/>
      <c r="F406" s="1506"/>
      <c r="G406" s="1506"/>
      <c r="H406" s="1506"/>
      <c r="I406" s="1506"/>
      <c r="J406" s="1506"/>
      <c r="K406" s="1506"/>
      <c r="L406" s="1506"/>
      <c r="M406" s="1506"/>
      <c r="N406" s="1506"/>
      <c r="O406" s="1506"/>
      <c r="P406" s="1506"/>
      <c r="Q406" s="1506"/>
      <c r="R406" s="1506"/>
      <c r="S406" s="1963"/>
      <c r="T406" s="1506"/>
      <c r="U406" s="1507"/>
      <c r="V406" s="1507"/>
      <c r="W406" s="1833"/>
      <c r="X406" s="1507"/>
      <c r="Y406" s="1507"/>
      <c r="Z406" s="1507"/>
      <c r="AA406" s="1507"/>
      <c r="AB406" s="1507"/>
      <c r="AC406" s="1507"/>
      <c r="AD406" s="1507"/>
      <c r="AE406" s="1507"/>
      <c r="AF406" s="1507"/>
      <c r="AG406" s="1507"/>
      <c r="AH406" s="1507"/>
      <c r="AI406" s="1507"/>
      <c r="AJ406" s="1507"/>
      <c r="AK406" s="1507"/>
      <c r="AL406" s="1507"/>
      <c r="AM406" s="1833"/>
      <c r="AN406" s="1507"/>
      <c r="AO406" s="1507"/>
      <c r="AP406" s="1507"/>
      <c r="AQ406" s="1507"/>
      <c r="AR406" s="1507"/>
      <c r="AS406" s="1507"/>
      <c r="AT406" s="1507"/>
      <c r="AU406" s="1507"/>
      <c r="AV406" s="1507"/>
      <c r="AW406" s="1507"/>
      <c r="AX406" s="1507"/>
      <c r="AY406" s="1507"/>
      <c r="AZ406" s="1507"/>
      <c r="BA406" s="2258"/>
      <c r="BB406" s="1507"/>
      <c r="BC406" s="2201"/>
      <c r="BD406" s="2258"/>
      <c r="BE406" s="1506"/>
      <c r="BF406" s="1507"/>
      <c r="BG406" s="1507"/>
      <c r="BH406" s="1507"/>
      <c r="BI406" s="1507"/>
      <c r="BJ406" s="2041"/>
      <c r="BK406" s="1507"/>
      <c r="BL406" s="1507"/>
      <c r="BM406" s="1507"/>
      <c r="BN406" s="1507"/>
      <c r="BO406" s="1833"/>
      <c r="BP406" s="1507"/>
      <c r="BQ406" s="1507"/>
      <c r="BR406" s="1507"/>
      <c r="BS406" s="1507"/>
      <c r="BT406" s="1507"/>
      <c r="BU406" s="1507"/>
    </row>
    <row r="407" spans="2:73" s="954" customFormat="1" ht="15" hidden="1">
      <c r="B407" s="910" t="s">
        <v>305</v>
      </c>
      <c r="O407" s="1025">
        <f>+'Avon IS'!O111</f>
        <v>891.58710295678532</v>
      </c>
      <c r="P407" s="1025">
        <f>+'Avon IS'!P111</f>
        <v>1030.2359558210762</v>
      </c>
      <c r="Q407" s="1025">
        <f>+'Avon IS'!Q111</f>
        <v>1409.3671141410157</v>
      </c>
      <c r="R407" s="1025">
        <f>+'Avon IS'!R111</f>
        <v>1029.5183037816525</v>
      </c>
      <c r="S407" s="1881">
        <v>884.5</v>
      </c>
      <c r="T407" s="955">
        <v>975.9</v>
      </c>
      <c r="U407" s="955">
        <v>960</v>
      </c>
      <c r="V407" s="955">
        <v>993.6</v>
      </c>
      <c r="W407" s="1881">
        <v>846.8</v>
      </c>
      <c r="X407" s="955">
        <v>672.5</v>
      </c>
      <c r="Y407" s="955">
        <v>1199</v>
      </c>
      <c r="Z407" s="1175">
        <v>1042.5999999999999</v>
      </c>
      <c r="AA407" s="1175">
        <v>823.5</v>
      </c>
      <c r="AB407" s="1175">
        <v>848.7</v>
      </c>
      <c r="AC407" s="1175">
        <f>+(Y407-390)*(1+AC408)</f>
        <v>660.14400000000001</v>
      </c>
      <c r="AD407" s="1175">
        <f>+(Z407)*(1+AD408)</f>
        <v>759.01279999999997</v>
      </c>
      <c r="AE407" s="1175">
        <f>+(AA407)*(1+AE408)</f>
        <v>683.505</v>
      </c>
      <c r="AF407" s="1175">
        <f>+AB407*(1+AF408)</f>
        <v>757.8891000000001</v>
      </c>
      <c r="AG407" s="1175">
        <f>+AC407*(1+AG408)</f>
        <v>650.90198399999997</v>
      </c>
      <c r="AH407" s="1175">
        <f>+AD407*(1+AH408)</f>
        <v>815.93875999999989</v>
      </c>
      <c r="AI407" s="1175">
        <f t="shared" ref="AI407:AJ407" si="2567">+AE407*(1+AI408)</f>
        <v>679.40396999999996</v>
      </c>
      <c r="AJ407" s="1175">
        <f t="shared" si="2567"/>
        <v>644.20573500000012</v>
      </c>
      <c r="AK407" s="1175">
        <f t="shared" ref="AK407:AL407" si="2568">+AG407*(1+AK408)</f>
        <v>489.47829196799995</v>
      </c>
      <c r="AL407" s="1175">
        <f t="shared" si="2568"/>
        <v>718.84204755999986</v>
      </c>
      <c r="AM407" s="2418">
        <f t="shared" ref="AM407" si="2569">+AI407*(1+AM408)</f>
        <v>679.40396999999996</v>
      </c>
      <c r="AN407" s="1175">
        <f t="shared" ref="AN407" si="2570">+AJ407*(1+AN408)</f>
        <v>721.51042320000022</v>
      </c>
      <c r="AO407" s="953">
        <f t="shared" ref="AO407" si="2571">+AK407*(1+AO408)</f>
        <v>587.3739503615999</v>
      </c>
      <c r="AP407" s="953">
        <f t="shared" ref="AP407" si="2572">+AL407*(1+AP408)</f>
        <v>826.66835469399973</v>
      </c>
      <c r="AQ407" s="1175">
        <f t="shared" ref="AQ407" si="2573">+AM407*(1+AQ408)</f>
        <v>781.31456549999984</v>
      </c>
      <c r="AR407" s="953">
        <f t="shared" ref="AR407" si="2574">+AN407*(1+AR408)</f>
        <v>829.7369866800002</v>
      </c>
      <c r="AS407" s="953">
        <f t="shared" ref="AS407" si="2575">+AO407*(1+AS408)</f>
        <v>675.48004291583982</v>
      </c>
      <c r="AT407" s="953">
        <f t="shared" ref="AT407" si="2576">+AP407*(1+AT408)</f>
        <v>950.66860789809959</v>
      </c>
      <c r="AU407" s="953">
        <f t="shared" ref="AU407" si="2577">+AQ407*(1+AU408)</f>
        <v>898.51175032499975</v>
      </c>
      <c r="AV407" s="953">
        <f t="shared" ref="AV407" si="2578">+AR407*(1+AV408)</f>
        <v>954.1975346820002</v>
      </c>
      <c r="AW407" s="953">
        <f t="shared" ref="AW407" si="2579">+AS407*(1+AW408)</f>
        <v>776.80204935321569</v>
      </c>
      <c r="AX407" s="953">
        <f t="shared" ref="AX407" si="2580">+AT407*(1+AX408)</f>
        <v>1093.2688990828144</v>
      </c>
      <c r="AY407" s="953"/>
      <c r="AZ407" s="953"/>
      <c r="BA407" s="980"/>
      <c r="BB407" s="953">
        <v>950.66860789809959</v>
      </c>
      <c r="BC407" s="2207"/>
      <c r="BD407" s="980"/>
      <c r="BH407" s="330"/>
      <c r="BI407" s="336"/>
      <c r="BJ407" s="2050">
        <f>+SUM(S407:V407)</f>
        <v>3814</v>
      </c>
      <c r="BK407" s="951">
        <f>+SUM(W407:Z407)</f>
        <v>3760.9</v>
      </c>
      <c r="BL407" s="951">
        <f>+SUM(AA407:AD407)</f>
        <v>3091.3568</v>
      </c>
      <c r="BM407" s="951">
        <f>+SUM(AE407:AH407)</f>
        <v>2908.2348440000001</v>
      </c>
      <c r="BN407" s="951">
        <f>+SUM(AI407:AL407)</f>
        <v>2531.9300445279996</v>
      </c>
      <c r="BO407" s="2470">
        <f>+SUM(AM407:AP407)</f>
        <v>2814.9566982555998</v>
      </c>
      <c r="BP407" s="951">
        <f>+SUM(AQ407:AT407)</f>
        <v>3237.2002029939395</v>
      </c>
      <c r="BQ407" s="951">
        <f>+SUM(AU407:AX407)</f>
        <v>3722.7802334430298</v>
      </c>
      <c r="BR407" s="953">
        <f t="shared" ref="BR407" si="2581">+BQ407*(1+BR408)</f>
        <v>3908.9192451151816</v>
      </c>
      <c r="BS407" s="953">
        <f t="shared" ref="BS407" si="2582">+BR407*(1+BS408)</f>
        <v>4104.3652073709409</v>
      </c>
      <c r="BT407" s="953">
        <f t="shared" ref="BT407" si="2583">+BS407*(1+BT408)</f>
        <v>4309.5834677394878</v>
      </c>
      <c r="BU407" s="953">
        <f t="shared" ref="BU407" si="2584">+BT407*(1+BU408)</f>
        <v>4525.062641126462</v>
      </c>
    </row>
    <row r="408" spans="2:73" s="325" customFormat="1" ht="15" hidden="1">
      <c r="B408" s="952" t="s">
        <v>108</v>
      </c>
      <c r="S408" s="1815">
        <f t="shared" ref="S408:V408" si="2585">+S407/O407-1</f>
        <v>-7.9488621283128058E-3</v>
      </c>
      <c r="T408" s="908">
        <f t="shared" si="2585"/>
        <v>-5.2741273020093349E-2</v>
      </c>
      <c r="U408" s="908">
        <f t="shared" si="2585"/>
        <v>-0.31884319538340933</v>
      </c>
      <c r="V408" s="908">
        <f t="shared" si="2585"/>
        <v>-3.4888455746455938E-2</v>
      </c>
      <c r="W408" s="1815">
        <f t="shared" ref="W408:AB408" si="2586">+W407/S407-1</f>
        <v>-4.2622950819672156E-2</v>
      </c>
      <c r="X408" s="908">
        <f t="shared" si="2586"/>
        <v>-0.31089250947843017</v>
      </c>
      <c r="Y408" s="908">
        <f t="shared" si="2586"/>
        <v>0.24895833333333339</v>
      </c>
      <c r="Z408" s="908">
        <f t="shared" si="2586"/>
        <v>4.9315619967793767E-2</v>
      </c>
      <c r="AA408" s="908">
        <f t="shared" si="2586"/>
        <v>-2.7515351913084518E-2</v>
      </c>
      <c r="AB408" s="908">
        <f t="shared" si="2586"/>
        <v>0.26200743494423806</v>
      </c>
      <c r="AC408" s="1236">
        <v>-0.184</v>
      </c>
      <c r="AD408" s="1236">
        <v>-0.27200000000000002</v>
      </c>
      <c r="AE408" s="1236">
        <v>-0.17</v>
      </c>
      <c r="AF408" s="1236">
        <v>-0.107</v>
      </c>
      <c r="AG408" s="1236">
        <v>-1.4E-2</v>
      </c>
      <c r="AH408" s="1236">
        <v>7.4999999999999997E-2</v>
      </c>
      <c r="AI408" s="1236">
        <v>-6.0000000000000001E-3</v>
      </c>
      <c r="AJ408" s="1236">
        <v>-0.15</v>
      </c>
      <c r="AK408" s="1236">
        <v>-0.248</v>
      </c>
      <c r="AL408" s="1236">
        <v>-0.11899999999999999</v>
      </c>
      <c r="AM408" s="1861">
        <v>0</v>
      </c>
      <c r="AN408" s="1236">
        <v>0.12</v>
      </c>
      <c r="AO408" s="1023">
        <v>0.2</v>
      </c>
      <c r="AP408" s="1023">
        <v>0.15</v>
      </c>
      <c r="AQ408" s="1236">
        <v>0.15</v>
      </c>
      <c r="AR408" s="1023">
        <v>0.15</v>
      </c>
      <c r="AS408" s="1023">
        <v>0.15</v>
      </c>
      <c r="AT408" s="1023">
        <v>0.15</v>
      </c>
      <c r="AU408" s="1023">
        <v>0.15</v>
      </c>
      <c r="AV408" s="1023">
        <v>0.15</v>
      </c>
      <c r="AW408" s="1023">
        <v>0.15</v>
      </c>
      <c r="AX408" s="1023">
        <v>0.15</v>
      </c>
      <c r="AY408" s="1023"/>
      <c r="AZ408" s="1023"/>
      <c r="BA408" s="984"/>
      <c r="BB408" s="1023">
        <v>0.15</v>
      </c>
      <c r="BC408" s="2208"/>
      <c r="BD408" s="72"/>
      <c r="BJ408" s="2019"/>
      <c r="BK408" s="908">
        <f t="shared" ref="BK408:BQ408" si="2587">+BK407/BJ407-1</f>
        <v>-1.3922391190351324E-2</v>
      </c>
      <c r="BL408" s="908">
        <f t="shared" si="2587"/>
        <v>-0.17802738706160759</v>
      </c>
      <c r="BM408" s="908">
        <f t="shared" si="2587"/>
        <v>-5.9236758435648684E-2</v>
      </c>
      <c r="BN408" s="908">
        <f t="shared" si="2587"/>
        <v>-0.12939285156023683</v>
      </c>
      <c r="BO408" s="1815">
        <f t="shared" si="2587"/>
        <v>0.1117829674399089</v>
      </c>
      <c r="BP408" s="908">
        <f t="shared" si="2587"/>
        <v>0.14999999999999991</v>
      </c>
      <c r="BQ408" s="908">
        <f t="shared" si="2587"/>
        <v>0.14999999999999991</v>
      </c>
      <c r="BR408" s="1023">
        <v>0.05</v>
      </c>
      <c r="BS408" s="1023">
        <v>0.05</v>
      </c>
      <c r="BT408" s="1023">
        <v>0.05</v>
      </c>
      <c r="BU408" s="1023">
        <v>0.05</v>
      </c>
    </row>
    <row r="409" spans="2:73" s="954" customFormat="1" ht="15" hidden="1">
      <c r="B409" s="910" t="s">
        <v>356</v>
      </c>
      <c r="O409" s="1025">
        <f>+('Avon IS'!O114+'Avon IS'!O130)*MACRO!O3</f>
        <v>1354.4926470432147</v>
      </c>
      <c r="P409" s="1025">
        <f>+('Avon IS'!P114+'Avon IS'!P130)*MACRO!P3</f>
        <v>1580.3699641789237</v>
      </c>
      <c r="Q409" s="1025">
        <f>+('Avon IS'!Q114+'Avon IS'!Q130)*MACRO!Q3</f>
        <v>1955.7376058589844</v>
      </c>
      <c r="R409" s="1025">
        <f>+('Avon IS'!R114+'Avon IS'!R130)*MACRO!R3</f>
        <v>1591.7190162183476</v>
      </c>
      <c r="S409" s="1881">
        <v>1403.1</v>
      </c>
      <c r="T409" s="955">
        <v>1515.5</v>
      </c>
      <c r="U409" s="955">
        <v>1471.1</v>
      </c>
      <c r="V409" s="955">
        <v>1450.1</v>
      </c>
      <c r="W409" s="1881">
        <v>1277.9000000000001</v>
      </c>
      <c r="X409" s="955">
        <v>941.9</v>
      </c>
      <c r="Y409" s="955">
        <v>1701.6</v>
      </c>
      <c r="Z409" s="1175">
        <v>1796.8</v>
      </c>
      <c r="AA409" s="1175">
        <v>1726.2</v>
      </c>
      <c r="AB409" s="1175">
        <v>1723.3</v>
      </c>
      <c r="AC409" s="1175">
        <f t="shared" ref="AC409:AE409" si="2588">+Y409*(1+AC410)</f>
        <v>1904.0903999999998</v>
      </c>
      <c r="AD409" s="1175">
        <f t="shared" si="2588"/>
        <v>1730.3183999999999</v>
      </c>
      <c r="AE409" s="1175">
        <f t="shared" si="2588"/>
        <v>1450.008</v>
      </c>
      <c r="AF409" s="1175">
        <f t="shared" ref="AF409:AH409" si="2589">+AB409*(1+AF410)</f>
        <v>1483.7612999999999</v>
      </c>
      <c r="AG409" s="1175">
        <f t="shared" si="2589"/>
        <v>1801.2695183999997</v>
      </c>
      <c r="AH409" s="1175">
        <f t="shared" si="2589"/>
        <v>1392.9063119999998</v>
      </c>
      <c r="AI409" s="1175">
        <f>+AE409*(1+AI410)</f>
        <v>1131.0062400000002</v>
      </c>
      <c r="AJ409" s="1175">
        <f>+AF409*(1+AJ410)</f>
        <v>890.25677999999994</v>
      </c>
      <c r="AK409" s="1175">
        <f>+AG409*(1+AK410)</f>
        <v>1464.4321184591997</v>
      </c>
      <c r="AL409" s="1175">
        <f>+AH409*(1+AL410)</f>
        <v>1392.9063119999998</v>
      </c>
      <c r="AM409" s="2418">
        <f t="shared" ref="AM409:AP409" si="2590">+AI409*(1+AM410)</f>
        <v>1300.6571760000002</v>
      </c>
      <c r="AN409" s="1175">
        <f t="shared" si="2590"/>
        <v>1201.8466530000001</v>
      </c>
      <c r="AO409" s="953">
        <f t="shared" si="2590"/>
        <v>1610.8753303051199</v>
      </c>
      <c r="AP409" s="953">
        <f t="shared" si="2590"/>
        <v>1532.1969431999999</v>
      </c>
      <c r="AQ409" s="1175">
        <f t="shared" ref="AQ409" si="2591">+AM409*(1+AQ410)</f>
        <v>1430.7228936000004</v>
      </c>
      <c r="AR409" s="953">
        <f t="shared" ref="AR409" si="2592">+AN409*(1+AR410)</f>
        <v>1322.0313183000001</v>
      </c>
      <c r="AS409" s="953">
        <f t="shared" ref="AS409" si="2593">+AO409*(1+AS410)</f>
        <v>1771.9628633356319</v>
      </c>
      <c r="AT409" s="953">
        <f t="shared" ref="AT409" si="2594">+AP409*(1+AT410)</f>
        <v>1685.41663752</v>
      </c>
      <c r="AU409" s="953">
        <f t="shared" ref="AU409" si="2595">+AQ409*(1+AU410)</f>
        <v>1573.7951829600006</v>
      </c>
      <c r="AV409" s="953">
        <f t="shared" ref="AV409" si="2596">+AR409*(1+AV410)</f>
        <v>1454.2344501300001</v>
      </c>
      <c r="AW409" s="953">
        <f t="shared" ref="AW409" si="2597">+AS409*(1+AW410)</f>
        <v>1949.1591496691954</v>
      </c>
      <c r="AX409" s="953">
        <f t="shared" ref="AX409" si="2598">+AT409*(1+AX410)</f>
        <v>1853.9583012720002</v>
      </c>
      <c r="AY409" s="953"/>
      <c r="AZ409" s="953"/>
      <c r="BA409" s="980"/>
      <c r="BB409" s="953">
        <v>1685.41663752</v>
      </c>
      <c r="BC409" s="2207"/>
      <c r="BD409" s="980"/>
      <c r="BH409" s="330"/>
      <c r="BI409" s="336"/>
      <c r="BJ409" s="2050">
        <f>+SUM(S409:V409)</f>
        <v>5839.7999999999993</v>
      </c>
      <c r="BK409" s="951">
        <f>+SUM(W409:Z409)</f>
        <v>5718.2</v>
      </c>
      <c r="BL409" s="951">
        <f>+SUM(AA409:AD409)</f>
        <v>7083.9088000000002</v>
      </c>
      <c r="BM409" s="951">
        <f>+SUM(AE409:AH409)</f>
        <v>6127.9451303999995</v>
      </c>
      <c r="BN409" s="951">
        <f>+SUM(AI409:AL409)</f>
        <v>4878.6014504591994</v>
      </c>
      <c r="BO409" s="2470">
        <f>+SUM(AM409:AP409)</f>
        <v>5645.5761025051197</v>
      </c>
      <c r="BP409" s="951">
        <f>+SUM(AQ409:AT409)</f>
        <v>6210.1337127556326</v>
      </c>
      <c r="BQ409" s="951">
        <f>+SUM(AU409:AX409)</f>
        <v>6831.1470840311968</v>
      </c>
      <c r="BR409" s="953">
        <f t="shared" ref="BR409" si="2599">+BQ409*(1+BR410)</f>
        <v>7172.7044382327567</v>
      </c>
      <c r="BS409" s="953">
        <f t="shared" ref="BS409" si="2600">+BR409*(1+BS410)</f>
        <v>7531.3396601443947</v>
      </c>
      <c r="BT409" s="953">
        <f t="shared" ref="BT409" si="2601">+BS409*(1+BT410)</f>
        <v>7907.9066431516148</v>
      </c>
      <c r="BU409" s="953">
        <f t="shared" ref="BU409" si="2602">+BT409*(1+BU410)</f>
        <v>8303.3019753091958</v>
      </c>
    </row>
    <row r="410" spans="2:73" s="325" customFormat="1" ht="15" hidden="1">
      <c r="B410" s="952" t="s">
        <v>108</v>
      </c>
      <c r="S410" s="1815">
        <f t="shared" ref="S410" si="2603">+S409/O409-1</f>
        <v>3.5886022019309127E-2</v>
      </c>
      <c r="T410" s="908">
        <f t="shared" ref="T410" si="2604">+T409/P409-1</f>
        <v>-4.104732793540955E-2</v>
      </c>
      <c r="U410" s="908">
        <f t="shared" ref="U410" si="2605">+U409/Q409-1</f>
        <v>-0.24780297950354413</v>
      </c>
      <c r="V410" s="908">
        <f t="shared" ref="V410" si="2606">+V409/R409-1</f>
        <v>-8.897237186674456E-2</v>
      </c>
      <c r="W410" s="1815">
        <f t="shared" ref="W410:AB410" si="2607">+W409/S409-1</f>
        <v>-8.9230988525407895E-2</v>
      </c>
      <c r="X410" s="908">
        <f t="shared" si="2607"/>
        <v>-0.3784889475420653</v>
      </c>
      <c r="Y410" s="908">
        <f t="shared" si="2607"/>
        <v>0.15668547345523764</v>
      </c>
      <c r="Z410" s="908">
        <f t="shared" si="2607"/>
        <v>0.23908695952003312</v>
      </c>
      <c r="AA410" s="908">
        <f t="shared" si="2607"/>
        <v>0.35080992252914922</v>
      </c>
      <c r="AB410" s="908">
        <f t="shared" si="2607"/>
        <v>0.82959974519588076</v>
      </c>
      <c r="AC410" s="1236">
        <v>0.11899999999999999</v>
      </c>
      <c r="AD410" s="1236">
        <v>-3.6999999999999998E-2</v>
      </c>
      <c r="AE410" s="1236">
        <v>-0.16</v>
      </c>
      <c r="AF410" s="1236">
        <v>-0.13900000000000001</v>
      </c>
      <c r="AG410" s="1236">
        <v>-5.3999999999999999E-2</v>
      </c>
      <c r="AH410" s="1236">
        <v>-0.19500000000000001</v>
      </c>
      <c r="AI410" s="1236">
        <v>-0.22</v>
      </c>
      <c r="AJ410" s="1236">
        <v>-0.4</v>
      </c>
      <c r="AK410" s="1236">
        <v>-0.187</v>
      </c>
      <c r="AL410" s="1236">
        <v>0</v>
      </c>
      <c r="AM410" s="1861">
        <v>0.15</v>
      </c>
      <c r="AN410" s="1236">
        <v>0.35</v>
      </c>
      <c r="AO410" s="1023">
        <v>0.1</v>
      </c>
      <c r="AP410" s="1023">
        <v>0.1</v>
      </c>
      <c r="AQ410" s="1236">
        <v>0.1</v>
      </c>
      <c r="AR410" s="1023">
        <v>0.1</v>
      </c>
      <c r="AS410" s="1023">
        <v>0.1</v>
      </c>
      <c r="AT410" s="1023">
        <v>0.1</v>
      </c>
      <c r="AU410" s="1023">
        <v>0.1</v>
      </c>
      <c r="AV410" s="1023">
        <v>0.1</v>
      </c>
      <c r="AW410" s="1023">
        <v>0.1</v>
      </c>
      <c r="AX410" s="1023">
        <v>0.1</v>
      </c>
      <c r="AY410" s="1023"/>
      <c r="AZ410" s="1023"/>
      <c r="BA410" s="72"/>
      <c r="BB410" s="1023">
        <v>0.1</v>
      </c>
      <c r="BC410" s="2189"/>
      <c r="BD410" s="72"/>
      <c r="BJ410" s="2019"/>
      <c r="BK410" s="908">
        <f t="shared" ref="BK410:BQ410" si="2608">+BK409/BJ409-1</f>
        <v>-2.0822630912017415E-2</v>
      </c>
      <c r="BL410" s="908">
        <f t="shared" si="2608"/>
        <v>0.23883543772515825</v>
      </c>
      <c r="BM410" s="908">
        <f t="shared" si="2608"/>
        <v>-0.13494861334183195</v>
      </c>
      <c r="BN410" s="908">
        <f t="shared" si="2608"/>
        <v>-0.20387644689293249</v>
      </c>
      <c r="BO410" s="1815">
        <f t="shared" si="2608"/>
        <v>0.1572119919682573</v>
      </c>
      <c r="BP410" s="908">
        <f t="shared" si="2608"/>
        <v>0.10000000000000009</v>
      </c>
      <c r="BQ410" s="908">
        <f t="shared" si="2608"/>
        <v>0.10000000000000009</v>
      </c>
      <c r="BR410" s="1023">
        <v>0.05</v>
      </c>
      <c r="BS410" s="1023">
        <v>0.05</v>
      </c>
      <c r="BT410" s="1023">
        <v>0.05</v>
      </c>
      <c r="BU410" s="1023">
        <v>0.05</v>
      </c>
    </row>
    <row r="411" spans="2:73" s="1597" customFormat="1" ht="15" hidden="1">
      <c r="B411" s="1657"/>
      <c r="S411" s="1882"/>
      <c r="T411" s="1620"/>
      <c r="U411" s="1620"/>
      <c r="V411" s="1620"/>
      <c r="W411" s="1882"/>
      <c r="X411" s="1620"/>
      <c r="Y411" s="1620"/>
      <c r="Z411" s="1620"/>
      <c r="AA411" s="1620"/>
      <c r="AB411" s="1620"/>
      <c r="AC411" s="1658"/>
      <c r="AD411" s="1658"/>
      <c r="AE411" s="1658"/>
      <c r="AF411" s="1658"/>
      <c r="AG411" s="1658"/>
      <c r="AH411" s="1658"/>
      <c r="AI411" s="1658"/>
      <c r="AJ411" s="1658"/>
      <c r="AK411" s="1658"/>
      <c r="AL411" s="1659"/>
      <c r="AM411" s="2419"/>
      <c r="AN411" s="1659"/>
      <c r="AO411" s="1659"/>
      <c r="AP411" s="1659"/>
      <c r="AQ411" s="1659"/>
      <c r="AR411" s="1659"/>
      <c r="AS411" s="1659"/>
      <c r="AT411" s="1659"/>
      <c r="AU411" s="1659"/>
      <c r="AV411" s="1659"/>
      <c r="AW411" s="1659"/>
      <c r="AX411" s="1659"/>
      <c r="AY411" s="1659"/>
      <c r="AZ411" s="1659"/>
      <c r="BA411" s="72"/>
      <c r="BB411" s="1659"/>
      <c r="BC411" s="2189"/>
      <c r="BD411" s="72"/>
      <c r="BJ411" s="2071"/>
      <c r="BK411" s="1620"/>
      <c r="BL411" s="1620"/>
      <c r="BM411" s="1620"/>
      <c r="BN411" s="1620"/>
      <c r="BO411" s="1882"/>
      <c r="BP411" s="1620"/>
      <c r="BQ411" s="1620"/>
      <c r="BR411" s="1659"/>
      <c r="BS411" s="1659"/>
      <c r="BT411" s="1659"/>
      <c r="BU411" s="1659"/>
    </row>
    <row r="412" spans="2:73" s="1597" customFormat="1" ht="15" hidden="1">
      <c r="B412" s="1657"/>
      <c r="S412" s="1882"/>
      <c r="T412" s="1620"/>
      <c r="U412" s="1620"/>
      <c r="V412" s="1620"/>
      <c r="W412" s="1883">
        <f>+W413-W409-W407</f>
        <v>4.9999999998817657E-3</v>
      </c>
      <c r="X412" s="1660">
        <f t="shared" ref="X412:AI412" si="2609">+X413-X409-X407</f>
        <v>-7.9000000000064574E-2</v>
      </c>
      <c r="Y412" s="1660">
        <f t="shared" si="2609"/>
        <v>6.0000000003128662E-3</v>
      </c>
      <c r="Z412" s="1660">
        <f t="shared" si="2609"/>
        <v>7.1000000001049557E-2</v>
      </c>
      <c r="AA412" s="1660">
        <f t="shared" si="2609"/>
        <v>-0.14999999999986358</v>
      </c>
      <c r="AB412" s="1660">
        <f t="shared" si="2609"/>
        <v>-1.2170000000010077</v>
      </c>
      <c r="AC412" s="1660">
        <f t="shared" si="2609"/>
        <v>-72.082400000000234</v>
      </c>
      <c r="AD412" s="1660">
        <f t="shared" si="2609"/>
        <v>-1.8572000000010576</v>
      </c>
      <c r="AE412" s="1660">
        <f t="shared" si="2609"/>
        <v>-1.7109999999994443</v>
      </c>
      <c r="AF412" s="1660">
        <f t="shared" si="2609"/>
        <v>-3.7264000000004671</v>
      </c>
      <c r="AG412" s="1660">
        <f t="shared" si="2609"/>
        <v>-74.649502399999733</v>
      </c>
      <c r="AH412" s="1660">
        <f t="shared" si="2609"/>
        <v>-10.069071999998528</v>
      </c>
      <c r="AI412" s="1660">
        <f t="shared" si="2609"/>
        <v>696.27179000000012</v>
      </c>
      <c r="AJ412" s="1660">
        <f t="shared" ref="AJ412:AK412" si="2610">+AJ413-AJ409-AJ407</f>
        <v>843.22828414386834</v>
      </c>
      <c r="AK412" s="1660">
        <f t="shared" si="2610"/>
        <v>107.38184685284199</v>
      </c>
      <c r="AL412" s="1659"/>
      <c r="AM412" s="2419"/>
      <c r="AN412" s="1659"/>
      <c r="AO412" s="1659"/>
      <c r="AP412" s="1659"/>
      <c r="AQ412" s="1659"/>
      <c r="AR412" s="1659"/>
      <c r="AS412" s="1659"/>
      <c r="AT412" s="1659"/>
      <c r="AU412" s="1659"/>
      <c r="AV412" s="1659"/>
      <c r="AW412" s="1659"/>
      <c r="AX412" s="1659"/>
      <c r="AY412" s="1659"/>
      <c r="AZ412" s="1659"/>
      <c r="BA412" s="72"/>
      <c r="BB412" s="1659"/>
      <c r="BC412" s="2189"/>
      <c r="BD412" s="72"/>
      <c r="BJ412" s="2071"/>
      <c r="BK412" s="1620"/>
      <c r="BL412" s="1620"/>
      <c r="BM412" s="1620"/>
      <c r="BN412" s="1620"/>
      <c r="BO412" s="1882"/>
      <c r="BP412" s="1620"/>
      <c r="BQ412" s="1620"/>
      <c r="BR412" s="1659"/>
      <c r="BS412" s="1659"/>
      <c r="BT412" s="1659"/>
      <c r="BU412" s="1659"/>
    </row>
    <row r="413" spans="2:73" s="1597" customFormat="1" ht="15" hidden="1" customHeight="1">
      <c r="B413" s="1602" t="s">
        <v>353</v>
      </c>
      <c r="S413" s="1882"/>
      <c r="T413" s="1620"/>
      <c r="U413" s="1620"/>
      <c r="V413" s="1620"/>
      <c r="W413" s="1868">
        <f t="shared" ref="W413:AK413" si="2611">+W144-W368</f>
        <v>2124.7049999999999</v>
      </c>
      <c r="X413" s="1611">
        <f t="shared" si="2611"/>
        <v>1614.3209999999999</v>
      </c>
      <c r="Y413" s="1611">
        <f t="shared" si="2611"/>
        <v>2900.6060000000002</v>
      </c>
      <c r="Z413" s="1611">
        <f t="shared" si="2611"/>
        <v>2839.4710000000009</v>
      </c>
      <c r="AA413" s="1611">
        <f t="shared" si="2611"/>
        <v>2549.5500000000002</v>
      </c>
      <c r="AB413" s="1611">
        <f t="shared" si="2611"/>
        <v>2570.782999999999</v>
      </c>
      <c r="AC413" s="1611">
        <f t="shared" si="2611"/>
        <v>2492.1519999999996</v>
      </c>
      <c r="AD413" s="1611">
        <f t="shared" si="2611"/>
        <v>2487.4739999999988</v>
      </c>
      <c r="AE413" s="1611">
        <f t="shared" si="2611"/>
        <v>2131.8020000000006</v>
      </c>
      <c r="AF413" s="1611">
        <f t="shared" si="2611"/>
        <v>2237.9239999999995</v>
      </c>
      <c r="AG413" s="1611">
        <f t="shared" si="2611"/>
        <v>2377.5219999999999</v>
      </c>
      <c r="AH413" s="1611">
        <f t="shared" si="2611"/>
        <v>2198.7760000000012</v>
      </c>
      <c r="AI413" s="1611">
        <f t="shared" si="2611"/>
        <v>2506.6820000000002</v>
      </c>
      <c r="AJ413" s="1611">
        <f t="shared" si="2611"/>
        <v>2377.6907991438684</v>
      </c>
      <c r="AK413" s="1611">
        <f t="shared" si="2611"/>
        <v>2061.2922572800417</v>
      </c>
      <c r="AL413" s="1661">
        <f t="shared" ref="AL413:AP413" si="2612">+AL407+AL409</f>
        <v>2111.7483595599997</v>
      </c>
      <c r="AM413" s="2420">
        <f t="shared" si="2612"/>
        <v>1980.061146</v>
      </c>
      <c r="AN413" s="1661">
        <f t="shared" si="2612"/>
        <v>1923.3570762000004</v>
      </c>
      <c r="AO413" s="1661">
        <f t="shared" si="2612"/>
        <v>2198.2492806667196</v>
      </c>
      <c r="AP413" s="1661">
        <f t="shared" si="2612"/>
        <v>2358.8652978939995</v>
      </c>
      <c r="AQ413" s="1661">
        <f t="shared" ref="AQ413:AT413" si="2613">+AQ407+AQ409</f>
        <v>2212.0374591</v>
      </c>
      <c r="AR413" s="1661">
        <f t="shared" si="2613"/>
        <v>2151.7683049800003</v>
      </c>
      <c r="AS413" s="1661">
        <f t="shared" si="2613"/>
        <v>2447.4429062514719</v>
      </c>
      <c r="AT413" s="1661">
        <f t="shared" si="2613"/>
        <v>2636.0852454180995</v>
      </c>
      <c r="AU413" s="1661">
        <f t="shared" ref="AU413:AX413" si="2614">+AU407+AU409</f>
        <v>2472.3069332850005</v>
      </c>
      <c r="AV413" s="1661">
        <f t="shared" si="2614"/>
        <v>2408.4319848120003</v>
      </c>
      <c r="AW413" s="1661">
        <f t="shared" si="2614"/>
        <v>2725.9611990224112</v>
      </c>
      <c r="AX413" s="1661">
        <f t="shared" si="2614"/>
        <v>2947.2272003548146</v>
      </c>
      <c r="AY413" s="1661"/>
      <c r="AZ413" s="1661"/>
      <c r="BA413" s="72"/>
      <c r="BB413" s="1661">
        <v>2636.0852454180995</v>
      </c>
      <c r="BC413" s="2189"/>
      <c r="BD413" s="72"/>
      <c r="BI413" s="1627"/>
      <c r="BJ413" s="2061"/>
      <c r="BK413" s="1648">
        <f>+SUM(W413:Z413)</f>
        <v>9479.103000000001</v>
      </c>
      <c r="BL413" s="1648">
        <f>+SUM(AA413:AD413)</f>
        <v>10099.958999999997</v>
      </c>
      <c r="BM413" s="1648">
        <f>+SUM(AE413:AH413)</f>
        <v>8946.0240000000013</v>
      </c>
      <c r="BN413" s="1648">
        <f>+SUM(AI413:AL413)</f>
        <v>9057.4134159839086</v>
      </c>
      <c r="BO413" s="1876">
        <f>+SUM(AM413:AP413)</f>
        <v>8460.5328007607186</v>
      </c>
      <c r="BP413" s="1648">
        <f>+SUM(AQ413:AT413)</f>
        <v>9447.333915749572</v>
      </c>
      <c r="BQ413" s="1648">
        <f>+SUM(AU413:AX413)</f>
        <v>10553.927317474227</v>
      </c>
      <c r="BR413" s="1661">
        <f t="shared" ref="BR413:BU413" si="2615">+BR407+BR409</f>
        <v>11081.623683347938</v>
      </c>
      <c r="BS413" s="1661">
        <f t="shared" si="2615"/>
        <v>11635.704867515335</v>
      </c>
      <c r="BT413" s="1661">
        <f t="shared" si="2615"/>
        <v>12217.490110891104</v>
      </c>
      <c r="BU413" s="1661">
        <f t="shared" si="2615"/>
        <v>12828.364616435658</v>
      </c>
    </row>
    <row r="414" spans="2:73" s="1597" customFormat="1" ht="15" hidden="1" customHeight="1">
      <c r="B414" s="1597" t="s">
        <v>108</v>
      </c>
      <c r="S414" s="1882"/>
      <c r="T414" s="1620"/>
      <c r="U414" s="1620"/>
      <c r="V414" s="1620"/>
      <c r="W414" s="1866"/>
      <c r="X414" s="1605"/>
      <c r="Y414" s="1605"/>
      <c r="Z414" s="1605"/>
      <c r="AA414" s="1605">
        <f t="shared" ref="AA414:AH414" si="2616">+AA413/W413-1</f>
        <v>0.19995481725698405</v>
      </c>
      <c r="AB414" s="1605">
        <f t="shared" si="2616"/>
        <v>0.59248563327863479</v>
      </c>
      <c r="AC414" s="1605">
        <f t="shared" si="2616"/>
        <v>-0.14081678104506457</v>
      </c>
      <c r="AD414" s="1605">
        <f t="shared" si="2616"/>
        <v>-0.12396569642725774</v>
      </c>
      <c r="AE414" s="1605">
        <f t="shared" si="2616"/>
        <v>-0.16385166009687968</v>
      </c>
      <c r="AF414" s="1605">
        <f t="shared" si="2616"/>
        <v>-0.12947767275573219</v>
      </c>
      <c r="AG414" s="1605">
        <f t="shared" si="2616"/>
        <v>-4.5996391873368792E-2</v>
      </c>
      <c r="AH414" s="1605">
        <f t="shared" si="2616"/>
        <v>-0.11606071058431078</v>
      </c>
      <c r="AI414" s="1605">
        <f t="shared" ref="AI414:AP414" si="2617">+AI413/AE413-1</f>
        <v>0.17585122820974908</v>
      </c>
      <c r="AJ414" s="1605">
        <f t="shared" si="2617"/>
        <v>6.2453773740247076E-2</v>
      </c>
      <c r="AK414" s="1605">
        <f t="shared" si="2617"/>
        <v>-0.13300812472816581</v>
      </c>
      <c r="AL414" s="1628">
        <f t="shared" si="2617"/>
        <v>-3.9580039276398082E-2</v>
      </c>
      <c r="AM414" s="1866">
        <f t="shared" si="2617"/>
        <v>-0.21008682154337888</v>
      </c>
      <c r="AN414" s="1628">
        <f t="shared" si="2617"/>
        <v>-0.19108191994832102</v>
      </c>
      <c r="AO414" s="1628">
        <f t="shared" si="2617"/>
        <v>6.6442312051081087E-2</v>
      </c>
      <c r="AP414" s="1628">
        <f t="shared" si="2617"/>
        <v>0.11702006880473603</v>
      </c>
      <c r="AQ414" s="1628">
        <f t="shared" ref="AQ414" si="2618">+AQ413/AM413-1</f>
        <v>0.11715613609641529</v>
      </c>
      <c r="AR414" s="1628">
        <f t="shared" ref="AR414" si="2619">+AR413/AN413-1</f>
        <v>0.11875653855771517</v>
      </c>
      <c r="AS414" s="1628">
        <f t="shared" ref="AS414" si="2620">+AS413/AO413-1</f>
        <v>0.11336003963534691</v>
      </c>
      <c r="AT414" s="1628">
        <f t="shared" ref="AT414" si="2621">+AT413/AP413-1</f>
        <v>0.11752258502068891</v>
      </c>
      <c r="AU414" s="1628">
        <f t="shared" ref="AU414" si="2622">+AU413/AQ413-1</f>
        <v>0.11766051841224012</v>
      </c>
      <c r="AV414" s="1628">
        <f t="shared" ref="AV414" si="2623">+AV413/AR413-1</f>
        <v>0.11928035153133543</v>
      </c>
      <c r="AW414" s="1628">
        <f t="shared" ref="AW414" si="2624">+AW413/AS413-1</f>
        <v>0.11379970991745036</v>
      </c>
      <c r="AX414" s="1628">
        <f t="shared" ref="AX414" si="2625">+AX413/AT413-1</f>
        <v>0.1180318259728228</v>
      </c>
      <c r="AY414" s="1628"/>
      <c r="AZ414" s="1628"/>
      <c r="BA414" s="72"/>
      <c r="BB414" s="1628">
        <v>0.11752258502068891</v>
      </c>
      <c r="BC414" s="2189"/>
      <c r="BD414" s="72"/>
      <c r="BI414" s="1605"/>
      <c r="BJ414" s="2059"/>
      <c r="BK414" s="1628" t="e">
        <f>+BK413/BJ413-1</f>
        <v>#DIV/0!</v>
      </c>
      <c r="BL414" s="1628">
        <f t="shared" ref="BL414:BU414" si="2626">+BL413/BK413-1</f>
        <v>6.549733661507795E-2</v>
      </c>
      <c r="BM414" s="1628">
        <f t="shared" si="2626"/>
        <v>-0.11425145389204017</v>
      </c>
      <c r="BN414" s="1628">
        <f t="shared" si="2626"/>
        <v>1.2451276229966224E-2</v>
      </c>
      <c r="BO414" s="1866">
        <f t="shared" si="2626"/>
        <v>-6.589967663062124E-2</v>
      </c>
      <c r="BP414" s="1628">
        <f t="shared" si="2626"/>
        <v>0.11663581221505659</v>
      </c>
      <c r="BQ414" s="1628">
        <f t="shared" si="2626"/>
        <v>0.11713287702045361</v>
      </c>
      <c r="BR414" s="1628">
        <f t="shared" si="2626"/>
        <v>5.0000000000000044E-2</v>
      </c>
      <c r="BS414" s="1628">
        <f t="shared" si="2626"/>
        <v>5.0000000000000044E-2</v>
      </c>
      <c r="BT414" s="1628">
        <f t="shared" si="2626"/>
        <v>5.0000000000000266E-2</v>
      </c>
      <c r="BU414" s="1628">
        <f t="shared" si="2626"/>
        <v>4.9999999999999822E-2</v>
      </c>
    </row>
    <row r="415" spans="2:73" s="1597" customFormat="1" ht="15" hidden="1" customHeight="1">
      <c r="B415" s="1602"/>
      <c r="S415" s="1882"/>
      <c r="T415" s="1620"/>
      <c r="U415" s="1620"/>
      <c r="V415" s="1620"/>
      <c r="W415" s="1869"/>
      <c r="X415" s="1608"/>
      <c r="Y415" s="1608"/>
      <c r="Z415" s="1608"/>
      <c r="AA415" s="1608"/>
      <c r="AB415" s="1608"/>
      <c r="AC415" s="1608"/>
      <c r="AD415" s="1608"/>
      <c r="AE415" s="1608"/>
      <c r="AF415" s="1608"/>
      <c r="AG415" s="1608"/>
      <c r="AH415" s="1608"/>
      <c r="AI415" s="1608"/>
      <c r="AJ415" s="1608"/>
      <c r="AK415" s="1608"/>
      <c r="AL415" s="1659"/>
      <c r="AM415" s="2419"/>
      <c r="AN415" s="1659"/>
      <c r="AO415" s="1659"/>
      <c r="AP415" s="1659"/>
      <c r="AQ415" s="1659"/>
      <c r="AR415" s="1659"/>
      <c r="AS415" s="1659"/>
      <c r="AT415" s="1659"/>
      <c r="AU415" s="1659"/>
      <c r="AV415" s="1659"/>
      <c r="AW415" s="1659"/>
      <c r="AX415" s="1659"/>
      <c r="AY415" s="1659"/>
      <c r="AZ415" s="1659"/>
      <c r="BA415" s="72"/>
      <c r="BB415" s="1659"/>
      <c r="BC415" s="2189"/>
      <c r="BD415" s="72"/>
      <c r="BI415" s="1627"/>
      <c r="BJ415" s="2061"/>
      <c r="BK415" s="1648"/>
      <c r="BL415" s="1648"/>
      <c r="BM415" s="1648"/>
      <c r="BN415" s="1648"/>
      <c r="BO415" s="1876"/>
      <c r="BP415" s="1648"/>
      <c r="BQ415" s="1648"/>
      <c r="BR415" s="1659"/>
      <c r="BS415" s="1659"/>
      <c r="BT415" s="1659"/>
      <c r="BU415" s="1659"/>
    </row>
    <row r="416" spans="2:73" s="1597" customFormat="1" ht="15" hidden="1" customHeight="1">
      <c r="B416" s="1602"/>
      <c r="S416" s="1882"/>
      <c r="T416" s="1620"/>
      <c r="U416" s="1620"/>
      <c r="V416" s="1620"/>
      <c r="W416" s="1869"/>
      <c r="X416" s="1608"/>
      <c r="Y416" s="1608"/>
      <c r="Z416" s="1608"/>
      <c r="AA416" s="1608"/>
      <c r="AB416" s="1608"/>
      <c r="AC416" s="1608"/>
      <c r="AD416" s="1608"/>
      <c r="AE416" s="1608"/>
      <c r="AF416" s="1608"/>
      <c r="AG416" s="1608"/>
      <c r="AH416" s="1608"/>
      <c r="AI416" s="1608"/>
      <c r="AJ416" s="1608"/>
      <c r="AK416" s="1608"/>
      <c r="AL416" s="1659"/>
      <c r="AM416" s="2419"/>
      <c r="AN416" s="1659"/>
      <c r="AO416" s="1659"/>
      <c r="AP416" s="1659"/>
      <c r="AQ416" s="1659"/>
      <c r="AR416" s="1659"/>
      <c r="AS416" s="1659"/>
      <c r="AT416" s="1659"/>
      <c r="AU416" s="1659"/>
      <c r="AV416" s="1659"/>
      <c r="AW416" s="1659"/>
      <c r="AX416" s="1659"/>
      <c r="AY416" s="1659"/>
      <c r="AZ416" s="1659"/>
      <c r="BA416" s="72"/>
      <c r="BB416" s="1659"/>
      <c r="BC416" s="2189"/>
      <c r="BD416" s="72"/>
      <c r="BI416" s="1627"/>
      <c r="BJ416" s="2061"/>
      <c r="BK416" s="1648"/>
      <c r="BL416" s="1648"/>
      <c r="BM416" s="1648"/>
      <c r="BN416" s="1648"/>
      <c r="BO416" s="1876"/>
      <c r="BP416" s="1648"/>
      <c r="BQ416" s="1648"/>
      <c r="BR416" s="1659"/>
      <c r="BS416" s="1659"/>
      <c r="BT416" s="1659"/>
      <c r="BU416" s="1659"/>
    </row>
    <row r="417" spans="2:73" s="1597" customFormat="1" ht="15" hidden="1" customHeight="1">
      <c r="B417" s="1602" t="s">
        <v>275</v>
      </c>
      <c r="S417" s="1882"/>
      <c r="T417" s="1620"/>
      <c r="U417" s="1620"/>
      <c r="V417" s="1620"/>
      <c r="W417" s="1868">
        <f t="shared" ref="W417:AK417" si="2627">+W204-W372</f>
        <v>-1052.8500000000004</v>
      </c>
      <c r="X417" s="1611">
        <f t="shared" si="2627"/>
        <v>-742.43</v>
      </c>
      <c r="Y417" s="1611">
        <f t="shared" si="2627"/>
        <v>-1365.7010000000005</v>
      </c>
      <c r="Z417" s="1611">
        <f t="shared" si="2627"/>
        <v>-1315.8130000000008</v>
      </c>
      <c r="AA417" s="1611">
        <f t="shared" si="2627"/>
        <v>-1210.2039999999997</v>
      </c>
      <c r="AB417" s="1611">
        <f t="shared" si="2627"/>
        <v>-1182.3959999999997</v>
      </c>
      <c r="AC417" s="1611">
        <f t="shared" si="2627"/>
        <v>-1184.8240000000001</v>
      </c>
      <c r="AD417" s="1611">
        <f t="shared" si="2627"/>
        <v>-1171.3100000000006</v>
      </c>
      <c r="AE417" s="1611">
        <f t="shared" si="2627"/>
        <v>-1008.5489999999999</v>
      </c>
      <c r="AF417" s="1611">
        <f t="shared" si="2627"/>
        <v>-1100.4829999999999</v>
      </c>
      <c r="AG417" s="1611">
        <f t="shared" si="2627"/>
        <v>-1153.2650000000003</v>
      </c>
      <c r="AH417" s="1611">
        <f t="shared" si="2627"/>
        <v>-1071.3620000000005</v>
      </c>
      <c r="AI417" s="1611">
        <f t="shared" si="2627"/>
        <v>-860.57899999999984</v>
      </c>
      <c r="AJ417" s="1611">
        <f t="shared" si="2627"/>
        <v>-834.79808727946647</v>
      </c>
      <c r="AK417" s="1611">
        <f t="shared" si="2627"/>
        <v>-726.41514096014339</v>
      </c>
      <c r="AL417" s="1662">
        <f t="shared" ref="AL417:AP417" si="2628">+AL419-AL413</f>
        <v>-737.86101183944925</v>
      </c>
      <c r="AM417" s="2421">
        <f t="shared" si="2628"/>
        <v>-685.90830981521754</v>
      </c>
      <c r="AN417" s="1662">
        <f t="shared" si="2628"/>
        <v>-660.49551555519361</v>
      </c>
      <c r="AO417" s="1662">
        <f t="shared" si="2628"/>
        <v>-748.30085106644651</v>
      </c>
      <c r="AP417" s="1662">
        <f t="shared" si="2628"/>
        <v>-795.89917463850588</v>
      </c>
      <c r="AQ417" s="1662">
        <f t="shared" ref="AQ417:AT417" si="2629">+AQ419-AQ413</f>
        <v>-739.72222760039131</v>
      </c>
      <c r="AR417" s="1662">
        <f t="shared" si="2629"/>
        <v>-713.11245705566193</v>
      </c>
      <c r="AS417" s="1662">
        <f t="shared" si="2629"/>
        <v>-803.75895032748508</v>
      </c>
      <c r="AT417" s="1662">
        <f t="shared" si="2629"/>
        <v>-857.80228011283862</v>
      </c>
      <c r="AU417" s="1662">
        <f t="shared" ref="AU417:AX417" si="2630">+AU419-AU413</f>
        <v>-797.09064518149034</v>
      </c>
      <c r="AV417" s="1662">
        <f t="shared" si="2630"/>
        <v>-769.27157779689151</v>
      </c>
      <c r="AW417" s="1662">
        <f t="shared" si="2630"/>
        <v>-862.51495133003846</v>
      </c>
      <c r="AX417" s="1662">
        <f t="shared" si="2630"/>
        <v>-923.68352315394986</v>
      </c>
      <c r="AY417" s="1662"/>
      <c r="AZ417" s="1662"/>
      <c r="BA417" s="72"/>
      <c r="BB417" s="1662">
        <v>-857.80228011283862</v>
      </c>
      <c r="BC417" s="2189"/>
      <c r="BD417" s="72"/>
      <c r="BI417" s="1627"/>
      <c r="BJ417" s="2061"/>
      <c r="BK417" s="1648">
        <f>+SUM(W417:Z417)</f>
        <v>-4476.7940000000017</v>
      </c>
      <c r="BL417" s="1648">
        <f>+SUM(AA417:AD417)</f>
        <v>-4748.7340000000004</v>
      </c>
      <c r="BM417" s="1648">
        <f>+SUM(AE417:AH417)</f>
        <v>-4333.6590000000006</v>
      </c>
      <c r="BN417" s="1648">
        <f>+SUM(AI417:AL417)</f>
        <v>-3159.6532400790584</v>
      </c>
      <c r="BO417" s="1876">
        <f>+SUM(AM417:AP417)</f>
        <v>-2890.6038510753638</v>
      </c>
      <c r="BP417" s="1648">
        <f>+SUM(AQ417:AT417)</f>
        <v>-3114.3959150963769</v>
      </c>
      <c r="BQ417" s="1648">
        <f>+SUM(AU417:AX417)</f>
        <v>-3352.5606974623702</v>
      </c>
      <c r="BR417" s="1662">
        <f t="shared" ref="BR417:BU417" si="2631">+BR419-BR413</f>
        <v>-3520.1887323354877</v>
      </c>
      <c r="BS417" s="1662">
        <f t="shared" si="2631"/>
        <v>-3696.1981689522627</v>
      </c>
      <c r="BT417" s="1662">
        <f t="shared" si="2631"/>
        <v>-3881.0080773998761</v>
      </c>
      <c r="BU417" s="1662">
        <f t="shared" si="2631"/>
        <v>-4075.0584812698689</v>
      </c>
    </row>
    <row r="418" spans="2:73" s="1597" customFormat="1" ht="15" hidden="1" customHeight="1">
      <c r="B418" s="1597" t="s">
        <v>316</v>
      </c>
      <c r="S418" s="1882"/>
      <c r="T418" s="1620"/>
      <c r="U418" s="1620"/>
      <c r="V418" s="1620"/>
      <c r="W418" s="1866"/>
      <c r="X418" s="1605"/>
      <c r="Y418" s="1605"/>
      <c r="Z418" s="1605"/>
      <c r="AA418" s="1605"/>
      <c r="AB418" s="1605"/>
      <c r="AC418" s="1605"/>
      <c r="AD418" s="1605"/>
      <c r="AE418" s="1605"/>
      <c r="AF418" s="1605"/>
      <c r="AG418" s="1605"/>
      <c r="AH418" s="1605"/>
      <c r="AI418" s="1605"/>
      <c r="AJ418" s="1605"/>
      <c r="AK418" s="1605"/>
      <c r="AL418" s="1659"/>
      <c r="AM418" s="2419"/>
      <c r="AN418" s="1659"/>
      <c r="AO418" s="1659"/>
      <c r="AP418" s="1659"/>
      <c r="AQ418" s="1659"/>
      <c r="AR418" s="1659"/>
      <c r="AS418" s="1659"/>
      <c r="AT418" s="1659"/>
      <c r="AU418" s="1659"/>
      <c r="AV418" s="1659"/>
      <c r="AW418" s="1659"/>
      <c r="AX418" s="1659"/>
      <c r="AY418" s="1659"/>
      <c r="AZ418" s="1659"/>
      <c r="BA418" s="72"/>
      <c r="BB418" s="1659"/>
      <c r="BC418" s="2189"/>
      <c r="BD418" s="72"/>
      <c r="BI418" s="1605"/>
      <c r="BJ418" s="2059"/>
      <c r="BK418" s="1628" t="e">
        <f t="shared" ref="BK418:BQ418" si="2632">+BK417/BJ417-1</f>
        <v>#DIV/0!</v>
      </c>
      <c r="BL418" s="1628">
        <f t="shared" si="2632"/>
        <v>6.0744363041944416E-2</v>
      </c>
      <c r="BM418" s="1628">
        <f t="shared" si="2632"/>
        <v>-8.7407506927109413E-2</v>
      </c>
      <c r="BN418" s="1628">
        <f t="shared" si="2632"/>
        <v>-0.27090404665455725</v>
      </c>
      <c r="BO418" s="1866">
        <f t="shared" si="2632"/>
        <v>-8.5151555743807728E-2</v>
      </c>
      <c r="BP418" s="1628">
        <f t="shared" si="2632"/>
        <v>7.7420523721283274E-2</v>
      </c>
      <c r="BQ418" s="1628">
        <f t="shared" si="2632"/>
        <v>7.6472224103409481E-2</v>
      </c>
      <c r="BR418" s="1659"/>
      <c r="BS418" s="1659"/>
      <c r="BT418" s="1659"/>
      <c r="BU418" s="1659"/>
    </row>
    <row r="419" spans="2:73" s="1597" customFormat="1" ht="15" hidden="1" customHeight="1">
      <c r="B419" s="1602" t="s">
        <v>15</v>
      </c>
      <c r="S419" s="1882"/>
      <c r="T419" s="1620"/>
      <c r="U419" s="1620"/>
      <c r="V419" s="1620"/>
      <c r="W419" s="1870">
        <f>+W413+W417</f>
        <v>1071.8549999999996</v>
      </c>
      <c r="X419" s="1609">
        <f t="shared" ref="X419:AI419" si="2633">+X413+X417</f>
        <v>871.89099999999996</v>
      </c>
      <c r="Y419" s="1609">
        <f t="shared" si="2633"/>
        <v>1534.9049999999997</v>
      </c>
      <c r="Z419" s="1609">
        <f t="shared" si="2633"/>
        <v>1523.6580000000001</v>
      </c>
      <c r="AA419" s="1609">
        <f t="shared" si="2633"/>
        <v>1339.3460000000005</v>
      </c>
      <c r="AB419" s="1609">
        <f t="shared" si="2633"/>
        <v>1388.3869999999993</v>
      </c>
      <c r="AC419" s="1609">
        <f t="shared" si="2633"/>
        <v>1307.3279999999995</v>
      </c>
      <c r="AD419" s="1609">
        <f t="shared" si="2633"/>
        <v>1316.1639999999982</v>
      </c>
      <c r="AE419" s="1609">
        <f t="shared" si="2633"/>
        <v>1123.2530000000006</v>
      </c>
      <c r="AF419" s="1609">
        <f t="shared" si="2633"/>
        <v>1137.4409999999996</v>
      </c>
      <c r="AG419" s="1609">
        <f t="shared" si="2633"/>
        <v>1224.2569999999996</v>
      </c>
      <c r="AH419" s="1609">
        <f t="shared" si="2633"/>
        <v>1127.4140000000007</v>
      </c>
      <c r="AI419" s="1609">
        <f t="shared" si="2633"/>
        <v>1646.1030000000005</v>
      </c>
      <c r="AJ419" s="1609">
        <f t="shared" ref="AJ419:AK419" si="2634">+AJ413+AJ417</f>
        <v>1542.8927118644019</v>
      </c>
      <c r="AK419" s="1609">
        <f t="shared" si="2634"/>
        <v>1334.8771163198983</v>
      </c>
      <c r="AL419" s="1630">
        <f t="shared" ref="AL419:AP419" si="2635">+AL421*AL413</f>
        <v>1373.8873477205505</v>
      </c>
      <c r="AM419" s="2415">
        <f t="shared" si="2635"/>
        <v>1294.1528361847825</v>
      </c>
      <c r="AN419" s="1630">
        <f t="shared" si="2635"/>
        <v>1262.8615606448068</v>
      </c>
      <c r="AO419" s="1630">
        <f t="shared" si="2635"/>
        <v>1449.9484296002731</v>
      </c>
      <c r="AP419" s="1630">
        <f t="shared" si="2635"/>
        <v>1562.9661232554936</v>
      </c>
      <c r="AQ419" s="1630">
        <f t="shared" ref="AQ419:AT419" si="2636">+AQ421*AQ413</f>
        <v>1472.3152314996087</v>
      </c>
      <c r="AR419" s="1630">
        <f t="shared" si="2636"/>
        <v>1438.6558479243383</v>
      </c>
      <c r="AS419" s="1630">
        <f t="shared" si="2636"/>
        <v>1643.6839559239868</v>
      </c>
      <c r="AT419" s="1630">
        <f t="shared" si="2636"/>
        <v>1778.2829653052609</v>
      </c>
      <c r="AU419" s="1630">
        <f t="shared" ref="AU419:AX419" si="2637">+AU421*AU413</f>
        <v>1675.2162881035101</v>
      </c>
      <c r="AV419" s="1630">
        <f t="shared" si="2637"/>
        <v>1639.1604070151088</v>
      </c>
      <c r="AW419" s="1630">
        <f t="shared" si="2637"/>
        <v>1863.4462476923727</v>
      </c>
      <c r="AX419" s="1630">
        <f t="shared" si="2637"/>
        <v>2023.5436772008647</v>
      </c>
      <c r="AY419" s="1630"/>
      <c r="AZ419" s="1630"/>
      <c r="BA419" s="72"/>
      <c r="BB419" s="1630">
        <v>1778.2829653052609</v>
      </c>
      <c r="BC419" s="2189"/>
      <c r="BD419" s="72"/>
      <c r="BI419" s="1609"/>
      <c r="BJ419" s="2062"/>
      <c r="BK419" s="1645">
        <f>+SUM(W419:Z419)</f>
        <v>5002.3089999999993</v>
      </c>
      <c r="BL419" s="1645">
        <f>+SUM(AA419:AD419)</f>
        <v>5351.2249999999976</v>
      </c>
      <c r="BM419" s="1645">
        <f>+SUM(AE419:AH419)</f>
        <v>4612.3650000000007</v>
      </c>
      <c r="BN419" s="1645">
        <f>+SUM(AI419:AL419)</f>
        <v>5897.7601759048512</v>
      </c>
      <c r="BO419" s="1870">
        <f>+SUM(AM419:AP419)</f>
        <v>5569.9289496853562</v>
      </c>
      <c r="BP419" s="1645">
        <f>+SUM(AQ419:AT419)</f>
        <v>6332.9380006531956</v>
      </c>
      <c r="BQ419" s="1645">
        <f>+SUM(AU419:AX419)</f>
        <v>7201.3666200118569</v>
      </c>
      <c r="BR419" s="1630">
        <f t="shared" ref="BR419:BU419" si="2638">+BR421*BR413</f>
        <v>7561.4349510124503</v>
      </c>
      <c r="BS419" s="1630">
        <f t="shared" si="2638"/>
        <v>7939.506698563072</v>
      </c>
      <c r="BT419" s="1630">
        <f t="shared" si="2638"/>
        <v>8336.4820334912274</v>
      </c>
      <c r="BU419" s="1630">
        <f t="shared" si="2638"/>
        <v>8753.3061351657889</v>
      </c>
    </row>
    <row r="420" spans="2:73" s="1597" customFormat="1" ht="15" hidden="1" customHeight="1">
      <c r="B420" s="1597" t="s">
        <v>316</v>
      </c>
      <c r="S420" s="1882"/>
      <c r="T420" s="1620"/>
      <c r="U420" s="1620"/>
      <c r="V420" s="1620"/>
      <c r="W420" s="1866"/>
      <c r="X420" s="1605"/>
      <c r="Y420" s="1605"/>
      <c r="Z420" s="1605"/>
      <c r="AA420" s="1605">
        <f t="shared" ref="AA420:AP420" si="2639">+AA419/W419-1</f>
        <v>0.24955894220766894</v>
      </c>
      <c r="AB420" s="1605">
        <f t="shared" si="2639"/>
        <v>0.59238597485236033</v>
      </c>
      <c r="AC420" s="1605">
        <f t="shared" si="2639"/>
        <v>-0.14826780810538776</v>
      </c>
      <c r="AD420" s="1605">
        <f t="shared" si="2639"/>
        <v>-0.13618147904582389</v>
      </c>
      <c r="AE420" s="1605">
        <f t="shared" si="2639"/>
        <v>-0.1613421774507855</v>
      </c>
      <c r="AF420" s="1605">
        <f t="shared" si="2639"/>
        <v>-0.18074643453158223</v>
      </c>
      <c r="AG420" s="1605">
        <f t="shared" si="2639"/>
        <v>-6.3542584569442395E-2</v>
      </c>
      <c r="AH420" s="1605">
        <f t="shared" si="2639"/>
        <v>-0.143409180011</v>
      </c>
      <c r="AI420" s="1605">
        <f t="shared" si="2639"/>
        <v>0.4654783917781653</v>
      </c>
      <c r="AJ420" s="1605">
        <f t="shared" si="2639"/>
        <v>0.35645955426646525</v>
      </c>
      <c r="AK420" s="1605">
        <f t="shared" si="2639"/>
        <v>9.0356940021497634E-2</v>
      </c>
      <c r="AL420" s="1628">
        <f t="shared" si="2639"/>
        <v>0.21861831387631314</v>
      </c>
      <c r="AM420" s="1866">
        <f t="shared" si="2639"/>
        <v>-0.21380810545586637</v>
      </c>
      <c r="AN420" s="1628">
        <f t="shared" si="2639"/>
        <v>-0.1814974878461969</v>
      </c>
      <c r="AO420" s="1628">
        <f t="shared" si="2639"/>
        <v>8.6203675134991498E-2</v>
      </c>
      <c r="AP420" s="1628">
        <f t="shared" si="2639"/>
        <v>0.13762320167563113</v>
      </c>
      <c r="AQ420" s="1628">
        <f t="shared" ref="AQ420" si="2640">+AQ419/AM419-1</f>
        <v>0.13766719844315811</v>
      </c>
      <c r="AR420" s="1628">
        <f t="shared" ref="AR420" si="2641">+AR419/AN419-1</f>
        <v>0.1392031341818436</v>
      </c>
      <c r="AS420" s="1628">
        <f t="shared" ref="AS420" si="2642">+AS419/AO419-1</f>
        <v>0.13361545994923651</v>
      </c>
      <c r="AT420" s="1628">
        <f t="shared" ref="AT420" si="2643">+AT419/AP419-1</f>
        <v>0.13776168200068528</v>
      </c>
      <c r="AU420" s="1628">
        <f t="shared" ref="AU420" si="2644">+AU419/AQ419-1</f>
        <v>0.13781087926207158</v>
      </c>
      <c r="AV420" s="1628">
        <f t="shared" ref="AV420" si="2645">+AV419/AR419-1</f>
        <v>0.13936936994351656</v>
      </c>
      <c r="AW420" s="1628">
        <f t="shared" ref="AW420" si="2646">+AW419/AS419-1</f>
        <v>0.13370106277203875</v>
      </c>
      <c r="AX420" s="1628">
        <f t="shared" ref="AX420" si="2647">+AX419/AT419-1</f>
        <v>0.1379199580048287</v>
      </c>
      <c r="AY420" s="1628"/>
      <c r="AZ420" s="1628"/>
      <c r="BA420" s="72"/>
      <c r="BB420" s="1628">
        <v>0.13776168200068528</v>
      </c>
      <c r="BC420" s="2189"/>
      <c r="BD420" s="72"/>
      <c r="BI420" s="1605"/>
      <c r="BJ420" s="2059"/>
      <c r="BK420" s="1628" t="e">
        <f t="shared" ref="BK420:BQ420" si="2648">+BK419/BJ419-1</f>
        <v>#DIV/0!</v>
      </c>
      <c r="BL420" s="1628">
        <f t="shared" si="2648"/>
        <v>6.9750988993282581E-2</v>
      </c>
      <c r="BM420" s="1628">
        <f t="shared" si="2648"/>
        <v>-0.13807305803811221</v>
      </c>
      <c r="BN420" s="1628">
        <f t="shared" si="2648"/>
        <v>0.27868461752373253</v>
      </c>
      <c r="BO420" s="1866">
        <f t="shared" si="2648"/>
        <v>-5.5585716685944808E-2</v>
      </c>
      <c r="BP420" s="1628">
        <f t="shared" si="2648"/>
        <v>0.13698721435413308</v>
      </c>
      <c r="BQ420" s="1628">
        <f t="shared" si="2648"/>
        <v>0.13712886803393465</v>
      </c>
      <c r="BR420" s="1628">
        <f t="shared" ref="BR420:BU420" si="2649">+BR419/BN419-1</f>
        <v>0.28208586403775793</v>
      </c>
      <c r="BS420" s="1628">
        <f t="shared" si="2649"/>
        <v>0.42542333489039796</v>
      </c>
      <c r="BT420" s="1628">
        <f t="shared" si="2649"/>
        <v>0.31636880585778382</v>
      </c>
      <c r="BU420" s="1628">
        <f t="shared" si="2649"/>
        <v>0.21550625000000023</v>
      </c>
    </row>
    <row r="421" spans="2:73" s="1597" customFormat="1" ht="15" hidden="1" customHeight="1">
      <c r="B421" s="1606" t="s">
        <v>317</v>
      </c>
      <c r="S421" s="1882"/>
      <c r="T421" s="1620"/>
      <c r="U421" s="1620"/>
      <c r="V421" s="1620"/>
      <c r="W421" s="1871">
        <f>+W419/W413</f>
        <v>0.50447238557823304</v>
      </c>
      <c r="X421" s="1631">
        <f t="shared" ref="X421:AI421" si="2650">+X419/X413</f>
        <v>0.54009766335196041</v>
      </c>
      <c r="Y421" s="1631">
        <f t="shared" si="2650"/>
        <v>0.52916700854924781</v>
      </c>
      <c r="Z421" s="1631">
        <f t="shared" si="2650"/>
        <v>0.53659924683153992</v>
      </c>
      <c r="AA421" s="1631">
        <f t="shared" si="2650"/>
        <v>0.52532643015434111</v>
      </c>
      <c r="AB421" s="1631">
        <f t="shared" si="2650"/>
        <v>0.54006386381114224</v>
      </c>
      <c r="AC421" s="1631">
        <f t="shared" si="2650"/>
        <v>0.52457795511670224</v>
      </c>
      <c r="AD421" s="1631">
        <f t="shared" si="2650"/>
        <v>0.52911668624476027</v>
      </c>
      <c r="AE421" s="1631">
        <f t="shared" si="2650"/>
        <v>0.52690306135372811</v>
      </c>
      <c r="AF421" s="1631">
        <f t="shared" si="2650"/>
        <v>0.50825720623220438</v>
      </c>
      <c r="AG421" s="1631">
        <f t="shared" si="2650"/>
        <v>0.51492983030230621</v>
      </c>
      <c r="AH421" s="1631">
        <f t="shared" si="2650"/>
        <v>0.51274618242149272</v>
      </c>
      <c r="AI421" s="1631">
        <f t="shared" si="2650"/>
        <v>0.65668600963345181</v>
      </c>
      <c r="AJ421" s="1631">
        <f t="shared" ref="AJ421:AK421" si="2651">+AJ419/AJ413</f>
        <v>0.64890384923891242</v>
      </c>
      <c r="AK421" s="1631">
        <f t="shared" si="2651"/>
        <v>0.64759235940725968</v>
      </c>
      <c r="AL421" s="1601">
        <f t="shared" ref="AL421:AP421" si="2652">+AK421+0.3%</f>
        <v>0.65059235940725968</v>
      </c>
      <c r="AM421" s="1877">
        <f t="shared" si="2652"/>
        <v>0.65359235940725968</v>
      </c>
      <c r="AN421" s="1601">
        <f t="shared" si="2652"/>
        <v>0.65659235940725968</v>
      </c>
      <c r="AO421" s="1601">
        <f t="shared" si="2652"/>
        <v>0.65959235940725969</v>
      </c>
      <c r="AP421" s="1601">
        <f t="shared" si="2652"/>
        <v>0.66259235940725969</v>
      </c>
      <c r="AQ421" s="1601">
        <f t="shared" ref="AQ421" si="2653">+AP421+0.3%</f>
        <v>0.66559235940725969</v>
      </c>
      <c r="AR421" s="1601">
        <f t="shared" ref="AR421" si="2654">+AQ421+0.3%</f>
        <v>0.6685923594072597</v>
      </c>
      <c r="AS421" s="1601">
        <f t="shared" ref="AS421" si="2655">+AR421+0.3%</f>
        <v>0.6715923594072597</v>
      </c>
      <c r="AT421" s="1601">
        <f t="shared" ref="AT421" si="2656">+AS421+0.3%</f>
        <v>0.6745923594072597</v>
      </c>
      <c r="AU421" s="1601">
        <f t="shared" ref="AU421" si="2657">+AT421+0.3%</f>
        <v>0.6775923594072597</v>
      </c>
      <c r="AV421" s="1601">
        <f t="shared" ref="AV421" si="2658">+AU421+0.3%</f>
        <v>0.68059235940725971</v>
      </c>
      <c r="AW421" s="1601">
        <f t="shared" ref="AW421" si="2659">+AV421+0.3%</f>
        <v>0.68359235940725971</v>
      </c>
      <c r="AX421" s="1601">
        <f t="shared" ref="AX421" si="2660">+AW421+0.3%</f>
        <v>0.68659235940725971</v>
      </c>
      <c r="AY421" s="1601"/>
      <c r="AZ421" s="1601"/>
      <c r="BA421" s="72"/>
      <c r="BB421" s="1601">
        <v>0.6745923594072597</v>
      </c>
      <c r="BC421" s="2189"/>
      <c r="BD421" s="72"/>
      <c r="BI421" s="1631"/>
      <c r="BJ421" s="2063"/>
      <c r="BK421" s="1649">
        <f t="shared" ref="BK421:BP421" si="2661">+BK419/BK$413</f>
        <v>0.52771965870610316</v>
      </c>
      <c r="BL421" s="1649">
        <f t="shared" si="2661"/>
        <v>0.52982640820621141</v>
      </c>
      <c r="BM421" s="1649">
        <f t="shared" si="2661"/>
        <v>0.51557708765368837</v>
      </c>
      <c r="BN421" s="1649">
        <f t="shared" si="2661"/>
        <v>0.65115280765443306</v>
      </c>
      <c r="BO421" s="1871">
        <f t="shared" si="2661"/>
        <v>0.6583425749717019</v>
      </c>
      <c r="BP421" s="1649">
        <f t="shared" si="2661"/>
        <v>0.67034128963046469</v>
      </c>
      <c r="BQ421" s="1649">
        <f t="shared" ref="BQ421" si="2662">+BQ419/BQ$413</f>
        <v>0.68233998618585268</v>
      </c>
      <c r="BR421" s="1601">
        <f t="shared" ref="BR421:BU421" si="2663">+BQ421</f>
        <v>0.68233998618585268</v>
      </c>
      <c r="BS421" s="1601">
        <f t="shared" si="2663"/>
        <v>0.68233998618585268</v>
      </c>
      <c r="BT421" s="1601">
        <f t="shared" si="2663"/>
        <v>0.68233998618585268</v>
      </c>
      <c r="BU421" s="1601">
        <f t="shared" si="2663"/>
        <v>0.68233998618585268</v>
      </c>
    </row>
    <row r="422" spans="2:73" s="1597" customFormat="1" ht="15" hidden="1" customHeight="1">
      <c r="B422" s="1597" t="s">
        <v>354</v>
      </c>
      <c r="S422" s="1882"/>
      <c r="T422" s="1620"/>
      <c r="U422" s="1620"/>
      <c r="V422" s="1620"/>
      <c r="W422" s="1872"/>
      <c r="X422" s="1613"/>
      <c r="Y422" s="1613"/>
      <c r="Z422" s="1613"/>
      <c r="AA422" s="1613">
        <f t="shared" ref="AA422:AP422" si="2664">+AA421-W421</f>
        <v>2.0854044576108066E-2</v>
      </c>
      <c r="AB422" s="1613">
        <f t="shared" si="2664"/>
        <v>-3.3799540818169049E-5</v>
      </c>
      <c r="AC422" s="1613">
        <f t="shared" si="2664"/>
        <v>-4.5890534325455645E-3</v>
      </c>
      <c r="AD422" s="1613">
        <f t="shared" si="2664"/>
        <v>-7.4825605867796519E-3</v>
      </c>
      <c r="AE422" s="1613">
        <f t="shared" si="2664"/>
        <v>1.5766311993870019E-3</v>
      </c>
      <c r="AF422" s="1613">
        <f t="shared" si="2664"/>
        <v>-3.1806657578937858E-2</v>
      </c>
      <c r="AG422" s="1613">
        <f t="shared" si="2664"/>
        <v>-9.6481248143960308E-3</v>
      </c>
      <c r="AH422" s="1613">
        <f t="shared" si="2664"/>
        <v>-1.6370503823267546E-2</v>
      </c>
      <c r="AI422" s="1613">
        <f t="shared" si="2664"/>
        <v>0.1297829482797237</v>
      </c>
      <c r="AJ422" s="1613">
        <f t="shared" si="2664"/>
        <v>0.14064664300670804</v>
      </c>
      <c r="AK422" s="1613">
        <f>+AK421-AG421</f>
        <v>0.13266252910495346</v>
      </c>
      <c r="AL422" s="1633">
        <f t="shared" si="2664"/>
        <v>0.13784617698576695</v>
      </c>
      <c r="AM422" s="1872">
        <f t="shared" si="2664"/>
        <v>-3.0936502261921239E-3</v>
      </c>
      <c r="AN422" s="1633">
        <f t="shared" si="2664"/>
        <v>7.6885101683472623E-3</v>
      </c>
      <c r="AO422" s="1633">
        <f t="shared" si="2664"/>
        <v>1.2000000000000011E-2</v>
      </c>
      <c r="AP422" s="1633">
        <f t="shared" si="2664"/>
        <v>1.2000000000000011E-2</v>
      </c>
      <c r="AQ422" s="1633">
        <f t="shared" ref="AQ422" si="2665">+AQ421-AM421</f>
        <v>1.2000000000000011E-2</v>
      </c>
      <c r="AR422" s="1633">
        <f t="shared" ref="AR422" si="2666">+AR421-AN421</f>
        <v>1.2000000000000011E-2</v>
      </c>
      <c r="AS422" s="1633">
        <f t="shared" ref="AS422" si="2667">+AS421-AO421</f>
        <v>1.2000000000000011E-2</v>
      </c>
      <c r="AT422" s="1633">
        <f t="shared" ref="AT422" si="2668">+AT421-AP421</f>
        <v>1.2000000000000011E-2</v>
      </c>
      <c r="AU422" s="1633">
        <f t="shared" ref="AU422" si="2669">+AU421-AQ421</f>
        <v>1.2000000000000011E-2</v>
      </c>
      <c r="AV422" s="1633">
        <f t="shared" ref="AV422" si="2670">+AV421-AR421</f>
        <v>1.2000000000000011E-2</v>
      </c>
      <c r="AW422" s="1633">
        <f t="shared" ref="AW422" si="2671">+AW421-AS421</f>
        <v>1.2000000000000011E-2</v>
      </c>
      <c r="AX422" s="1633">
        <f t="shared" ref="AX422" si="2672">+AX421-AT421</f>
        <v>1.2000000000000011E-2</v>
      </c>
      <c r="AY422" s="1633"/>
      <c r="AZ422" s="1633"/>
      <c r="BA422" s="72"/>
      <c r="BB422" s="1633">
        <v>1.2000000000000011E-2</v>
      </c>
      <c r="BC422" s="2189"/>
      <c r="BD422" s="72"/>
      <c r="BI422" s="1613"/>
      <c r="BJ422" s="2064"/>
      <c r="BK422" s="1633">
        <f t="shared" ref="BK422:BQ422" si="2673">+BK421-BJ421</f>
        <v>0.52771965870610316</v>
      </c>
      <c r="BL422" s="1633">
        <f t="shared" si="2673"/>
        <v>2.1067495001082515E-3</v>
      </c>
      <c r="BM422" s="1633">
        <f t="shared" si="2673"/>
        <v>-1.4249320552523037E-2</v>
      </c>
      <c r="BN422" s="1633">
        <f t="shared" si="2673"/>
        <v>0.13557572000074469</v>
      </c>
      <c r="BO422" s="1872">
        <f t="shared" si="2673"/>
        <v>7.1897673172688359E-3</v>
      </c>
      <c r="BP422" s="1633">
        <f t="shared" si="2673"/>
        <v>1.1998714658762788E-2</v>
      </c>
      <c r="BQ422" s="1633">
        <f t="shared" si="2673"/>
        <v>1.1998696555387989E-2</v>
      </c>
      <c r="BR422" s="1633">
        <f t="shared" ref="BR422:BU422" si="2674">+BR421-BN421</f>
        <v>3.1187178531419613E-2</v>
      </c>
      <c r="BS422" s="1633">
        <f t="shared" si="2674"/>
        <v>2.3997411214150777E-2</v>
      </c>
      <c r="BT422" s="1633">
        <f t="shared" si="2674"/>
        <v>1.1998696555387989E-2</v>
      </c>
      <c r="BU422" s="1633">
        <f t="shared" si="2674"/>
        <v>0</v>
      </c>
    </row>
    <row r="423" spans="2:73" s="1597" customFormat="1" ht="15" hidden="1" customHeight="1">
      <c r="S423" s="1882"/>
      <c r="T423" s="1620"/>
      <c r="U423" s="1620"/>
      <c r="V423" s="1620"/>
      <c r="W423" s="1873"/>
      <c r="X423" s="1634"/>
      <c r="Y423" s="1634"/>
      <c r="Z423" s="1634"/>
      <c r="AA423" s="1634"/>
      <c r="AB423" s="1634"/>
      <c r="AC423" s="1634"/>
      <c r="AD423" s="1634"/>
      <c r="AE423" s="1634"/>
      <c r="AF423" s="1634"/>
      <c r="AG423" s="1634"/>
      <c r="AH423" s="1634"/>
      <c r="AI423" s="1634"/>
      <c r="AJ423" s="1634"/>
      <c r="AK423" s="1634"/>
      <c r="AL423" s="1635"/>
      <c r="AM423" s="1873"/>
      <c r="AN423" s="1635"/>
      <c r="AO423" s="1635"/>
      <c r="AP423" s="1635"/>
      <c r="AQ423" s="1635"/>
      <c r="AR423" s="1635"/>
      <c r="AS423" s="1635"/>
      <c r="AT423" s="1635"/>
      <c r="AU423" s="1635"/>
      <c r="AV423" s="1635"/>
      <c r="AW423" s="1635"/>
      <c r="AX423" s="1635"/>
      <c r="AY423" s="1635"/>
      <c r="AZ423" s="1635"/>
      <c r="BA423" s="72"/>
      <c r="BB423" s="1635"/>
      <c r="BC423" s="2189"/>
      <c r="BD423" s="72"/>
      <c r="BI423" s="1599"/>
      <c r="BJ423" s="2065"/>
      <c r="BK423" s="1663"/>
      <c r="BL423" s="1663"/>
      <c r="BM423" s="1663"/>
      <c r="BN423" s="1663"/>
      <c r="BO423" s="1975"/>
      <c r="BP423" s="1663"/>
      <c r="BQ423" s="1663"/>
      <c r="BR423" s="1635"/>
      <c r="BS423" s="1635"/>
      <c r="BT423" s="1635"/>
      <c r="BU423" s="1635"/>
    </row>
    <row r="424" spans="2:73" s="1597" customFormat="1" ht="15" hidden="1" customHeight="1">
      <c r="B424" s="1602" t="s">
        <v>16</v>
      </c>
      <c r="S424" s="1882"/>
      <c r="T424" s="1620"/>
      <c r="U424" s="1620"/>
      <c r="V424" s="1620"/>
      <c r="W424" s="1868">
        <f t="shared" ref="W424:AK424" si="2675">+W211-W379</f>
        <v>-994.63400000000001</v>
      </c>
      <c r="X424" s="1611">
        <f t="shared" si="2675"/>
        <v>-1031.3490000000002</v>
      </c>
      <c r="Y424" s="1611">
        <f t="shared" si="2675"/>
        <v>-1029.9209999999998</v>
      </c>
      <c r="Z424" s="1611">
        <f t="shared" si="2675"/>
        <v>-1191.4269999999988</v>
      </c>
      <c r="AA424" s="1611">
        <f t="shared" si="2675"/>
        <v>-1162.4209999999998</v>
      </c>
      <c r="AB424" s="1611">
        <f t="shared" si="2675"/>
        <v>-1173.461</v>
      </c>
      <c r="AC424" s="1611">
        <f t="shared" si="2675"/>
        <v>-1169.5919999999999</v>
      </c>
      <c r="AD424" s="1611">
        <f t="shared" si="2675"/>
        <v>-1118.7009999999996</v>
      </c>
      <c r="AE424" s="1611">
        <f t="shared" si="2675"/>
        <v>-1078.4900000000002</v>
      </c>
      <c r="AF424" s="1611">
        <f t="shared" si="2675"/>
        <v>-1048.6410000000001</v>
      </c>
      <c r="AG424" s="1611">
        <f t="shared" si="2675"/>
        <v>-1064.2409999999995</v>
      </c>
      <c r="AH424" s="1611">
        <f t="shared" si="2675"/>
        <v>-1025.6079999999999</v>
      </c>
      <c r="AI424" s="1611">
        <f t="shared" si="2675"/>
        <v>-1355.8850000000002</v>
      </c>
      <c r="AJ424" s="1611">
        <f t="shared" si="2675"/>
        <v>-1221.7179257883188</v>
      </c>
      <c r="AK424" s="1611">
        <f t="shared" si="2675"/>
        <v>-1219.7050521952713</v>
      </c>
      <c r="AL424" s="1636">
        <f t="shared" ref="AL424:AP424" si="2676">+AL426*AL413</f>
        <v>-1245.3373717232625</v>
      </c>
      <c r="AM424" s="1869">
        <f t="shared" si="2676"/>
        <v>-1163.718844876593</v>
      </c>
      <c r="AN424" s="1636">
        <f t="shared" si="2676"/>
        <v>-1126.5460919093002</v>
      </c>
      <c r="AO424" s="1636">
        <f t="shared" si="2676"/>
        <v>-1283.1590816381758</v>
      </c>
      <c r="AP424" s="1636">
        <f t="shared" si="2676"/>
        <v>-1372.1959142642759</v>
      </c>
      <c r="AQ424" s="1636">
        <f t="shared" ref="AQ424:AT424" si="2677">+AQ426*AQ413</f>
        <v>-1282.3593485721183</v>
      </c>
      <c r="AR424" s="1636">
        <f t="shared" si="2677"/>
        <v>-1243.1166598703305</v>
      </c>
      <c r="AS424" s="1636">
        <f t="shared" si="2677"/>
        <v>-1409.038502741123</v>
      </c>
      <c r="AT424" s="1636">
        <f t="shared" si="2677"/>
        <v>-1512.3712433000962</v>
      </c>
      <c r="AU424" s="1636">
        <f t="shared" ref="AU424:AX424" si="2678">+AU426*AU413</f>
        <v>-1413.4639588496163</v>
      </c>
      <c r="AV424" s="1636">
        <f t="shared" si="2678"/>
        <v>-1372.1285961756269</v>
      </c>
      <c r="AW424" s="1636">
        <f t="shared" si="2678"/>
        <v>-1547.5789860234022</v>
      </c>
      <c r="AX424" s="1636">
        <f t="shared" si="2678"/>
        <v>-1667.3013650927564</v>
      </c>
      <c r="AY424" s="1636"/>
      <c r="AZ424" s="1636"/>
      <c r="BA424" s="72"/>
      <c r="BB424" s="1636">
        <v>-1512.3712433000962</v>
      </c>
      <c r="BC424" s="2189"/>
      <c r="BD424" s="72"/>
      <c r="BI424" s="1627"/>
      <c r="BJ424" s="2061"/>
      <c r="BK424" s="1648">
        <f>+SUM(W424:Z424)</f>
        <v>-4247.3309999999983</v>
      </c>
      <c r="BL424" s="1648">
        <f>+SUM(AA424:AD424)</f>
        <v>-4624.1749999999993</v>
      </c>
      <c r="BM424" s="1648">
        <f>+SUM(AE424:AH424)</f>
        <v>-4216.9799999999996</v>
      </c>
      <c r="BN424" s="1648">
        <f>+SUM(AI424:AL424)</f>
        <v>-5042.6453497068533</v>
      </c>
      <c r="BO424" s="1876">
        <f>+SUM(AM424:AP424)</f>
        <v>-4945.6199326883452</v>
      </c>
      <c r="BP424" s="1648">
        <f>+SUM(AQ424:AT424)</f>
        <v>-5446.8857544836683</v>
      </c>
      <c r="BQ424" s="1648">
        <f>+SUM(AU424:AX424)</f>
        <v>-6000.4729061414018</v>
      </c>
      <c r="BR424" s="1636">
        <f t="shared" ref="BR424:BU424" si="2679">+BR426*BR413</f>
        <v>-6078.8640777815126</v>
      </c>
      <c r="BS424" s="1636">
        <f t="shared" si="2679"/>
        <v>-6324.6287573330119</v>
      </c>
      <c r="BT424" s="1636">
        <f t="shared" si="2679"/>
        <v>-6579.7727446452081</v>
      </c>
      <c r="BU424" s="1636">
        <f t="shared" si="2679"/>
        <v>-6844.6195587952898</v>
      </c>
    </row>
    <row r="425" spans="2:73" s="1597" customFormat="1" ht="15" hidden="1" customHeight="1">
      <c r="B425" s="1597" t="s">
        <v>316</v>
      </c>
      <c r="S425" s="1882"/>
      <c r="T425" s="1620"/>
      <c r="U425" s="1620"/>
      <c r="V425" s="1620"/>
      <c r="W425" s="1866" t="e">
        <f t="shared" ref="W425:AP425" si="2680">+W424/S424-1</f>
        <v>#DIV/0!</v>
      </c>
      <c r="X425" s="1605" t="e">
        <f t="shared" si="2680"/>
        <v>#DIV/0!</v>
      </c>
      <c r="Y425" s="1605" t="e">
        <f t="shared" si="2680"/>
        <v>#DIV/0!</v>
      </c>
      <c r="Z425" s="1605" t="e">
        <f t="shared" si="2680"/>
        <v>#DIV/0!</v>
      </c>
      <c r="AA425" s="1605">
        <f t="shared" si="2680"/>
        <v>0.16869220235785209</v>
      </c>
      <c r="AB425" s="1605">
        <f t="shared" si="2680"/>
        <v>0.13779234769219717</v>
      </c>
      <c r="AC425" s="1605">
        <f t="shared" si="2680"/>
        <v>0.13561331403088195</v>
      </c>
      <c r="AD425" s="1605">
        <f t="shared" si="2680"/>
        <v>-6.1041087704071906E-2</v>
      </c>
      <c r="AE425" s="1605">
        <f t="shared" si="2680"/>
        <v>-7.2203616417803484E-2</v>
      </c>
      <c r="AF425" s="1605">
        <f t="shared" si="2680"/>
        <v>-0.10636910813397282</v>
      </c>
      <c r="AG425" s="1605">
        <f t="shared" si="2680"/>
        <v>-9.0075000512999659E-2</v>
      </c>
      <c r="AH425" s="1605">
        <f t="shared" si="2680"/>
        <v>-8.3215264847353865E-2</v>
      </c>
      <c r="AI425" s="1605">
        <f t="shared" si="2680"/>
        <v>0.25720683548294376</v>
      </c>
      <c r="AJ425" s="1605">
        <f t="shared" si="2680"/>
        <v>0.16504878770553377</v>
      </c>
      <c r="AK425" s="1605">
        <f t="shared" si="2680"/>
        <v>0.14607974339954177</v>
      </c>
      <c r="AL425" s="1638">
        <f t="shared" si="2680"/>
        <v>0.21424303605594197</v>
      </c>
      <c r="AM425" s="1875">
        <f t="shared" si="2680"/>
        <v>-0.14172747329117674</v>
      </c>
      <c r="AN425" s="1638">
        <f t="shared" si="2680"/>
        <v>-7.790000610624459E-2</v>
      </c>
      <c r="AO425" s="1638">
        <f t="shared" si="2680"/>
        <v>5.202407690998534E-2</v>
      </c>
      <c r="AP425" s="1638">
        <f t="shared" si="2680"/>
        <v>0.10186680767916734</v>
      </c>
      <c r="AQ425" s="1638">
        <f t="shared" ref="AQ425" si="2681">+AQ424/AM424-1</f>
        <v>0.10194945644977205</v>
      </c>
      <c r="AR425" s="1638">
        <f t="shared" ref="AR425" si="2682">+AR424/AN424-1</f>
        <v>0.1034760750565149</v>
      </c>
      <c r="AS425" s="1638">
        <f t="shared" ref="AS425" si="2683">+AS424/AO424-1</f>
        <v>9.8101180831171808E-2</v>
      </c>
      <c r="AT425" s="1638">
        <f t="shared" ref="AT425" si="2684">+AT424/AP424-1</f>
        <v>0.10215402012108266</v>
      </c>
      <c r="AU425" s="1638">
        <f t="shared" ref="AU425" si="2685">+AU424/AQ424-1</f>
        <v>0.10223702928783607</v>
      </c>
      <c r="AV425" s="1638">
        <f t="shared" ref="AV425" si="2686">+AV424/AR424-1</f>
        <v>0.10378103718660925</v>
      </c>
      <c r="AW425" s="1638">
        <f t="shared" ref="AW425" si="2687">+AW424/AS424-1</f>
        <v>9.8322709431122313E-2</v>
      </c>
      <c r="AX425" s="1638">
        <f t="shared" ref="AX425" si="2688">+AX424/AT424-1</f>
        <v>0.10244185908652437</v>
      </c>
      <c r="AY425" s="1638"/>
      <c r="AZ425" s="1638"/>
      <c r="BA425" s="72"/>
      <c r="BB425" s="1638">
        <v>0.10215402012108266</v>
      </c>
      <c r="BC425" s="2189"/>
      <c r="BD425" s="72"/>
      <c r="BI425" s="1605"/>
      <c r="BJ425" s="2059"/>
      <c r="BK425" s="1628" t="e">
        <f t="shared" ref="BK425:BQ425" si="2689">+BK424/BJ424-1</f>
        <v>#DIV/0!</v>
      </c>
      <c r="BL425" s="1628">
        <f t="shared" si="2689"/>
        <v>8.8724895705091233E-2</v>
      </c>
      <c r="BM425" s="1628">
        <f t="shared" si="2689"/>
        <v>-8.8057869782177334E-2</v>
      </c>
      <c r="BN425" s="1628">
        <f t="shared" si="2689"/>
        <v>0.19579541513283294</v>
      </c>
      <c r="BO425" s="1866">
        <f t="shared" si="2689"/>
        <v>-1.9240975775571489E-2</v>
      </c>
      <c r="BP425" s="1628">
        <f t="shared" si="2689"/>
        <v>0.10135550823106709</v>
      </c>
      <c r="BQ425" s="1628">
        <f t="shared" si="2689"/>
        <v>0.10163369980764547</v>
      </c>
      <c r="BR425" s="1638">
        <f t="shared" ref="BR425:BU425" si="2690">+BR424/BN424-1</f>
        <v>0.20549109767057061</v>
      </c>
      <c r="BS425" s="1638">
        <f t="shared" si="2690"/>
        <v>0.27883437130500721</v>
      </c>
      <c r="BT425" s="1638">
        <f t="shared" si="2690"/>
        <v>0.20798802127050142</v>
      </c>
      <c r="BU425" s="1638">
        <f t="shared" si="2690"/>
        <v>0.14068002070135432</v>
      </c>
    </row>
    <row r="426" spans="2:73" s="1597" customFormat="1" ht="15" hidden="1" customHeight="1">
      <c r="B426" s="1597" t="s">
        <v>318</v>
      </c>
      <c r="S426" s="1882"/>
      <c r="T426" s="1620"/>
      <c r="U426" s="1620"/>
      <c r="V426" s="1620"/>
      <c r="W426" s="1874">
        <f t="shared" ref="W426:AJ426" si="2691">+W424/W$413</f>
        <v>-0.46812804601109331</v>
      </c>
      <c r="X426" s="1639">
        <f t="shared" si="2691"/>
        <v>-0.63887479627657706</v>
      </c>
      <c r="Y426" s="1639">
        <f t="shared" si="2691"/>
        <v>-0.35507097482388156</v>
      </c>
      <c r="Z426" s="1639">
        <f t="shared" si="2691"/>
        <v>-0.41959470619703404</v>
      </c>
      <c r="AA426" s="1639">
        <f t="shared" si="2691"/>
        <v>-0.45593183110745023</v>
      </c>
      <c r="AB426" s="1639">
        <f t="shared" si="2691"/>
        <v>-0.45646054139925479</v>
      </c>
      <c r="AC426" s="1639">
        <f t="shared" si="2691"/>
        <v>-0.46931005813449583</v>
      </c>
      <c r="AD426" s="1639">
        <f t="shared" si="2691"/>
        <v>-0.44973374596076182</v>
      </c>
      <c r="AE426" s="1639">
        <f t="shared" si="2691"/>
        <v>-0.50590533267160831</v>
      </c>
      <c r="AF426" s="1639">
        <f t="shared" si="2691"/>
        <v>-0.46857757457357813</v>
      </c>
      <c r="AG426" s="1639">
        <f t="shared" si="2691"/>
        <v>-0.4476261418401174</v>
      </c>
      <c r="AH426" s="1639">
        <f t="shared" si="2691"/>
        <v>-0.46644496756377157</v>
      </c>
      <c r="AI426" s="1639">
        <f t="shared" si="2691"/>
        <v>-0.54090826040159867</v>
      </c>
      <c r="AJ426" s="1639">
        <f t="shared" si="2691"/>
        <v>-0.51382539993350729</v>
      </c>
      <c r="AK426" s="1639">
        <f t="shared" ref="AK426" si="2692">+AK424/AK$413</f>
        <v>-0.59171864052151502</v>
      </c>
      <c r="AL426" s="1640">
        <f t="shared" ref="AL426:AP426" si="2693">+AK426+0.2%</f>
        <v>-0.58971864052151501</v>
      </c>
      <c r="AM426" s="2414">
        <f t="shared" si="2693"/>
        <v>-0.58771864052151501</v>
      </c>
      <c r="AN426" s="1640">
        <f t="shared" si="2693"/>
        <v>-0.58571864052151501</v>
      </c>
      <c r="AO426" s="1640">
        <f t="shared" si="2693"/>
        <v>-0.58371864052151501</v>
      </c>
      <c r="AP426" s="1640">
        <f t="shared" si="2693"/>
        <v>-0.58171864052151501</v>
      </c>
      <c r="AQ426" s="1640">
        <f t="shared" ref="AQ426" si="2694">+AP426+0.2%</f>
        <v>-0.57971864052151501</v>
      </c>
      <c r="AR426" s="1640">
        <f t="shared" ref="AR426" si="2695">+AQ426+0.2%</f>
        <v>-0.577718640521515</v>
      </c>
      <c r="AS426" s="1640">
        <f t="shared" ref="AS426" si="2696">+AR426+0.2%</f>
        <v>-0.575718640521515</v>
      </c>
      <c r="AT426" s="1640">
        <f t="shared" ref="AT426" si="2697">+AS426+0.2%</f>
        <v>-0.573718640521515</v>
      </c>
      <c r="AU426" s="1640">
        <f t="shared" ref="AU426" si="2698">+AT426+0.2%</f>
        <v>-0.571718640521515</v>
      </c>
      <c r="AV426" s="1640">
        <f t="shared" ref="AV426" si="2699">+AU426+0.2%</f>
        <v>-0.569718640521515</v>
      </c>
      <c r="AW426" s="1640">
        <f t="shared" ref="AW426" si="2700">+AV426+0.2%</f>
        <v>-0.56771864052151499</v>
      </c>
      <c r="AX426" s="1640">
        <f t="shared" ref="AX426" si="2701">+AW426+0.2%</f>
        <v>-0.56571864052151499</v>
      </c>
      <c r="AY426" s="1640"/>
      <c r="AZ426" s="1640"/>
      <c r="BA426" s="72"/>
      <c r="BB426" s="1640">
        <v>-0.573718640521515</v>
      </c>
      <c r="BC426" s="2189"/>
      <c r="BD426" s="72"/>
      <c r="BI426" s="1639"/>
      <c r="BJ426" s="2066"/>
      <c r="BK426" s="1644">
        <f t="shared" ref="BK426:BP426" si="2702">+BK424/BK$413</f>
        <v>-0.44807309299202658</v>
      </c>
      <c r="BL426" s="1644">
        <f t="shared" si="2702"/>
        <v>-0.45784096747323438</v>
      </c>
      <c r="BM426" s="1644">
        <f t="shared" si="2702"/>
        <v>-0.47138035846986315</v>
      </c>
      <c r="BN426" s="1644">
        <f t="shared" si="2702"/>
        <v>-0.55674231903867111</v>
      </c>
      <c r="BO426" s="1874">
        <f t="shared" si="2702"/>
        <v>-0.58455183014522039</v>
      </c>
      <c r="BP426" s="1644">
        <f t="shared" si="2702"/>
        <v>-0.57655268703937845</v>
      </c>
      <c r="BQ426" s="1644">
        <f t="shared" ref="BQ426" si="2703">+BQ424/BQ$413</f>
        <v>-0.56855355600245305</v>
      </c>
      <c r="BR426" s="1640">
        <f>+BQ426+2%</f>
        <v>-0.54855355600245304</v>
      </c>
      <c r="BS426" s="1640">
        <f>+BR426+0.5%</f>
        <v>-0.54355355600245303</v>
      </c>
      <c r="BT426" s="1640">
        <f>+BS426+0.5%</f>
        <v>-0.53855355600245303</v>
      </c>
      <c r="BU426" s="1640">
        <f>+BT426+0.5%</f>
        <v>-0.53355355600245302</v>
      </c>
    </row>
    <row r="427" spans="2:73" s="1597" customFormat="1" ht="15" hidden="1" customHeight="1">
      <c r="B427" s="1602" t="s">
        <v>319</v>
      </c>
      <c r="S427" s="1882"/>
      <c r="T427" s="1620"/>
      <c r="U427" s="1620"/>
      <c r="V427" s="1620"/>
      <c r="W427" s="1868">
        <f t="shared" ref="W427:AK427" si="2704">+W214-W382</f>
        <v>-294.56900000000002</v>
      </c>
      <c r="X427" s="1611">
        <f t="shared" si="2704"/>
        <v>-224.19299999999998</v>
      </c>
      <c r="Y427" s="1611">
        <f t="shared" si="2704"/>
        <v>-344.8950000000001</v>
      </c>
      <c r="Z427" s="1611">
        <f t="shared" si="2704"/>
        <v>-199.29999999999973</v>
      </c>
      <c r="AA427" s="1611">
        <f t="shared" si="2704"/>
        <v>-287.59500000000003</v>
      </c>
      <c r="AB427" s="1611">
        <f t="shared" si="2704"/>
        <v>-279.82500000000005</v>
      </c>
      <c r="AC427" s="1611">
        <f t="shared" si="2704"/>
        <v>-304.45399999999989</v>
      </c>
      <c r="AD427" s="1611">
        <f t="shared" si="2704"/>
        <v>-309.48600000000044</v>
      </c>
      <c r="AE427" s="1611">
        <f t="shared" si="2704"/>
        <v>-351.81599999999997</v>
      </c>
      <c r="AF427" s="1611">
        <f t="shared" si="2704"/>
        <v>-317.17900000000003</v>
      </c>
      <c r="AG427" s="1611">
        <f t="shared" si="2704"/>
        <v>-351.06799999999993</v>
      </c>
      <c r="AH427" s="1611">
        <f t="shared" si="2704"/>
        <v>-272.45600000000036</v>
      </c>
      <c r="AI427" s="1611">
        <f t="shared" si="2704"/>
        <v>-474.97900000000004</v>
      </c>
      <c r="AJ427" s="1611">
        <f t="shared" si="2704"/>
        <v>-491.71360527882791</v>
      </c>
      <c r="AK427" s="1611">
        <f t="shared" si="2704"/>
        <v>-385.10800000000006</v>
      </c>
      <c r="AL427" s="1636">
        <f t="shared" ref="AL427:AP427" si="2705">+AH427*(1+AL428)</f>
        <v>-422.30680000000058</v>
      </c>
      <c r="AM427" s="1869">
        <f t="shared" si="2705"/>
        <v>-522.47690000000011</v>
      </c>
      <c r="AN427" s="1636">
        <f t="shared" si="2705"/>
        <v>-540.88496580671074</v>
      </c>
      <c r="AO427" s="1636">
        <f t="shared" si="2705"/>
        <v>-423.61880000000008</v>
      </c>
      <c r="AP427" s="1636">
        <f t="shared" si="2705"/>
        <v>-464.5374800000007</v>
      </c>
      <c r="AQ427" s="1636">
        <f t="shared" ref="AQ427" si="2706">+AM427*(1+AQ428)</f>
        <v>-574.72459000000015</v>
      </c>
      <c r="AR427" s="1636">
        <f t="shared" ref="AR427" si="2707">+AN427*(1+AR428)</f>
        <v>-594.97346238738191</v>
      </c>
      <c r="AS427" s="1636">
        <f t="shared" ref="AS427" si="2708">+AO427*(1+AS428)</f>
        <v>-465.98068000000012</v>
      </c>
      <c r="AT427" s="1636">
        <f t="shared" ref="AT427" si="2709">+AP427*(1+AT428)</f>
        <v>-510.99122800000083</v>
      </c>
      <c r="AU427" s="1636">
        <f t="shared" ref="AU427" si="2710">+AQ427*(1+AU428)</f>
        <v>-632.19704900000022</v>
      </c>
      <c r="AV427" s="1636">
        <f t="shared" ref="AV427" si="2711">+AR427*(1+AV428)</f>
        <v>-654.47080862612017</v>
      </c>
      <c r="AW427" s="1636">
        <f t="shared" ref="AW427" si="2712">+AS427*(1+AW428)</f>
        <v>-512.57874800000013</v>
      </c>
      <c r="AX427" s="1636">
        <f t="shared" ref="AX427" si="2713">+AT427*(1+AX428)</f>
        <v>-562.09035080000092</v>
      </c>
      <c r="AY427" s="1636"/>
      <c r="AZ427" s="1636"/>
      <c r="BA427" s="72"/>
      <c r="BB427" s="1636">
        <v>-510.99122800000083</v>
      </c>
      <c r="BC427" s="2189"/>
      <c r="BD427" s="72"/>
      <c r="BI427" s="1627"/>
      <c r="BJ427" s="2061"/>
      <c r="BK427" s="1648">
        <f>+SUM(W427:Z427)</f>
        <v>-1062.9569999999999</v>
      </c>
      <c r="BL427" s="1648">
        <f>+SUM(AA427:AD427)</f>
        <v>-1181.3600000000006</v>
      </c>
      <c r="BM427" s="1648">
        <f>+SUM(AE427:AH427)</f>
        <v>-1292.5190000000002</v>
      </c>
      <c r="BN427" s="1648">
        <f>+SUM(AI427:AL427)</f>
        <v>-1774.1074052788285</v>
      </c>
      <c r="BO427" s="1876">
        <f>+SUM(AM427:AP427)</f>
        <v>-1951.5181458067116</v>
      </c>
      <c r="BP427" s="1648">
        <f>+SUM(AQ427:AT427)</f>
        <v>-2146.6699603873831</v>
      </c>
      <c r="BQ427" s="1648">
        <f>+SUM(AU427:AX427)</f>
        <v>-2361.3369564261216</v>
      </c>
      <c r="BR427" s="1636">
        <f t="shared" ref="BR427:BU427" si="2714">+BQ427*(1+BR428)</f>
        <v>-2503.0171738116892</v>
      </c>
      <c r="BS427" s="1636">
        <f t="shared" si="2714"/>
        <v>-2653.1982042403906</v>
      </c>
      <c r="BT427" s="1636">
        <f t="shared" si="2714"/>
        <v>-2812.3900964948143</v>
      </c>
      <c r="BU427" s="1636">
        <f t="shared" si="2714"/>
        <v>-2981.1335022845033</v>
      </c>
    </row>
    <row r="428" spans="2:73" s="1597" customFormat="1" ht="15" hidden="1" customHeight="1">
      <c r="B428" s="1597" t="s">
        <v>316</v>
      </c>
      <c r="S428" s="1882"/>
      <c r="T428" s="1620"/>
      <c r="U428" s="1620"/>
      <c r="V428" s="1620"/>
      <c r="W428" s="1866" t="e">
        <f t="shared" ref="W428:AK428" si="2715">+W427/S427-1</f>
        <v>#DIV/0!</v>
      </c>
      <c r="X428" s="1605" t="e">
        <f t="shared" si="2715"/>
        <v>#DIV/0!</v>
      </c>
      <c r="Y428" s="1605" t="e">
        <f t="shared" si="2715"/>
        <v>#DIV/0!</v>
      </c>
      <c r="Z428" s="1605" t="e">
        <f t="shared" si="2715"/>
        <v>#DIV/0!</v>
      </c>
      <c r="AA428" s="1605">
        <f t="shared" si="2715"/>
        <v>-2.3675267933828681E-2</v>
      </c>
      <c r="AB428" s="1605">
        <f t="shared" si="2715"/>
        <v>0.24814334078227263</v>
      </c>
      <c r="AC428" s="1605">
        <f t="shared" si="2715"/>
        <v>-0.11725597645660324</v>
      </c>
      <c r="AD428" s="1605">
        <f t="shared" si="2715"/>
        <v>0.55286502759659251</v>
      </c>
      <c r="AE428" s="1605">
        <f t="shared" si="2715"/>
        <v>0.22330360402649529</v>
      </c>
      <c r="AF428" s="1605">
        <f t="shared" si="2715"/>
        <v>0.13349057446618406</v>
      </c>
      <c r="AG428" s="1605">
        <f t="shared" si="2715"/>
        <v>0.15310687328791883</v>
      </c>
      <c r="AH428" s="1605">
        <f t="shared" si="2715"/>
        <v>-0.11965000032311646</v>
      </c>
      <c r="AI428" s="1605">
        <f t="shared" si="2715"/>
        <v>0.35007788161993791</v>
      </c>
      <c r="AJ428" s="1605">
        <f t="shared" si="2715"/>
        <v>0.55027162983308431</v>
      </c>
      <c r="AK428" s="1605">
        <f t="shared" si="2715"/>
        <v>9.6961272460036607E-2</v>
      </c>
      <c r="AL428" s="1640">
        <v>0.55000000000000004</v>
      </c>
      <c r="AM428" s="2414">
        <v>0.1</v>
      </c>
      <c r="AN428" s="1640">
        <v>0.1</v>
      </c>
      <c r="AO428" s="1640">
        <v>0.1</v>
      </c>
      <c r="AP428" s="1640">
        <v>0.1</v>
      </c>
      <c r="AQ428" s="1640">
        <v>0.1</v>
      </c>
      <c r="AR428" s="1640">
        <v>0.1</v>
      </c>
      <c r="AS428" s="1640">
        <v>0.1</v>
      </c>
      <c r="AT428" s="1640">
        <v>0.1</v>
      </c>
      <c r="AU428" s="1640">
        <v>0.1</v>
      </c>
      <c r="AV428" s="1640">
        <v>0.1</v>
      </c>
      <c r="AW428" s="1640">
        <v>0.1</v>
      </c>
      <c r="AX428" s="1640">
        <v>0.1</v>
      </c>
      <c r="AY428" s="1640"/>
      <c r="AZ428" s="1640"/>
      <c r="BA428" s="72"/>
      <c r="BB428" s="1640">
        <v>0.1</v>
      </c>
      <c r="BC428" s="2189"/>
      <c r="BD428" s="72"/>
      <c r="BI428" s="1605"/>
      <c r="BJ428" s="2059"/>
      <c r="BK428" s="1628" t="e">
        <f t="shared" ref="BK428:BQ428" si="2716">+BK427/BJ427-1</f>
        <v>#DIV/0!</v>
      </c>
      <c r="BL428" s="1628">
        <f t="shared" si="2716"/>
        <v>0.11139020675342537</v>
      </c>
      <c r="BM428" s="1628">
        <f t="shared" si="2716"/>
        <v>9.4094094941423068E-2</v>
      </c>
      <c r="BN428" s="1628">
        <f t="shared" si="2716"/>
        <v>0.37259677055333662</v>
      </c>
      <c r="BO428" s="1866">
        <f t="shared" si="2716"/>
        <v>0.10000000000000009</v>
      </c>
      <c r="BP428" s="1628">
        <f t="shared" si="2716"/>
        <v>0.10000000000000009</v>
      </c>
      <c r="BQ428" s="1628">
        <f t="shared" si="2716"/>
        <v>0.10000000000000009</v>
      </c>
      <c r="BR428" s="1640">
        <v>0.06</v>
      </c>
      <c r="BS428" s="1640">
        <v>0.06</v>
      </c>
      <c r="BT428" s="1640">
        <v>0.06</v>
      </c>
      <c r="BU428" s="1640">
        <v>0.06</v>
      </c>
    </row>
    <row r="429" spans="2:73" s="1597" customFormat="1" ht="15" hidden="1" customHeight="1">
      <c r="B429" s="1597" t="s">
        <v>318</v>
      </c>
      <c r="S429" s="1882"/>
      <c r="T429" s="1620"/>
      <c r="U429" s="1620"/>
      <c r="V429" s="1620"/>
      <c r="W429" s="1874">
        <f t="shared" ref="W429:AJ429" si="2717">+W427/W$413</f>
        <v>-0.1386399523698584</v>
      </c>
      <c r="X429" s="1639">
        <f t="shared" si="2717"/>
        <v>-0.13887758382626503</v>
      </c>
      <c r="Y429" s="1639">
        <f t="shared" si="2717"/>
        <v>-0.11890446341212839</v>
      </c>
      <c r="Z429" s="1639">
        <f t="shared" si="2717"/>
        <v>-7.0189130299270416E-2</v>
      </c>
      <c r="AA429" s="1639">
        <f t="shared" si="2717"/>
        <v>-0.11280225922221569</v>
      </c>
      <c r="AB429" s="1639">
        <f t="shared" si="2717"/>
        <v>-0.10884816026868084</v>
      </c>
      <c r="AC429" s="1639">
        <f t="shared" si="2717"/>
        <v>-0.1221651006840674</v>
      </c>
      <c r="AD429" s="1639">
        <f t="shared" si="2717"/>
        <v>-0.12441778285923817</v>
      </c>
      <c r="AE429" s="1639">
        <f t="shared" si="2717"/>
        <v>-0.16503221218480885</v>
      </c>
      <c r="AF429" s="1639">
        <f t="shared" si="2717"/>
        <v>-0.14172912038121049</v>
      </c>
      <c r="AG429" s="1639">
        <f t="shared" si="2717"/>
        <v>-0.14766130450107293</v>
      </c>
      <c r="AH429" s="1639">
        <f t="shared" si="2717"/>
        <v>-0.12391257681546469</v>
      </c>
      <c r="AI429" s="1639">
        <f t="shared" si="2717"/>
        <v>-0.18948514410683126</v>
      </c>
      <c r="AJ429" s="1639">
        <f t="shared" si="2717"/>
        <v>-0.20680300628487039</v>
      </c>
      <c r="AK429" s="1639">
        <f t="shared" ref="AK429" si="2718">+AK427/AK$413</f>
        <v>-0.18682843184409259</v>
      </c>
      <c r="AL429" s="1638">
        <f t="shared" ref="AL429:AP429" si="2719">+AL427/AL$368</f>
        <v>-0.11869860076789226</v>
      </c>
      <c r="AM429" s="1875">
        <f t="shared" si="2719"/>
        <v>-0.18045943060410741</v>
      </c>
      <c r="AN429" s="1638">
        <f t="shared" si="2719"/>
        <v>-0.1370362066915865</v>
      </c>
      <c r="AO429" s="1638">
        <f t="shared" si="2719"/>
        <v>-0.113828481145461</v>
      </c>
      <c r="AP429" s="1638">
        <f t="shared" si="2719"/>
        <v>-0.11687841270885226</v>
      </c>
      <c r="AQ429" s="1638">
        <f t="shared" ref="AQ429:AT429" si="2720">+AQ427/AQ$368</f>
        <v>-0.1750943915871713</v>
      </c>
      <c r="AR429" s="1638">
        <f t="shared" si="2720"/>
        <v>-0.13152027213511572</v>
      </c>
      <c r="AS429" s="1638">
        <f t="shared" si="2720"/>
        <v>-0.10923056781188745</v>
      </c>
      <c r="AT429" s="1638">
        <f t="shared" si="2720"/>
        <v>-0.11413069346758287</v>
      </c>
      <c r="AU429" s="1638">
        <f t="shared" ref="AU429:AX429" si="2721">+AU427/AU$368</f>
        <v>-0.16828406236826998</v>
      </c>
      <c r="AV429" s="1638">
        <f t="shared" si="2721"/>
        <v>-0.12496559089987959</v>
      </c>
      <c r="AW429" s="1638">
        <f t="shared" si="2721"/>
        <v>-0.10377084636213303</v>
      </c>
      <c r="AX429" s="1638">
        <f t="shared" si="2721"/>
        <v>-0.11044354993178726</v>
      </c>
      <c r="AY429" s="1638"/>
      <c r="AZ429" s="1638"/>
      <c r="BA429" s="72"/>
      <c r="BB429" s="1638">
        <v>-0.11413069346758287</v>
      </c>
      <c r="BC429" s="2189"/>
      <c r="BD429" s="72"/>
      <c r="BI429" s="1639"/>
      <c r="BJ429" s="2066"/>
      <c r="BK429" s="1644">
        <f>+BK427/BK$413</f>
        <v>-0.11213687624240393</v>
      </c>
      <c r="BL429" s="1644">
        <f>+BL427/BL$413</f>
        <v>-0.1169668114494327</v>
      </c>
      <c r="BM429" s="1644">
        <f>+BM427/BM$413</f>
        <v>-0.14447971523438793</v>
      </c>
      <c r="BN429" s="1644">
        <f>+BN427/BN$413</f>
        <v>-0.19587351529610034</v>
      </c>
      <c r="BO429" s="1874">
        <f>+BO427/BO$413</f>
        <v>-0.23066137697985678</v>
      </c>
      <c r="BP429" s="1644">
        <f t="shared" ref="BP429:BQ429" si="2722">+BP427/BP$413</f>
        <v>-0.22722494827971385</v>
      </c>
      <c r="BQ429" s="1644">
        <f t="shared" si="2722"/>
        <v>-0.22374011923660267</v>
      </c>
      <c r="BR429" s="1638">
        <f>+BR427/BR$413</f>
        <v>-0.22587097751504653</v>
      </c>
      <c r="BS429" s="1638">
        <f>+BS427/BS$413</f>
        <v>-0.22802212968185651</v>
      </c>
      <c r="BT429" s="1638">
        <f>+BT427/BT$413</f>
        <v>-0.23019376901215988</v>
      </c>
      <c r="BU429" s="1638">
        <f>+BU427/BU$413</f>
        <v>-0.23238609062179952</v>
      </c>
    </row>
    <row r="430" spans="2:73" s="1597" customFormat="1" ht="15" hidden="1" customHeight="1">
      <c r="B430" s="1602" t="s">
        <v>20</v>
      </c>
      <c r="S430" s="1882"/>
      <c r="T430" s="1620"/>
      <c r="U430" s="1620"/>
      <c r="V430" s="1620"/>
      <c r="W430" s="1868">
        <f t="shared" ref="W430:AK430" si="2723">+W217-W385</f>
        <v>66.07119274888835</v>
      </c>
      <c r="X430" s="1611">
        <f t="shared" si="2723"/>
        <v>169.09835251303892</v>
      </c>
      <c r="Y430" s="1611">
        <f t="shared" si="2723"/>
        <v>57.168188546740055</v>
      </c>
      <c r="Z430" s="1611">
        <f t="shared" si="2723"/>
        <v>111.22467473208749</v>
      </c>
      <c r="AA430" s="1611">
        <f t="shared" si="2723"/>
        <v>152.67584999319851</v>
      </c>
      <c r="AB430" s="1611">
        <f t="shared" si="2723"/>
        <v>170.34224430594253</v>
      </c>
      <c r="AC430" s="1611">
        <f t="shared" si="2723"/>
        <v>389.87131945493923</v>
      </c>
      <c r="AD430" s="1611">
        <f t="shared" si="2723"/>
        <v>109.73881754498312</v>
      </c>
      <c r="AE430" s="1611">
        <f t="shared" si="2723"/>
        <v>126.452478660387</v>
      </c>
      <c r="AF430" s="1611">
        <f t="shared" si="2723"/>
        <v>118.85923427727744</v>
      </c>
      <c r="AG430" s="1611">
        <f t="shared" si="2723"/>
        <v>181.83999999999997</v>
      </c>
      <c r="AH430" s="1611">
        <f t="shared" si="2723"/>
        <v>43.092000000000048</v>
      </c>
      <c r="AI430" s="1611">
        <f t="shared" si="2723"/>
        <v>158.63099999999997</v>
      </c>
      <c r="AJ430" s="1611">
        <f t="shared" si="2723"/>
        <v>99.807000000000002</v>
      </c>
      <c r="AK430" s="1611">
        <f t="shared" si="2723"/>
        <v>53.508231946704186</v>
      </c>
      <c r="AL430" s="1643">
        <v>0</v>
      </c>
      <c r="AM430" s="2416">
        <v>0</v>
      </c>
      <c r="AN430" s="1643">
        <v>0</v>
      </c>
      <c r="AO430" s="1643">
        <v>0</v>
      </c>
      <c r="AP430" s="1643">
        <v>0</v>
      </c>
      <c r="AQ430" s="1643">
        <v>0</v>
      </c>
      <c r="AR430" s="1643">
        <v>0</v>
      </c>
      <c r="AS430" s="1643">
        <v>0</v>
      </c>
      <c r="AT430" s="1643">
        <v>0</v>
      </c>
      <c r="AU430" s="1643">
        <v>0</v>
      </c>
      <c r="AV430" s="1643">
        <v>0</v>
      </c>
      <c r="AW430" s="1643">
        <v>0</v>
      </c>
      <c r="AX430" s="1643">
        <v>0</v>
      </c>
      <c r="AY430" s="1643"/>
      <c r="AZ430" s="1643"/>
      <c r="BA430" s="72"/>
      <c r="BB430" s="1643">
        <v>0</v>
      </c>
      <c r="BC430" s="2189"/>
      <c r="BD430" s="72"/>
      <c r="BI430" s="1627"/>
      <c r="BJ430" s="2061"/>
      <c r="BK430" s="1648">
        <f>+SUM(W430:Z430)</f>
        <v>403.56240854075486</v>
      </c>
      <c r="BL430" s="1648">
        <f>+SUM(AA430:AD430)</f>
        <v>822.62823129906337</v>
      </c>
      <c r="BM430" s="1648">
        <f>+SUM(AE430:AH430)</f>
        <v>470.24371293766444</v>
      </c>
      <c r="BN430" s="1648">
        <f>+SUM(AI430:AL430)</f>
        <v>311.94623194670419</v>
      </c>
      <c r="BO430" s="1876">
        <f>+SUM(AM430:AP430)</f>
        <v>0</v>
      </c>
      <c r="BP430" s="1648">
        <f>+SUM(AQ430:AT430)</f>
        <v>0</v>
      </c>
      <c r="BQ430" s="1648">
        <f>+SUM(AU430:AX430)</f>
        <v>0</v>
      </c>
      <c r="BR430" s="1643">
        <v>0</v>
      </c>
      <c r="BS430" s="1643">
        <v>0</v>
      </c>
      <c r="BT430" s="1643">
        <v>0</v>
      </c>
      <c r="BU430" s="1643">
        <v>0</v>
      </c>
    </row>
    <row r="431" spans="2:73" s="1597" customFormat="1" ht="15" hidden="1" customHeight="1">
      <c r="B431" s="1597" t="s">
        <v>318</v>
      </c>
      <c r="S431" s="1882"/>
      <c r="T431" s="1620"/>
      <c r="U431" s="1620"/>
      <c r="V431" s="1620"/>
      <c r="W431" s="1874">
        <f t="shared" ref="W431:AJ431" si="2724">+W430/W$413</f>
        <v>3.1096642945203382E-2</v>
      </c>
      <c r="X431" s="1639">
        <f t="shared" si="2724"/>
        <v>0.10474890217809155</v>
      </c>
      <c r="Y431" s="1639">
        <f t="shared" si="2724"/>
        <v>1.9709049952575445E-2</v>
      </c>
      <c r="Z431" s="1639">
        <f t="shared" si="2724"/>
        <v>3.9170914135797638E-2</v>
      </c>
      <c r="AA431" s="1639">
        <f t="shared" si="2724"/>
        <v>5.9883450017924146E-2</v>
      </c>
      <c r="AB431" s="1639">
        <f t="shared" si="2724"/>
        <v>6.6260841271294613E-2</v>
      </c>
      <c r="AC431" s="1639">
        <f t="shared" si="2724"/>
        <v>0.15643962304664374</v>
      </c>
      <c r="AD431" s="1639">
        <f t="shared" si="2724"/>
        <v>4.4116568673675853E-2</v>
      </c>
      <c r="AE431" s="1639">
        <f t="shared" si="2724"/>
        <v>5.9317177983877943E-2</v>
      </c>
      <c r="AF431" s="1639">
        <f t="shared" si="2724"/>
        <v>5.3111381028702255E-2</v>
      </c>
      <c r="AG431" s="1639">
        <f t="shared" si="2724"/>
        <v>7.6482993637913749E-2</v>
      </c>
      <c r="AH431" s="1639">
        <f t="shared" si="2724"/>
        <v>1.9598176439982982E-2</v>
      </c>
      <c r="AI431" s="1639">
        <f t="shared" si="2724"/>
        <v>6.328325651199472E-2</v>
      </c>
      <c r="AJ431" s="1639">
        <f t="shared" si="2724"/>
        <v>4.197644203188125E-2</v>
      </c>
      <c r="AK431" s="1639">
        <f t="shared" ref="AK431" si="2725">+AK430/AK$413</f>
        <v>2.5958585813207515E-2</v>
      </c>
      <c r="AL431" s="1644">
        <f>+AL430/AL413</f>
        <v>0</v>
      </c>
      <c r="AM431" s="1874">
        <f>+AM430/AM413</f>
        <v>0</v>
      </c>
      <c r="AN431" s="1644">
        <f>+AN430/AN413</f>
        <v>0</v>
      </c>
      <c r="AO431" s="1644">
        <f>+AO430/AO413</f>
        <v>0</v>
      </c>
      <c r="AP431" s="1644">
        <f>+AP430/AP413</f>
        <v>0</v>
      </c>
      <c r="AQ431" s="1644">
        <f t="shared" ref="AQ431:AT431" si="2726">+AQ430/AQ413</f>
        <v>0</v>
      </c>
      <c r="AR431" s="1644">
        <f t="shared" si="2726"/>
        <v>0</v>
      </c>
      <c r="AS431" s="1644">
        <f t="shared" si="2726"/>
        <v>0</v>
      </c>
      <c r="AT431" s="1644">
        <f t="shared" si="2726"/>
        <v>0</v>
      </c>
      <c r="AU431" s="1644">
        <f t="shared" ref="AU431:AX431" si="2727">+AU430/AU413</f>
        <v>0</v>
      </c>
      <c r="AV431" s="1644">
        <f t="shared" si="2727"/>
        <v>0</v>
      </c>
      <c r="AW431" s="1644">
        <f t="shared" si="2727"/>
        <v>0</v>
      </c>
      <c r="AX431" s="1644">
        <f t="shared" si="2727"/>
        <v>0</v>
      </c>
      <c r="AY431" s="1644"/>
      <c r="AZ431" s="1644"/>
      <c r="BA431" s="72"/>
      <c r="BB431" s="1644">
        <v>0</v>
      </c>
      <c r="BC431" s="2189"/>
      <c r="BD431" s="72"/>
      <c r="BI431" s="1639"/>
      <c r="BJ431" s="2066"/>
      <c r="BK431" s="1644">
        <f>+BK430/BK$413</f>
        <v>4.2573902672094058E-2</v>
      </c>
      <c r="BL431" s="1644">
        <f>+BL430/BL$413</f>
        <v>8.1448670365796894E-2</v>
      </c>
      <c r="BM431" s="1644">
        <f>+BM430/BM$413</f>
        <v>5.2564548556729151E-2</v>
      </c>
      <c r="BN431" s="1644">
        <f>+BN430/BN$413</f>
        <v>3.4440984155167595E-2</v>
      </c>
      <c r="BO431" s="1874">
        <f>+BO430/BO$413</f>
        <v>0</v>
      </c>
      <c r="BP431" s="1644">
        <f t="shared" ref="BP431:BQ431" si="2728">+BP430/BP$413</f>
        <v>0</v>
      </c>
      <c r="BQ431" s="1644">
        <f t="shared" si="2728"/>
        <v>0</v>
      </c>
      <c r="BR431" s="1644">
        <f>+BR430/BR$413</f>
        <v>0</v>
      </c>
      <c r="BS431" s="1644">
        <f>+BS430/BS$413</f>
        <v>0</v>
      </c>
      <c r="BT431" s="1644">
        <f>+BT430/BT$413</f>
        <v>0</v>
      </c>
      <c r="BU431" s="1644">
        <f>+BU430/BU$413</f>
        <v>0</v>
      </c>
    </row>
    <row r="432" spans="2:73" s="1597" customFormat="1" ht="15" hidden="1" customHeight="1">
      <c r="B432" s="1602" t="s">
        <v>322</v>
      </c>
      <c r="S432" s="1882"/>
      <c r="T432" s="1620"/>
      <c r="U432" s="1620"/>
      <c r="V432" s="1620"/>
      <c r="W432" s="1876">
        <f>+W430+W427+W424</f>
        <v>-1223.1318072511117</v>
      </c>
      <c r="X432" s="1627">
        <f t="shared" ref="X432:AI432" si="2729">+X430+X427+X424</f>
        <v>-1086.4436474869613</v>
      </c>
      <c r="Y432" s="1627">
        <f t="shared" si="2729"/>
        <v>-1317.6478114532599</v>
      </c>
      <c r="Z432" s="1627">
        <f t="shared" si="2729"/>
        <v>-1279.5023252679109</v>
      </c>
      <c r="AA432" s="1627">
        <f t="shared" si="2729"/>
        <v>-1297.3401500068014</v>
      </c>
      <c r="AB432" s="1627">
        <f t="shared" si="2729"/>
        <v>-1282.9437556940575</v>
      </c>
      <c r="AC432" s="1627">
        <f t="shared" si="2729"/>
        <v>-1084.1746805450605</v>
      </c>
      <c r="AD432" s="1627">
        <f t="shared" si="2729"/>
        <v>-1318.4481824550169</v>
      </c>
      <c r="AE432" s="1627">
        <f t="shared" si="2729"/>
        <v>-1303.8535213396133</v>
      </c>
      <c r="AF432" s="1627">
        <f t="shared" si="2729"/>
        <v>-1246.9607657227227</v>
      </c>
      <c r="AG432" s="1627">
        <f t="shared" si="2729"/>
        <v>-1233.4689999999996</v>
      </c>
      <c r="AH432" s="1627">
        <f t="shared" si="2729"/>
        <v>-1254.9720000000002</v>
      </c>
      <c r="AI432" s="1627">
        <f t="shared" si="2729"/>
        <v>-1672.2330000000002</v>
      </c>
      <c r="AJ432" s="1627">
        <f t="shared" ref="AJ432:AK432" si="2730">+AJ430+AJ427+AJ424</f>
        <v>-1613.6245310671466</v>
      </c>
      <c r="AK432" s="1627">
        <f t="shared" si="2730"/>
        <v>-1551.304820248567</v>
      </c>
      <c r="AL432" s="1629">
        <f t="shared" ref="AL432:AP432" si="2731">+AL427+AL424+AL430</f>
        <v>-1667.6441717232631</v>
      </c>
      <c r="AM432" s="1868">
        <f t="shared" si="2731"/>
        <v>-1686.1957448765932</v>
      </c>
      <c r="AN432" s="1629">
        <f t="shared" si="2731"/>
        <v>-1667.4310577160109</v>
      </c>
      <c r="AO432" s="1629">
        <f t="shared" si="2731"/>
        <v>-1706.777881638176</v>
      </c>
      <c r="AP432" s="1629">
        <f t="shared" si="2731"/>
        <v>-1836.7333942642765</v>
      </c>
      <c r="AQ432" s="1629">
        <f t="shared" ref="AQ432:AT432" si="2732">+AQ427+AQ424+AQ430</f>
        <v>-1857.0839385721183</v>
      </c>
      <c r="AR432" s="1629">
        <f t="shared" si="2732"/>
        <v>-1838.0901222577124</v>
      </c>
      <c r="AS432" s="1629">
        <f t="shared" si="2732"/>
        <v>-1875.0191827411231</v>
      </c>
      <c r="AT432" s="1629">
        <f t="shared" si="2732"/>
        <v>-2023.362471300097</v>
      </c>
      <c r="AU432" s="1629">
        <f t="shared" ref="AU432:AX432" si="2733">+AU427+AU424+AU430</f>
        <v>-2045.6610078496165</v>
      </c>
      <c r="AV432" s="1629">
        <f t="shared" si="2733"/>
        <v>-2026.5994048017469</v>
      </c>
      <c r="AW432" s="1629">
        <f t="shared" si="2733"/>
        <v>-2060.1577340234026</v>
      </c>
      <c r="AX432" s="1629">
        <f t="shared" si="2733"/>
        <v>-2229.3917158927575</v>
      </c>
      <c r="AY432" s="1629"/>
      <c r="AZ432" s="1629"/>
      <c r="BA432" s="72"/>
      <c r="BB432" s="1629">
        <v>-2023.362471300097</v>
      </c>
      <c r="BC432" s="2189"/>
      <c r="BD432" s="72"/>
      <c r="BI432" s="1627"/>
      <c r="BJ432" s="2061"/>
      <c r="BK432" s="1648">
        <f>+SUM(W432:Z432)</f>
        <v>-4906.7255914592442</v>
      </c>
      <c r="BL432" s="1648">
        <f>+SUM(AA432:AD432)</f>
        <v>-4982.9067687009356</v>
      </c>
      <c r="BM432" s="1648">
        <f>+SUM(AE432:AH432)</f>
        <v>-5039.2552870623358</v>
      </c>
      <c r="BN432" s="1648">
        <f>+SUM(AI432:AL432)</f>
        <v>-6504.8065230389766</v>
      </c>
      <c r="BO432" s="1876">
        <f>+SUM(AM432:AP432)</f>
        <v>-6897.1380784950561</v>
      </c>
      <c r="BP432" s="1648">
        <f>+SUM(AQ432:AT432)</f>
        <v>-7593.5557148710504</v>
      </c>
      <c r="BQ432" s="1648">
        <f>+SUM(AU432:AX432)</f>
        <v>-8361.8098625675229</v>
      </c>
      <c r="BR432" s="1629">
        <f t="shared" ref="BR432:BU432" si="2734">+BR427+BR424+BR430</f>
        <v>-8581.8812515932023</v>
      </c>
      <c r="BS432" s="1629">
        <f t="shared" si="2734"/>
        <v>-8977.8269615734025</v>
      </c>
      <c r="BT432" s="1629">
        <f t="shared" si="2734"/>
        <v>-9392.1628411400234</v>
      </c>
      <c r="BU432" s="1629">
        <f t="shared" si="2734"/>
        <v>-9825.753061079793</v>
      </c>
    </row>
    <row r="433" spans="2:73" s="1597" customFormat="1" ht="15" hidden="1" customHeight="1">
      <c r="B433" s="1597" t="s">
        <v>316</v>
      </c>
      <c r="S433" s="1882"/>
      <c r="T433" s="1620"/>
      <c r="U433" s="1620"/>
      <c r="V433" s="1620"/>
      <c r="W433" s="1866" t="e">
        <f t="shared" ref="W433:AP433" si="2735">+W432/S432-1</f>
        <v>#DIV/0!</v>
      </c>
      <c r="X433" s="1605" t="e">
        <f t="shared" si="2735"/>
        <v>#DIV/0!</v>
      </c>
      <c r="Y433" s="1605" t="e">
        <f t="shared" si="2735"/>
        <v>#DIV/0!</v>
      </c>
      <c r="Z433" s="1605" t="e">
        <f t="shared" si="2735"/>
        <v>#DIV/0!</v>
      </c>
      <c r="AA433" s="1605">
        <f t="shared" si="2735"/>
        <v>6.0670765256662706E-2</v>
      </c>
      <c r="AB433" s="1605">
        <f t="shared" si="2735"/>
        <v>0.18086543987957238</v>
      </c>
      <c r="AC433" s="1605">
        <f t="shared" si="2735"/>
        <v>-0.17718932849795221</v>
      </c>
      <c r="AD433" s="1605">
        <f t="shared" si="2735"/>
        <v>3.0438285588071379E-2</v>
      </c>
      <c r="AE433" s="1605">
        <f t="shared" si="2735"/>
        <v>5.0205578951501018E-3</v>
      </c>
      <c r="AF433" s="1605">
        <f t="shared" si="2735"/>
        <v>-2.8047207690619635E-2</v>
      </c>
      <c r="AG433" s="1605">
        <f t="shared" si="2735"/>
        <v>0.13770319685005239</v>
      </c>
      <c r="AH433" s="1605">
        <f t="shared" si="2735"/>
        <v>-4.8144616754540071E-2</v>
      </c>
      <c r="AI433" s="1605">
        <f t="shared" si="2735"/>
        <v>0.28253133701852051</v>
      </c>
      <c r="AJ433" s="1605">
        <f t="shared" si="2735"/>
        <v>0.29404595190443716</v>
      </c>
      <c r="AK433" s="1605">
        <f t="shared" si="2735"/>
        <v>0.25767637471924099</v>
      </c>
      <c r="AL433" s="1628">
        <f t="shared" si="2735"/>
        <v>0.3288297840296539</v>
      </c>
      <c r="AM433" s="1866">
        <f t="shared" si="2735"/>
        <v>8.3497603961846245E-3</v>
      </c>
      <c r="AN433" s="1628">
        <f t="shared" si="2735"/>
        <v>3.3345134269420207E-2</v>
      </c>
      <c r="AO433" s="1628">
        <f t="shared" si="2735"/>
        <v>0.10022083304343599</v>
      </c>
      <c r="AP433" s="1628">
        <f t="shared" si="2735"/>
        <v>0.10139406559750985</v>
      </c>
      <c r="AQ433" s="1628">
        <f t="shared" ref="AQ433" si="2736">+AQ432/AM432-1</f>
        <v>0.10134540679203985</v>
      </c>
      <c r="AR433" s="1628">
        <f t="shared" ref="AR433" si="2737">+AR432/AN432-1</f>
        <v>0.10234849815947689</v>
      </c>
      <c r="AS433" s="1628">
        <f t="shared" ref="AS433" si="2738">+AS432/AO432-1</f>
        <v>9.857246388819374E-2</v>
      </c>
      <c r="AT433" s="1628">
        <f t="shared" ref="AT433" si="2739">+AT432/AP432-1</f>
        <v>0.10160923605931216</v>
      </c>
      <c r="AU433" s="1628">
        <f t="shared" ref="AU433" si="2740">+AU432/AQ432-1</f>
        <v>0.10154472038700191</v>
      </c>
      <c r="AV433" s="1628">
        <f t="shared" ref="AV433" si="2741">+AV432/AR432-1</f>
        <v>0.1025571490001207</v>
      </c>
      <c r="AW433" s="1628">
        <f t="shared" ref="AW433" si="2742">+AW432/AS432-1</f>
        <v>9.8739550499756579E-2</v>
      </c>
      <c r="AX433" s="1628">
        <f t="shared" ref="AX433" si="2743">+AX432/AT432-1</f>
        <v>0.10182517839242022</v>
      </c>
      <c r="AY433" s="1628"/>
      <c r="AZ433" s="1628"/>
      <c r="BA433" s="72"/>
      <c r="BB433" s="1628">
        <v>0.10160923605931216</v>
      </c>
      <c r="BC433" s="2189"/>
      <c r="BD433" s="72"/>
      <c r="BI433" s="1605"/>
      <c r="BJ433" s="2059"/>
      <c r="BK433" s="1628" t="e">
        <f t="shared" ref="BK433:BQ433" si="2744">+BK432/BJ432-1</f>
        <v>#DIV/0!</v>
      </c>
      <c r="BL433" s="1628">
        <f t="shared" si="2744"/>
        <v>1.5525868692207734E-2</v>
      </c>
      <c r="BM433" s="1628">
        <f t="shared" si="2744"/>
        <v>1.1308362965035013E-2</v>
      </c>
      <c r="BN433" s="1628">
        <f t="shared" si="2744"/>
        <v>0.29082694812847887</v>
      </c>
      <c r="BO433" s="1866">
        <f t="shared" si="2744"/>
        <v>6.0314100667945292E-2</v>
      </c>
      <c r="BP433" s="1628">
        <f t="shared" si="2744"/>
        <v>0.10097197249789613</v>
      </c>
      <c r="BQ433" s="1628">
        <f t="shared" si="2744"/>
        <v>0.10117185894770486</v>
      </c>
      <c r="BR433" s="1628">
        <f t="shared" ref="BR433:BU433" si="2745">+BR432/BN432-1</f>
        <v>0.31931383680630043</v>
      </c>
      <c r="BS433" s="1628">
        <f t="shared" si="2745"/>
        <v>0.30167423928568771</v>
      </c>
      <c r="BT433" s="1628">
        <f t="shared" si="2745"/>
        <v>0.2368596733604813</v>
      </c>
      <c r="BU433" s="1628">
        <f t="shared" si="2745"/>
        <v>0.17507492068980879</v>
      </c>
    </row>
    <row r="434" spans="2:73" s="1597" customFormat="1" ht="15" hidden="1" customHeight="1">
      <c r="B434" s="1597" t="s">
        <v>318</v>
      </c>
      <c r="S434" s="1882"/>
      <c r="T434" s="1620"/>
      <c r="U434" s="1620"/>
      <c r="V434" s="1620"/>
      <c r="W434" s="1874">
        <f t="shared" ref="W434:AP434" si="2746">+W432/W$413</f>
        <v>-0.57567135543574832</v>
      </c>
      <c r="X434" s="1639">
        <f t="shared" si="2746"/>
        <v>-0.67300347792475057</v>
      </c>
      <c r="Y434" s="1639">
        <f t="shared" si="2746"/>
        <v>-0.45426638828343452</v>
      </c>
      <c r="Z434" s="1639">
        <f t="shared" si="2746"/>
        <v>-0.45061292236050676</v>
      </c>
      <c r="AA434" s="1639">
        <f t="shared" si="2746"/>
        <v>-0.50885064031174176</v>
      </c>
      <c r="AB434" s="1639">
        <f t="shared" si="2746"/>
        <v>-0.49904786039664101</v>
      </c>
      <c r="AC434" s="1639">
        <f t="shared" si="2746"/>
        <v>-0.4350355357719195</v>
      </c>
      <c r="AD434" s="1639">
        <f t="shared" si="2746"/>
        <v>-0.53003496014632412</v>
      </c>
      <c r="AE434" s="1639">
        <f t="shared" si="2746"/>
        <v>-0.61162036687253929</v>
      </c>
      <c r="AF434" s="1639">
        <f t="shared" si="2746"/>
        <v>-0.55719531392608646</v>
      </c>
      <c r="AG434" s="1639">
        <f t="shared" si="2746"/>
        <v>-0.51880445270327658</v>
      </c>
      <c r="AH434" s="1639">
        <f t="shared" si="2746"/>
        <v>-0.5707593679392533</v>
      </c>
      <c r="AI434" s="1639">
        <f t="shared" si="2746"/>
        <v>-0.66711014799643509</v>
      </c>
      <c r="AJ434" s="1639">
        <f t="shared" si="2746"/>
        <v>-0.67865196418649643</v>
      </c>
      <c r="AK434" s="1639">
        <f t="shared" ref="AK434" si="2747">+AK432/AK$413</f>
        <v>-0.75258848655240007</v>
      </c>
      <c r="AL434" s="1644">
        <f t="shared" si="2746"/>
        <v>-0.7896983389018617</v>
      </c>
      <c r="AM434" s="1874">
        <f t="shared" si="2746"/>
        <v>-0.85158771398698674</v>
      </c>
      <c r="AN434" s="1644">
        <f t="shared" si="2746"/>
        <v>-0.86693785483160224</v>
      </c>
      <c r="AO434" s="1644">
        <f t="shared" si="2746"/>
        <v>-0.77642599347082131</v>
      </c>
      <c r="AP434" s="1644">
        <f t="shared" si="2746"/>
        <v>-0.77865124214770398</v>
      </c>
      <c r="AQ434" s="1644">
        <f t="shared" ref="AQ434:AT434" si="2748">+AQ432/AQ$413</f>
        <v>-0.83953548387363219</v>
      </c>
      <c r="AR434" s="1644">
        <f t="shared" si="2748"/>
        <v>-0.85422306760615507</v>
      </c>
      <c r="AS434" s="1644">
        <f t="shared" si="2748"/>
        <v>-0.76611355384502977</v>
      </c>
      <c r="AT434" s="1644">
        <f t="shared" si="2748"/>
        <v>-0.76756336875561826</v>
      </c>
      <c r="AU434" s="1644">
        <f t="shared" ref="AU434:AX434" si="2749">+AU432/AU$413</f>
        <v>-0.82743003318423269</v>
      </c>
      <c r="AV434" s="1644">
        <f t="shared" si="2749"/>
        <v>-0.84146009419482992</v>
      </c>
      <c r="AW434" s="1644">
        <f t="shared" si="2749"/>
        <v>-0.75575460676484307</v>
      </c>
      <c r="AX434" s="1644">
        <f t="shared" si="2749"/>
        <v>-0.75643700479703857</v>
      </c>
      <c r="AY434" s="1644"/>
      <c r="AZ434" s="1644"/>
      <c r="BA434" s="72"/>
      <c r="BB434" s="1644">
        <v>-0.76756336875561826</v>
      </c>
      <c r="BC434" s="2189"/>
      <c r="BD434" s="72"/>
      <c r="BI434" s="1639"/>
      <c r="BJ434" s="2066"/>
      <c r="BK434" s="1644">
        <f>+BK432/BK$413</f>
        <v>-0.51763606656233652</v>
      </c>
      <c r="BL434" s="1644">
        <f>+BL432/BL$413</f>
        <v>-0.4933591085568701</v>
      </c>
      <c r="BM434" s="1644">
        <f>+BM432/BM$413</f>
        <v>-0.56329552514752201</v>
      </c>
      <c r="BN434" s="1644">
        <f>+BN432/BN$413</f>
        <v>-0.7181748501796037</v>
      </c>
      <c r="BO434" s="1874">
        <f>+BO432/BO$413</f>
        <v>-0.81521320712507706</v>
      </c>
      <c r="BP434" s="1644">
        <f t="shared" ref="BP434:BQ434" si="2750">+BP432/BP$413</f>
        <v>-0.80377763531909219</v>
      </c>
      <c r="BQ434" s="1644">
        <f t="shared" si="2750"/>
        <v>-0.79229367523905569</v>
      </c>
      <c r="BR434" s="1644">
        <f>+BR432/BR$413</f>
        <v>-0.77442453351749962</v>
      </c>
      <c r="BS434" s="1644">
        <f>+BS432/BS$413</f>
        <v>-0.77157568568430956</v>
      </c>
      <c r="BT434" s="1644">
        <f>+BT432/BT$413</f>
        <v>-0.76874732501461296</v>
      </c>
      <c r="BU434" s="1644">
        <f>+BU432/BU$413</f>
        <v>-0.76593964662425251</v>
      </c>
    </row>
    <row r="435" spans="2:73" s="1597" customFormat="1" ht="15" hidden="1" customHeight="1">
      <c r="S435" s="1882"/>
      <c r="T435" s="1620"/>
      <c r="U435" s="1620"/>
      <c r="V435" s="1620"/>
      <c r="W435" s="1877"/>
      <c r="X435" s="1601"/>
      <c r="Y435" s="1601"/>
      <c r="Z435" s="1601"/>
      <c r="AA435" s="1601"/>
      <c r="AB435" s="1601"/>
      <c r="AC435" s="1601"/>
      <c r="AD435" s="1601"/>
      <c r="AE435" s="1601"/>
      <c r="AF435" s="1601"/>
      <c r="AG435" s="1601"/>
      <c r="AH435" s="1601"/>
      <c r="AI435" s="1601"/>
      <c r="AJ435" s="1601"/>
      <c r="AK435" s="1601"/>
      <c r="AL435" s="1645"/>
      <c r="AM435" s="1870"/>
      <c r="AN435" s="1645"/>
      <c r="AO435" s="1645"/>
      <c r="AP435" s="1645"/>
      <c r="AQ435" s="1645"/>
      <c r="AR435" s="1645"/>
      <c r="AS435" s="1645"/>
      <c r="AT435" s="1645"/>
      <c r="AU435" s="1645"/>
      <c r="AV435" s="1645"/>
      <c r="AW435" s="1645"/>
      <c r="AX435" s="1645"/>
      <c r="AY435" s="1645"/>
      <c r="AZ435" s="1645"/>
      <c r="BA435" s="72"/>
      <c r="BB435" s="1645"/>
      <c r="BC435" s="2189"/>
      <c r="BD435" s="72"/>
      <c r="BI435" s="1599"/>
      <c r="BJ435" s="2065"/>
      <c r="BK435" s="1663"/>
      <c r="BL435" s="1663"/>
      <c r="BM435" s="1663"/>
      <c r="BN435" s="1663"/>
      <c r="BO435" s="1975"/>
      <c r="BP435" s="1663"/>
      <c r="BQ435" s="1663"/>
      <c r="BR435" s="1645"/>
      <c r="BS435" s="1645"/>
      <c r="BT435" s="1645"/>
      <c r="BU435" s="1645"/>
    </row>
    <row r="436" spans="2:73" s="1597" customFormat="1" ht="15" hidden="1" customHeight="1">
      <c r="B436" s="1596" t="s">
        <v>323</v>
      </c>
      <c r="S436" s="1882"/>
      <c r="T436" s="1620"/>
      <c r="U436" s="1620"/>
      <c r="V436" s="1620"/>
      <c r="W436" s="1878">
        <f>+W419+W432</f>
        <v>-151.27680725111213</v>
      </c>
      <c r="X436" s="1612">
        <f t="shared" ref="X436:AI436" si="2751">+X419+X432</f>
        <v>-214.55264748696129</v>
      </c>
      <c r="Y436" s="1612">
        <f t="shared" si="2751"/>
        <v>217.25718854673983</v>
      </c>
      <c r="Z436" s="1612">
        <f t="shared" si="2751"/>
        <v>244.15567473208921</v>
      </c>
      <c r="AA436" s="1612">
        <f t="shared" si="2751"/>
        <v>42.005849993199035</v>
      </c>
      <c r="AB436" s="1612">
        <f t="shared" si="2751"/>
        <v>105.44324430594179</v>
      </c>
      <c r="AC436" s="1612">
        <f t="shared" si="2751"/>
        <v>223.15331945493904</v>
      </c>
      <c r="AD436" s="1612">
        <f t="shared" si="2751"/>
        <v>-2.2841824550187084</v>
      </c>
      <c r="AE436" s="1612">
        <f t="shared" si="2751"/>
        <v>-180.60052133961267</v>
      </c>
      <c r="AF436" s="1612">
        <f t="shared" si="2751"/>
        <v>-109.51976572272315</v>
      </c>
      <c r="AG436" s="1612">
        <f t="shared" si="2751"/>
        <v>-9.2119999999999891</v>
      </c>
      <c r="AH436" s="1612">
        <f t="shared" si="2751"/>
        <v>-127.55799999999954</v>
      </c>
      <c r="AI436" s="1612">
        <f t="shared" si="2751"/>
        <v>-26.129999999999654</v>
      </c>
      <c r="AJ436" s="1612">
        <f t="shared" ref="AJ436:AK436" si="2752">+AJ419+AJ432</f>
        <v>-70.731819202744646</v>
      </c>
      <c r="AK436" s="1612">
        <f t="shared" si="2752"/>
        <v>-216.42770392866873</v>
      </c>
      <c r="AL436" s="1612">
        <f t="shared" ref="AL436:AP436" si="2753">+AL419+AL432</f>
        <v>-293.75682400271262</v>
      </c>
      <c r="AM436" s="1878">
        <f t="shared" si="2753"/>
        <v>-392.04290869181068</v>
      </c>
      <c r="AN436" s="1612">
        <f t="shared" si="2753"/>
        <v>-404.56949707120407</v>
      </c>
      <c r="AO436" s="1612">
        <f t="shared" si="2753"/>
        <v>-256.82945203790291</v>
      </c>
      <c r="AP436" s="1612">
        <f t="shared" si="2753"/>
        <v>-273.76727100878293</v>
      </c>
      <c r="AQ436" s="1612">
        <f t="shared" ref="AQ436:AT436" si="2754">+AQ419+AQ432</f>
        <v>-384.76870707250964</v>
      </c>
      <c r="AR436" s="1612">
        <f t="shared" si="2754"/>
        <v>-399.43427433337411</v>
      </c>
      <c r="AS436" s="1612">
        <f t="shared" si="2754"/>
        <v>-231.33522681713634</v>
      </c>
      <c r="AT436" s="1612">
        <f t="shared" si="2754"/>
        <v>-245.07950599483615</v>
      </c>
      <c r="AU436" s="1612">
        <f t="shared" ref="AU436:AX436" si="2755">+AU419+AU432</f>
        <v>-370.44471974610633</v>
      </c>
      <c r="AV436" s="1612">
        <f t="shared" si="2755"/>
        <v>-387.43899778663808</v>
      </c>
      <c r="AW436" s="1612">
        <f t="shared" si="2755"/>
        <v>-196.71148633102985</v>
      </c>
      <c r="AX436" s="1612">
        <f t="shared" si="2755"/>
        <v>-205.84803869189273</v>
      </c>
      <c r="AY436" s="1609"/>
      <c r="AZ436" s="1609"/>
      <c r="BA436" s="72"/>
      <c r="BB436" s="1612">
        <v>-245.07950599483615</v>
      </c>
      <c r="BC436" s="2189"/>
      <c r="BD436" s="72"/>
      <c r="BI436" s="1609"/>
      <c r="BJ436" s="2062"/>
      <c r="BK436" s="1612">
        <f>+SUM(W436:Z436)</f>
        <v>95.583408540755613</v>
      </c>
      <c r="BL436" s="1612">
        <f>+SUM(AA436:AD436)</f>
        <v>368.31823129906115</v>
      </c>
      <c r="BM436" s="1612">
        <f>+SUM(AE436:AH436)</f>
        <v>-426.89028706233535</v>
      </c>
      <c r="BN436" s="1612">
        <f>+SUM(AI436:AL436)</f>
        <v>-607.04634713412565</v>
      </c>
      <c r="BO436" s="1878">
        <f>+SUM(AM436:AP436)</f>
        <v>-1327.2091288097006</v>
      </c>
      <c r="BP436" s="1612">
        <f>+SUM(AQ436:AT436)</f>
        <v>-1260.6177142178562</v>
      </c>
      <c r="BQ436" s="1612">
        <f>+SUM(AU436:AX436)</f>
        <v>-1160.443242555667</v>
      </c>
      <c r="BR436" s="1612">
        <f t="shared" ref="BR436:BU436" si="2756">+BR419+BR432</f>
        <v>-1020.446300580752</v>
      </c>
      <c r="BS436" s="1612">
        <f t="shared" si="2756"/>
        <v>-1038.3202630103306</v>
      </c>
      <c r="BT436" s="1612">
        <f t="shared" si="2756"/>
        <v>-1055.680807648796</v>
      </c>
      <c r="BU436" s="1612">
        <f t="shared" si="2756"/>
        <v>-1072.4469259140042</v>
      </c>
    </row>
    <row r="437" spans="2:73" s="1597" customFormat="1" ht="15" hidden="1" customHeight="1">
      <c r="B437" s="1597" t="s">
        <v>316</v>
      </c>
      <c r="S437" s="1882"/>
      <c r="T437" s="1620"/>
      <c r="U437" s="1620"/>
      <c r="V437" s="1620"/>
      <c r="W437" s="1866"/>
      <c r="X437" s="1605"/>
      <c r="Y437" s="1605"/>
      <c r="Z437" s="1605"/>
      <c r="AA437" s="1605"/>
      <c r="AB437" s="1605"/>
      <c r="AC437" s="1605"/>
      <c r="AD437" s="1605"/>
      <c r="AE437" s="1605"/>
      <c r="AF437" s="1605"/>
      <c r="AG437" s="1605"/>
      <c r="AH437" s="1605"/>
      <c r="AI437" s="1605"/>
      <c r="AJ437" s="1605"/>
      <c r="AK437" s="1605"/>
      <c r="AL437" s="1638">
        <f t="shared" ref="AL437:AP437" si="2757">+AL436/AH436-1</f>
        <v>1.3029274839893512</v>
      </c>
      <c r="AM437" s="1875">
        <f t="shared" si="2757"/>
        <v>14.003555633058395</v>
      </c>
      <c r="AN437" s="1638">
        <f t="shared" si="2757"/>
        <v>4.7197666005387475</v>
      </c>
      <c r="AO437" s="1638">
        <f t="shared" si="2757"/>
        <v>0.18667549198114664</v>
      </c>
      <c r="AP437" s="1638">
        <f t="shared" si="2757"/>
        <v>-6.8047961308790206E-2</v>
      </c>
      <c r="AQ437" s="1638">
        <f t="shared" ref="AQ437" si="2758">+AQ436/AM436-1</f>
        <v>-1.8554605779183664E-2</v>
      </c>
      <c r="AR437" s="1638">
        <f t="shared" ref="AR437" si="2759">+AR436/AN436-1</f>
        <v>-1.2693054654405067E-2</v>
      </c>
      <c r="AS437" s="1638">
        <f t="shared" ref="AS437" si="2760">+AS436/AO436-1</f>
        <v>-9.9265193374333593E-2</v>
      </c>
      <c r="AT437" s="1638">
        <f t="shared" ref="AT437" si="2761">+AT436/AP436-1</f>
        <v>-0.10478887745871723</v>
      </c>
      <c r="AU437" s="1638">
        <f t="shared" ref="AU437" si="2762">+AU436/AQ436-1</f>
        <v>-3.7227526727385274E-2</v>
      </c>
      <c r="AV437" s="1638">
        <f t="shared" ref="AV437" si="2763">+AV436/AR436-1</f>
        <v>-3.0030664160593745E-2</v>
      </c>
      <c r="AW437" s="1638">
        <f t="shared" ref="AW437" si="2764">+AW436/AS436-1</f>
        <v>-0.14966912286763634</v>
      </c>
      <c r="AX437" s="1638">
        <f t="shared" ref="AX437" si="2765">+AX436/AT436-1</f>
        <v>-0.16007649086647835</v>
      </c>
      <c r="AY437" s="1638"/>
      <c r="AZ437" s="1638"/>
      <c r="BA437" s="72"/>
      <c r="BB437" s="1638">
        <v>-0.10478887745871723</v>
      </c>
      <c r="BC437" s="2189"/>
      <c r="BD437" s="72"/>
      <c r="BI437" s="1605"/>
      <c r="BJ437" s="2059"/>
      <c r="BK437" s="1628" t="e">
        <f t="shared" ref="BK437:BQ437" si="2766">+BK436/BJ436-1</f>
        <v>#DIV/0!</v>
      </c>
      <c r="BL437" s="1628">
        <f t="shared" si="2766"/>
        <v>2.8533699197598157</v>
      </c>
      <c r="BM437" s="1628">
        <f t="shared" si="2766"/>
        <v>-2.1590256761298243</v>
      </c>
      <c r="BN437" s="1628">
        <f t="shared" si="2766"/>
        <v>0.42201958098307246</v>
      </c>
      <c r="BO437" s="1866">
        <f t="shared" si="2766"/>
        <v>1.1863390416159714</v>
      </c>
      <c r="BP437" s="1628">
        <f t="shared" si="2766"/>
        <v>-5.0174017904447643E-2</v>
      </c>
      <c r="BQ437" s="1628">
        <f t="shared" si="2766"/>
        <v>-7.9464591471604007E-2</v>
      </c>
      <c r="BR437" s="1638">
        <f t="shared" ref="BR437:BU437" si="2767">+BR436/BN436-1</f>
        <v>0.6810022915026066</v>
      </c>
      <c r="BS437" s="1638">
        <f t="shared" si="2767"/>
        <v>-0.21766642462628194</v>
      </c>
      <c r="BT437" s="1638">
        <f t="shared" si="2767"/>
        <v>-0.16256863937233523</v>
      </c>
      <c r="BU437" s="1638">
        <f t="shared" si="2767"/>
        <v>-7.5829918616154623E-2</v>
      </c>
    </row>
    <row r="438" spans="2:73" s="1597" customFormat="1" ht="15" hidden="1" customHeight="1">
      <c r="B438" s="1602" t="s">
        <v>324</v>
      </c>
      <c r="S438" s="1882"/>
      <c r="T438" s="1620"/>
      <c r="U438" s="1620"/>
      <c r="V438" s="1620"/>
      <c r="W438" s="1884">
        <f>+W436/W413</f>
        <v>-7.1198969857515337E-2</v>
      </c>
      <c r="X438" s="1646">
        <f t="shared" ref="X438:AI438" si="2768">+X436/X413</f>
        <v>-0.13290581457279024</v>
      </c>
      <c r="Y438" s="1646">
        <f t="shared" si="2768"/>
        <v>7.4900620265813359E-2</v>
      </c>
      <c r="Z438" s="1646">
        <f t="shared" si="2768"/>
        <v>8.5986324471033201E-2</v>
      </c>
      <c r="AA438" s="1646">
        <f t="shared" si="2768"/>
        <v>1.6475789842599294E-2</v>
      </c>
      <c r="AB438" s="1646">
        <f t="shared" si="2768"/>
        <v>4.1016003414501276E-2</v>
      </c>
      <c r="AC438" s="1646">
        <f t="shared" si="2768"/>
        <v>8.954241934478277E-2</v>
      </c>
      <c r="AD438" s="1646">
        <f t="shared" si="2768"/>
        <v>-9.1827390156387948E-4</v>
      </c>
      <c r="AE438" s="1646">
        <f t="shared" si="2768"/>
        <v>-8.471730551881114E-2</v>
      </c>
      <c r="AF438" s="1646">
        <f t="shared" si="2768"/>
        <v>-4.8938107693881995E-2</v>
      </c>
      <c r="AG438" s="1646">
        <f t="shared" si="2768"/>
        <v>-3.8746224009704178E-3</v>
      </c>
      <c r="AH438" s="1646">
        <f t="shared" si="2768"/>
        <v>-5.8013185517760552E-2</v>
      </c>
      <c r="AI438" s="1646">
        <f t="shared" si="2768"/>
        <v>-1.0424138362983278E-2</v>
      </c>
      <c r="AJ438" s="1646">
        <f t="shared" ref="AJ438:AK438" si="2769">+AJ436/AJ413</f>
        <v>-2.9748114947583996E-2</v>
      </c>
      <c r="AK438" s="1646">
        <f t="shared" si="2769"/>
        <v>-0.10499612714514041</v>
      </c>
      <c r="AL438" s="1633">
        <f t="shared" ref="AL438:AP438" si="2770">+AL436/AL413</f>
        <v>-0.13910597949460196</v>
      </c>
      <c r="AM438" s="1872">
        <f t="shared" si="2770"/>
        <v>-0.19799535457972706</v>
      </c>
      <c r="AN438" s="1633">
        <f t="shared" si="2770"/>
        <v>-0.21034549542434255</v>
      </c>
      <c r="AO438" s="1633">
        <f t="shared" si="2770"/>
        <v>-0.11683363406356154</v>
      </c>
      <c r="AP438" s="1633">
        <f t="shared" si="2770"/>
        <v>-0.11605888274044432</v>
      </c>
      <c r="AQ438" s="1633">
        <f t="shared" ref="AQ438:AT438" si="2771">+AQ436/AQ413</f>
        <v>-0.1739431244663725</v>
      </c>
      <c r="AR438" s="1633">
        <f t="shared" si="2771"/>
        <v>-0.18563070819889535</v>
      </c>
      <c r="AS438" s="1633">
        <f t="shared" si="2771"/>
        <v>-9.4521194437770031E-2</v>
      </c>
      <c r="AT438" s="1633">
        <f t="shared" si="2771"/>
        <v>-9.2971009348358544E-2</v>
      </c>
      <c r="AU438" s="1633">
        <f t="shared" ref="AU438:AX438" si="2772">+AU436/AU413</f>
        <v>-0.14983767377697296</v>
      </c>
      <c r="AV438" s="1633">
        <f t="shared" si="2772"/>
        <v>-0.16086773478757016</v>
      </c>
      <c r="AW438" s="1633">
        <f t="shared" si="2772"/>
        <v>-7.2162247357583392E-2</v>
      </c>
      <c r="AX438" s="1633">
        <f t="shared" si="2772"/>
        <v>-6.9844645389778845E-2</v>
      </c>
      <c r="AY438" s="1633"/>
      <c r="AZ438" s="1633"/>
      <c r="BA438" s="72"/>
      <c r="BB438" s="1633">
        <v>-9.2971009348358544E-2</v>
      </c>
      <c r="BC438" s="2189"/>
      <c r="BD438" s="72"/>
      <c r="BI438" s="1631"/>
      <c r="BJ438" s="2063"/>
      <c r="BK438" s="1649">
        <f t="shared" ref="BK438:BP438" si="2773">+BK436/BK$413</f>
        <v>1.0083592143766727E-2</v>
      </c>
      <c r="BL438" s="1649">
        <f t="shared" si="2773"/>
        <v>3.6467299649341277E-2</v>
      </c>
      <c r="BM438" s="1649">
        <f t="shared" si="2773"/>
        <v>-4.7718437493833608E-2</v>
      </c>
      <c r="BN438" s="1649">
        <f t="shared" si="2773"/>
        <v>-6.7022042525170758E-2</v>
      </c>
      <c r="BO438" s="1871">
        <f t="shared" si="2773"/>
        <v>-0.15687063215337527</v>
      </c>
      <c r="BP438" s="1649">
        <f t="shared" si="2773"/>
        <v>-0.13343634568862767</v>
      </c>
      <c r="BQ438" s="1649">
        <f t="shared" ref="BQ438" si="2774">+BQ436/BQ$413</f>
        <v>-0.1099536890532031</v>
      </c>
      <c r="BR438" s="1633">
        <f t="shared" ref="BR438:BU438" si="2775">+BR436/BR413</f>
        <v>-9.2084547331646865E-2</v>
      </c>
      <c r="BS438" s="1633">
        <f t="shared" si="2775"/>
        <v>-8.9235699498456889E-2</v>
      </c>
      <c r="BT438" s="1633">
        <f t="shared" si="2775"/>
        <v>-8.6407338828760311E-2</v>
      </c>
      <c r="BU438" s="1633">
        <f t="shared" si="2775"/>
        <v>-8.3599660438399823E-2</v>
      </c>
    </row>
    <row r="439" spans="2:73" s="1597" customFormat="1" ht="15" hidden="1" customHeight="1">
      <c r="S439" s="1882"/>
      <c r="T439" s="1620"/>
      <c r="U439" s="1620"/>
      <c r="V439" s="1620"/>
      <c r="W439" s="1877"/>
      <c r="X439" s="1601"/>
      <c r="Y439" s="1601"/>
      <c r="Z439" s="1601"/>
      <c r="AA439" s="1601"/>
      <c r="AB439" s="1601"/>
      <c r="AC439" s="1601"/>
      <c r="AD439" s="1601"/>
      <c r="AE439" s="1601"/>
      <c r="AF439" s="1601"/>
      <c r="AG439" s="1601"/>
      <c r="AH439" s="1601"/>
      <c r="AI439" s="1601"/>
      <c r="AJ439" s="1601"/>
      <c r="AK439" s="1601"/>
      <c r="AL439" s="1645"/>
      <c r="AM439" s="1870"/>
      <c r="AN439" s="1645"/>
      <c r="AO439" s="1645"/>
      <c r="AP439" s="1645"/>
      <c r="AQ439" s="1645"/>
      <c r="AR439" s="1645"/>
      <c r="AS439" s="1645"/>
      <c r="AT439" s="1645"/>
      <c r="AU439" s="1645"/>
      <c r="AV439" s="1645"/>
      <c r="AW439" s="1645"/>
      <c r="AX439" s="1645"/>
      <c r="AY439" s="1645"/>
      <c r="AZ439" s="1645"/>
      <c r="BA439" s="72"/>
      <c r="BB439" s="1645"/>
      <c r="BC439" s="2189"/>
      <c r="BD439" s="72"/>
      <c r="BI439" s="1599"/>
      <c r="BJ439" s="2065"/>
      <c r="BK439" s="1663"/>
      <c r="BL439" s="1663"/>
      <c r="BM439" s="1663"/>
      <c r="BN439" s="1663"/>
      <c r="BO439" s="1975"/>
      <c r="BP439" s="1663"/>
      <c r="BQ439" s="1663"/>
      <c r="BR439" s="1645"/>
      <c r="BS439" s="1645"/>
      <c r="BT439" s="1645"/>
      <c r="BU439" s="1645"/>
    </row>
    <row r="440" spans="2:73" s="1597" customFormat="1" ht="15" hidden="1" customHeight="1">
      <c r="B440" s="1602" t="s">
        <v>325</v>
      </c>
      <c r="S440" s="1882"/>
      <c r="T440" s="1620"/>
      <c r="U440" s="1620"/>
      <c r="V440" s="1620"/>
      <c r="W440" s="1868">
        <f t="shared" ref="W440:AK440" si="2776">+W228-W395</f>
        <v>124.52499999999998</v>
      </c>
      <c r="X440" s="1611">
        <f t="shared" si="2776"/>
        <v>134.90000000000003</v>
      </c>
      <c r="Y440" s="1611">
        <f t="shared" si="2776"/>
        <v>141.94399999999993</v>
      </c>
      <c r="Z440" s="1611">
        <f t="shared" si="2776"/>
        <v>73.934000000000339</v>
      </c>
      <c r="AA440" s="1611">
        <f t="shared" si="2776"/>
        <v>113.39699999999999</v>
      </c>
      <c r="AB440" s="1611">
        <f t="shared" si="2776"/>
        <v>112.56399999999996</v>
      </c>
      <c r="AC440" s="1611">
        <f t="shared" si="2776"/>
        <v>112.74400000000003</v>
      </c>
      <c r="AD440" s="1611">
        <f t="shared" si="2776"/>
        <v>96.063000000000045</v>
      </c>
      <c r="AE440" s="1611">
        <f t="shared" si="2776"/>
        <v>104.346</v>
      </c>
      <c r="AF440" s="1611">
        <f t="shared" si="2776"/>
        <v>99.314999999999969</v>
      </c>
      <c r="AG440" s="1611">
        <f t="shared" si="2776"/>
        <v>84.346000000000231</v>
      </c>
      <c r="AH440" s="1611">
        <f t="shared" si="2776"/>
        <v>119.93399999999988</v>
      </c>
      <c r="AI440" s="1611">
        <f t="shared" si="2776"/>
        <v>191.76300000000001</v>
      </c>
      <c r="AJ440" s="1611">
        <f t="shared" si="2776"/>
        <v>172.75499999999997</v>
      </c>
      <c r="AK440" s="1611">
        <f t="shared" si="2776"/>
        <v>184.32906790711132</v>
      </c>
      <c r="AL440" s="1614">
        <f>+AL442*AL228</f>
        <v>158.04841776588904</v>
      </c>
      <c r="AM440" s="2417">
        <f>+AM442*AM228</f>
        <v>170.22333154528704</v>
      </c>
      <c r="AN440" s="1614">
        <f>+AN442*AN228</f>
        <v>181.68181078365194</v>
      </c>
      <c r="AO440" s="1614">
        <f>+AO442*AO228</f>
        <v>171.20033079918937</v>
      </c>
      <c r="AP440" s="1614">
        <f>+AP442*AP228</f>
        <v>196.30169624560253</v>
      </c>
      <c r="AQ440" s="1614">
        <f t="shared" ref="AQ440:AT440" si="2777">+AQ442*AQ228</f>
        <v>164.13587465558805</v>
      </c>
      <c r="AR440" s="1614">
        <f t="shared" si="2777"/>
        <v>158.20429196101185</v>
      </c>
      <c r="AS440" s="1614">
        <f t="shared" si="2777"/>
        <v>179.76786271802499</v>
      </c>
      <c r="AT440" s="1614">
        <f t="shared" si="2777"/>
        <v>181.12063091573589</v>
      </c>
      <c r="AU440" s="1614">
        <f t="shared" ref="AU440:AX440" si="2778">+AU442*AU228</f>
        <v>133.95887291558142</v>
      </c>
      <c r="AV440" s="1614">
        <f t="shared" si="2778"/>
        <v>136.36805344091468</v>
      </c>
      <c r="AW440" s="1614">
        <f t="shared" si="2778"/>
        <v>233.84453998297028</v>
      </c>
      <c r="AX440" s="1614">
        <f t="shared" si="2778"/>
        <v>163.83132986672274</v>
      </c>
      <c r="AY440" s="1614"/>
      <c r="AZ440" s="1614"/>
      <c r="BA440" s="72"/>
      <c r="BB440" s="1614">
        <v>179.76786271802499</v>
      </c>
      <c r="BC440" s="2189"/>
      <c r="BD440" s="72"/>
      <c r="BI440" s="1647"/>
      <c r="BJ440" s="2067"/>
      <c r="BK440" s="1648">
        <f>+SUM(W440:Z440)</f>
        <v>475.30300000000022</v>
      </c>
      <c r="BL440" s="1648">
        <f>+SUM(AA440:AD440)</f>
        <v>434.76800000000003</v>
      </c>
      <c r="BM440" s="1648">
        <f>+SUM(AE440:AH440)</f>
        <v>407.94100000000003</v>
      </c>
      <c r="BN440" s="1648">
        <f>+SUM(AI440:AL440)</f>
        <v>706.89548567300039</v>
      </c>
      <c r="BO440" s="1876">
        <f>+SUM(AM440:AP440)</f>
        <v>719.40716937373088</v>
      </c>
      <c r="BP440" s="1648">
        <f>+SUM(AQ440:AT440)</f>
        <v>683.2286602503608</v>
      </c>
      <c r="BQ440" s="1648">
        <f>+SUM(AU440:AX440)</f>
        <v>668.00279620618903</v>
      </c>
      <c r="BR440" s="1614">
        <f t="shared" ref="BR440:BU440" si="2779">+BR442*BR228</f>
        <v>592.08111564818705</v>
      </c>
      <c r="BS440" s="1614">
        <f t="shared" si="2779"/>
        <v>558.5356631632236</v>
      </c>
      <c r="BT440" s="1614">
        <f t="shared" si="2779"/>
        <v>543.08487626589499</v>
      </c>
      <c r="BU440" s="1614">
        <f t="shared" si="2779"/>
        <v>535.49798974429632</v>
      </c>
    </row>
    <row r="441" spans="2:73" s="1597" customFormat="1" ht="15" hidden="1" customHeight="1">
      <c r="B441" s="1597" t="s">
        <v>318</v>
      </c>
      <c r="S441" s="1882"/>
      <c r="T441" s="1620"/>
      <c r="U441" s="1620"/>
      <c r="V441" s="1620"/>
      <c r="W441" s="1875">
        <f t="shared" ref="W441:AJ441" si="2780">+W440/W413</f>
        <v>5.8608136188317901E-2</v>
      </c>
      <c r="X441" s="1638">
        <f t="shared" si="2780"/>
        <v>8.3564545093571876E-2</v>
      </c>
      <c r="Y441" s="1638">
        <f t="shared" si="2780"/>
        <v>4.8935980963977846E-2</v>
      </c>
      <c r="Z441" s="1638">
        <f t="shared" si="2780"/>
        <v>2.6037948617894078E-2</v>
      </c>
      <c r="AA441" s="1638">
        <f t="shared" si="2780"/>
        <v>4.4477260693063472E-2</v>
      </c>
      <c r="AB441" s="1638">
        <f t="shared" si="2780"/>
        <v>4.3785881577713875E-2</v>
      </c>
      <c r="AC441" s="1638">
        <f t="shared" si="2780"/>
        <v>4.5239616203185055E-2</v>
      </c>
      <c r="AD441" s="1638">
        <f t="shared" si="2780"/>
        <v>3.8618695109979076E-2</v>
      </c>
      <c r="AE441" s="1638">
        <f t="shared" si="2780"/>
        <v>4.8947322499931972E-2</v>
      </c>
      <c r="AF441" s="1638">
        <f t="shared" si="2780"/>
        <v>4.4378182637122614E-2</v>
      </c>
      <c r="AG441" s="1638">
        <f t="shared" si="2780"/>
        <v>3.5476433025646126E-2</v>
      </c>
      <c r="AH441" s="1638">
        <f t="shared" si="2780"/>
        <v>5.4545801846117938E-2</v>
      </c>
      <c r="AI441" s="1638">
        <f t="shared" si="2780"/>
        <v>7.6500728851924577E-2</v>
      </c>
      <c r="AJ441" s="1638">
        <f t="shared" si="2780"/>
        <v>7.2656629727550617E-2</v>
      </c>
      <c r="AK441" s="1638">
        <f t="shared" ref="AK441" si="2781">+AK440/AK413</f>
        <v>8.9424033518828119E-2</v>
      </c>
      <c r="AL441" s="1638">
        <f>+AL440/AL$144</f>
        <v>2.686892961237106E-2</v>
      </c>
      <c r="AM441" s="1875">
        <f>+AM440/AM$144</f>
        <v>3.6182317634929011E-2</v>
      </c>
      <c r="AN441" s="1638">
        <f>+AN440/AN$144</f>
        <v>3.0676838511199973E-2</v>
      </c>
      <c r="AO441" s="1638">
        <f>+AO440/AO$144</f>
        <v>2.8649758475571614E-2</v>
      </c>
      <c r="AP441" s="1638">
        <f>+AP440/AP$144</f>
        <v>2.7684779319888657E-2</v>
      </c>
      <c r="AQ441" s="1638">
        <f t="shared" ref="AQ441:AT441" si="2782">+AQ440/AQ$144</f>
        <v>3.191413609537188E-2</v>
      </c>
      <c r="AR441" s="1638">
        <f t="shared" si="2782"/>
        <v>2.7816628329467217E-2</v>
      </c>
      <c r="AS441" s="1638">
        <f t="shared" si="2782"/>
        <v>3.4610678228345203E-2</v>
      </c>
      <c r="AT441" s="1638">
        <f t="shared" si="2782"/>
        <v>2.9246024691706101E-2</v>
      </c>
      <c r="AU441" s="1638">
        <f t="shared" ref="AU441:AX441" si="2783">+AU440/AU$144</f>
        <v>2.8677707786602127E-2</v>
      </c>
      <c r="AV441" s="1638">
        <f t="shared" si="2783"/>
        <v>2.4398502792988865E-2</v>
      </c>
      <c r="AW441" s="1638">
        <f t="shared" si="2783"/>
        <v>4.6110017874506026E-2</v>
      </c>
      <c r="AX441" s="1638">
        <f t="shared" si="2783"/>
        <v>2.5779498980882255E-2</v>
      </c>
      <c r="AY441" s="1638"/>
      <c r="AZ441" s="1638"/>
      <c r="BA441" s="72"/>
      <c r="BB441" s="1638">
        <v>2.832800886821776E-2</v>
      </c>
      <c r="BC441" s="2189"/>
      <c r="BD441" s="72"/>
      <c r="BI441" s="1598"/>
      <c r="BJ441" s="2068"/>
      <c r="BK441" s="1638">
        <f t="shared" ref="BK441:BP441" si="2784">+BK440/BK413</f>
        <v>5.0142191724259162E-2</v>
      </c>
      <c r="BL441" s="1638">
        <f t="shared" si="2784"/>
        <v>4.3046511376927388E-2</v>
      </c>
      <c r="BM441" s="1638">
        <f t="shared" si="2784"/>
        <v>4.5600257723431098E-2</v>
      </c>
      <c r="BN441" s="1638">
        <f t="shared" si="2784"/>
        <v>7.8046066046352613E-2</v>
      </c>
      <c r="BO441" s="1875">
        <f t="shared" si="2784"/>
        <v>8.5030953288077346E-2</v>
      </c>
      <c r="BP441" s="1638">
        <f t="shared" si="2784"/>
        <v>7.2319732354474739E-2</v>
      </c>
      <c r="BQ441" s="1638">
        <f t="shared" ref="BQ441" si="2785">+BQ440/BQ413</f>
        <v>6.329423882805893E-2</v>
      </c>
      <c r="BR441" s="1638">
        <f>+BR440/BR$144</f>
        <v>2.6131674107554691E-2</v>
      </c>
      <c r="BS441" s="1638">
        <f>+BS440/BS$144</f>
        <v>2.3731762817804876E-2</v>
      </c>
      <c r="BT441" s="1638">
        <f>+BT440/BT$144</f>
        <v>2.2221746668748394E-2</v>
      </c>
      <c r="BU441" s="1638">
        <f>+BU440/BU$144</f>
        <v>2.115704492953804E-2</v>
      </c>
    </row>
    <row r="442" spans="2:73" s="1597" customFormat="1" ht="15" hidden="1" customHeight="1">
      <c r="B442" s="1597" t="s">
        <v>357</v>
      </c>
      <c r="S442" s="1882"/>
      <c r="T442" s="1620"/>
      <c r="U442" s="1620"/>
      <c r="V442" s="1620"/>
      <c r="W442" s="1875">
        <f t="shared" ref="W442:AJ442" si="2786">+W440/W$228</f>
        <v>0.56117620549797198</v>
      </c>
      <c r="X442" s="1598">
        <f t="shared" si="2786"/>
        <v>0.56919831223628703</v>
      </c>
      <c r="Y442" s="1598">
        <f t="shared" si="2786"/>
        <v>0.58873496474491882</v>
      </c>
      <c r="Z442" s="1598">
        <f t="shared" si="2786"/>
        <v>0.42344788087056323</v>
      </c>
      <c r="AA442" s="1598">
        <f t="shared" si="2786"/>
        <v>0.5316315049226441</v>
      </c>
      <c r="AB442" s="1598">
        <f t="shared" si="2786"/>
        <v>0.52161260426320644</v>
      </c>
      <c r="AC442" s="1598">
        <f t="shared" si="2786"/>
        <v>0.53867176301958919</v>
      </c>
      <c r="AD442" s="1598">
        <f t="shared" si="2786"/>
        <v>0.41140471092077108</v>
      </c>
      <c r="AE442" s="1598">
        <f t="shared" si="2786"/>
        <v>0.47516393442622956</v>
      </c>
      <c r="AF442" s="1598">
        <f t="shared" si="2786"/>
        <v>0.43944690265486713</v>
      </c>
      <c r="AG442" s="1598">
        <f t="shared" si="2786"/>
        <v>0.39358842743817185</v>
      </c>
      <c r="AH442" s="1598">
        <f t="shared" si="2786"/>
        <v>0.47479809976246984</v>
      </c>
      <c r="AI442" s="1598">
        <f t="shared" si="2786"/>
        <v>0.84514323490524457</v>
      </c>
      <c r="AJ442" s="1598">
        <f t="shared" si="2786"/>
        <v>0.72282426778242659</v>
      </c>
      <c r="AK442" s="1598">
        <f t="shared" ref="AK442" si="2787">+AK440/AK$228</f>
        <v>0.75153788761716134</v>
      </c>
      <c r="AL442" s="1640">
        <f t="shared" ref="AL442:AP442" si="2788">+AK442</f>
        <v>0.75153788761716134</v>
      </c>
      <c r="AM442" s="2414">
        <f t="shared" si="2788"/>
        <v>0.75153788761716134</v>
      </c>
      <c r="AN442" s="1640">
        <f t="shared" si="2788"/>
        <v>0.75153788761716134</v>
      </c>
      <c r="AO442" s="1640">
        <f t="shared" si="2788"/>
        <v>0.75153788761716134</v>
      </c>
      <c r="AP442" s="1640">
        <f t="shared" si="2788"/>
        <v>0.75153788761716134</v>
      </c>
      <c r="AQ442" s="1640">
        <f t="shared" ref="AQ442" si="2789">+AP442</f>
        <v>0.75153788761716134</v>
      </c>
      <c r="AR442" s="1640">
        <f t="shared" ref="AR442" si="2790">+AQ442</f>
        <v>0.75153788761716134</v>
      </c>
      <c r="AS442" s="1640">
        <f t="shared" ref="AS442" si="2791">+AR442</f>
        <v>0.75153788761716134</v>
      </c>
      <c r="AT442" s="1640">
        <f t="shared" ref="AT442" si="2792">+AS442</f>
        <v>0.75153788761716134</v>
      </c>
      <c r="AU442" s="1640">
        <f t="shared" ref="AU442" si="2793">+AT442</f>
        <v>0.75153788761716134</v>
      </c>
      <c r="AV442" s="1640">
        <f t="shared" ref="AV442" si="2794">+AU442</f>
        <v>0.75153788761716134</v>
      </c>
      <c r="AW442" s="1640">
        <f t="shared" ref="AW442" si="2795">+AV442</f>
        <v>0.75153788761716134</v>
      </c>
      <c r="AX442" s="1640">
        <f t="shared" ref="AX442" si="2796">+AW442</f>
        <v>0.75153788761716134</v>
      </c>
      <c r="AY442" s="1640"/>
      <c r="AZ442" s="1640"/>
      <c r="BA442" s="72"/>
      <c r="BB442" s="1640">
        <v>0.75153788761716134</v>
      </c>
      <c r="BC442" s="2189"/>
      <c r="BD442" s="72"/>
      <c r="BI442" s="1598"/>
      <c r="BJ442" s="2068"/>
      <c r="BK442" s="1638">
        <f t="shared" ref="BK442:BP442" si="2797">+BK440/BK$228</f>
        <v>0.54345186370912446</v>
      </c>
      <c r="BL442" s="1638">
        <f t="shared" si="2797"/>
        <v>0.49864433994724161</v>
      </c>
      <c r="BM442" s="1638">
        <f t="shared" si="2797"/>
        <v>0.44705863013698627</v>
      </c>
      <c r="BN442" s="1638">
        <f t="shared" si="2797"/>
        <v>0.76713960143681992</v>
      </c>
      <c r="BO442" s="1875">
        <f t="shared" si="2797"/>
        <v>0.75153788761716145</v>
      </c>
      <c r="BP442" s="1638">
        <f t="shared" si="2797"/>
        <v>0.75153788761716134</v>
      </c>
      <c r="BQ442" s="1638">
        <f t="shared" ref="BQ442" si="2798">+BQ440/BQ$228</f>
        <v>0.75153788761716123</v>
      </c>
      <c r="BR442" s="1640">
        <f t="shared" ref="BR442:BU442" si="2799">+BQ442</f>
        <v>0.75153788761716123</v>
      </c>
      <c r="BS442" s="1640">
        <f t="shared" si="2799"/>
        <v>0.75153788761716123</v>
      </c>
      <c r="BT442" s="1640">
        <f t="shared" si="2799"/>
        <v>0.75153788761716123</v>
      </c>
      <c r="BU442" s="1640">
        <f t="shared" si="2799"/>
        <v>0.75153788761716123</v>
      </c>
    </row>
    <row r="443" spans="2:73" s="1597" customFormat="1" ht="15" hidden="1" customHeight="1">
      <c r="S443" s="1882"/>
      <c r="T443" s="1620"/>
      <c r="U443" s="1620"/>
      <c r="V443" s="1620"/>
      <c r="W443" s="1877"/>
      <c r="X443" s="1601"/>
      <c r="Y443" s="1601"/>
      <c r="Z443" s="1601"/>
      <c r="AA443" s="1601"/>
      <c r="AB443" s="1601"/>
      <c r="AC443" s="1601"/>
      <c r="AD443" s="1601"/>
      <c r="AE443" s="1601"/>
      <c r="AF443" s="1601"/>
      <c r="AG443" s="1601"/>
      <c r="AH443" s="1601"/>
      <c r="AI443" s="1601"/>
      <c r="AJ443" s="1601"/>
      <c r="AK443" s="1601"/>
      <c r="AL443" s="1601"/>
      <c r="AM443" s="1877"/>
      <c r="AN443" s="1601"/>
      <c r="AO443" s="1601"/>
      <c r="AP443" s="1601"/>
      <c r="AQ443" s="1601"/>
      <c r="AR443" s="1601"/>
      <c r="AS443" s="1601"/>
      <c r="AT443" s="1601"/>
      <c r="AU443" s="1601"/>
      <c r="AV443" s="1601"/>
      <c r="AW443" s="1601"/>
      <c r="AX443" s="1601"/>
      <c r="AY443" s="1601"/>
      <c r="AZ443" s="1601"/>
      <c r="BA443" s="72"/>
      <c r="BB443" s="1601"/>
      <c r="BC443" s="2189"/>
      <c r="BD443" s="72"/>
      <c r="BI443" s="1599"/>
      <c r="BJ443" s="2065"/>
      <c r="BK443" s="1663"/>
      <c r="BL443" s="1663"/>
      <c r="BM443" s="1663"/>
      <c r="BN443" s="1663"/>
      <c r="BO443" s="1975"/>
      <c r="BP443" s="1663"/>
      <c r="BQ443" s="1663"/>
      <c r="BR443" s="1601"/>
      <c r="BS443" s="1601"/>
      <c r="BT443" s="1601"/>
      <c r="BU443" s="1601"/>
    </row>
    <row r="444" spans="2:73" s="1597" customFormat="1" ht="15" hidden="1" customHeight="1">
      <c r="B444" s="1596" t="s">
        <v>114</v>
      </c>
      <c r="S444" s="1882"/>
      <c r="T444" s="1620"/>
      <c r="U444" s="1620"/>
      <c r="V444" s="1620"/>
      <c r="W444" s="1878">
        <f>+W436+W440</f>
        <v>-26.751807251112155</v>
      </c>
      <c r="X444" s="1612">
        <f t="shared" ref="X444:AI444" si="2800">+X436+X440</f>
        <v>-79.652647486961257</v>
      </c>
      <c r="Y444" s="1612">
        <f t="shared" si="2800"/>
        <v>359.20118854673979</v>
      </c>
      <c r="Z444" s="1612">
        <f t="shared" si="2800"/>
        <v>318.08967473208952</v>
      </c>
      <c r="AA444" s="1612">
        <f t="shared" si="2800"/>
        <v>155.40284999319903</v>
      </c>
      <c r="AB444" s="1612">
        <f t="shared" si="2800"/>
        <v>218.00724430594175</v>
      </c>
      <c r="AC444" s="1612">
        <f t="shared" si="2800"/>
        <v>335.89731945493907</v>
      </c>
      <c r="AD444" s="1612">
        <f t="shared" si="2800"/>
        <v>93.778817544981337</v>
      </c>
      <c r="AE444" s="1612">
        <f t="shared" si="2800"/>
        <v>-76.254521339612666</v>
      </c>
      <c r="AF444" s="1612">
        <f t="shared" si="2800"/>
        <v>-10.204765722723181</v>
      </c>
      <c r="AG444" s="1612">
        <f t="shared" si="2800"/>
        <v>75.134000000000242</v>
      </c>
      <c r="AH444" s="1612">
        <f t="shared" si="2800"/>
        <v>-7.6239999999996542</v>
      </c>
      <c r="AI444" s="1612">
        <f t="shared" si="2800"/>
        <v>165.63300000000035</v>
      </c>
      <c r="AJ444" s="1612">
        <f t="shared" ref="AJ444" si="2801">+AJ436+AJ440</f>
        <v>102.02318079725532</v>
      </c>
      <c r="AK444" s="1612">
        <f>+AK436+AK440</f>
        <v>-32.098636021557411</v>
      </c>
      <c r="AL444" s="1612">
        <f t="shared" ref="AL444:AP444" si="2802">+AL436+AL440</f>
        <v>-135.70840623682358</v>
      </c>
      <c r="AM444" s="1878">
        <f t="shared" si="2802"/>
        <v>-221.81957714652364</v>
      </c>
      <c r="AN444" s="1612">
        <f t="shared" si="2802"/>
        <v>-222.88768628755213</v>
      </c>
      <c r="AO444" s="1612">
        <f t="shared" si="2802"/>
        <v>-85.629121238713537</v>
      </c>
      <c r="AP444" s="1612">
        <f t="shared" si="2802"/>
        <v>-77.465574763180399</v>
      </c>
      <c r="AQ444" s="1612">
        <f t="shared" ref="AQ444:AT444" si="2803">+AQ436+AQ440</f>
        <v>-220.63283241692159</v>
      </c>
      <c r="AR444" s="1612">
        <f t="shared" si="2803"/>
        <v>-241.22998237236226</v>
      </c>
      <c r="AS444" s="1612">
        <f t="shared" si="2803"/>
        <v>-51.567364099111359</v>
      </c>
      <c r="AT444" s="1612">
        <f t="shared" si="2803"/>
        <v>-63.958875079100267</v>
      </c>
      <c r="AU444" s="1612">
        <f t="shared" ref="AU444:AX444" si="2804">+AU436+AU440</f>
        <v>-236.48584683052491</v>
      </c>
      <c r="AV444" s="1612">
        <f t="shared" si="2804"/>
        <v>-251.0709443457234</v>
      </c>
      <c r="AW444" s="1612">
        <f t="shared" si="2804"/>
        <v>37.133053651940429</v>
      </c>
      <c r="AX444" s="1612">
        <f t="shared" si="2804"/>
        <v>-42.016708825169985</v>
      </c>
      <c r="AY444" s="1609"/>
      <c r="AZ444" s="1609"/>
      <c r="BA444" s="72"/>
      <c r="BB444" s="1612">
        <v>-65.311643276811168</v>
      </c>
      <c r="BC444" s="2189"/>
      <c r="BD444" s="72"/>
      <c r="BI444" s="1609"/>
      <c r="BJ444" s="2062"/>
      <c r="BK444" s="1612">
        <f>+SUM(W444:Z444)</f>
        <v>570.88640854075584</v>
      </c>
      <c r="BL444" s="1612">
        <f>+SUM(AA444:AD444)</f>
        <v>803.08623129906118</v>
      </c>
      <c r="BM444" s="1612">
        <f>+SUM(AE444:AH444)</f>
        <v>-18.949287062335259</v>
      </c>
      <c r="BN444" s="1612">
        <f>+SUM(AI444:AL444)</f>
        <v>99.849138538874683</v>
      </c>
      <c r="BO444" s="1878">
        <f>+SUM(AM444:AP444)</f>
        <v>-607.80195943596971</v>
      </c>
      <c r="BP444" s="1612">
        <f>+SUM(AQ444:AT444)</f>
        <v>-577.38905396749544</v>
      </c>
      <c r="BQ444" s="1612">
        <f>+SUM(AU444:AX444)</f>
        <v>-492.4404463494779</v>
      </c>
      <c r="BR444" s="1612">
        <f t="shared" ref="BR444:BU444" si="2805">+BR436+BR440</f>
        <v>-428.36518493256494</v>
      </c>
      <c r="BS444" s="1612">
        <f t="shared" si="2805"/>
        <v>-479.78459984710696</v>
      </c>
      <c r="BT444" s="1612">
        <f t="shared" si="2805"/>
        <v>-512.59593138290097</v>
      </c>
      <c r="BU444" s="1612">
        <f t="shared" si="2805"/>
        <v>-536.94893616970785</v>
      </c>
    </row>
    <row r="445" spans="2:73" s="1597" customFormat="1" ht="15" hidden="1" customHeight="1">
      <c r="B445" s="1597" t="s">
        <v>316</v>
      </c>
      <c r="S445" s="1882"/>
      <c r="T445" s="1620"/>
      <c r="U445" s="1620"/>
      <c r="V445" s="1620"/>
      <c r="W445" s="1866"/>
      <c r="X445" s="1605"/>
      <c r="Y445" s="1605"/>
      <c r="Z445" s="1605"/>
      <c r="AA445" s="1605"/>
      <c r="AB445" s="1605"/>
      <c r="AC445" s="1605"/>
      <c r="AD445" s="1605"/>
      <c r="AE445" s="1605"/>
      <c r="AF445" s="1605"/>
      <c r="AG445" s="1605"/>
      <c r="AH445" s="1605"/>
      <c r="AI445" s="1605"/>
      <c r="AJ445" s="1605"/>
      <c r="AK445" s="1605"/>
      <c r="AL445" s="1628">
        <f t="shared" ref="AL445:AP445" si="2806">+AL444/AH444-1</f>
        <v>16.800158215743668</v>
      </c>
      <c r="AM445" s="1866">
        <f t="shared" si="2806"/>
        <v>-2.3392233259466604</v>
      </c>
      <c r="AN445" s="1628">
        <f t="shared" si="2806"/>
        <v>-3.1846768993654857</v>
      </c>
      <c r="AO445" s="1628">
        <f t="shared" si="2806"/>
        <v>1.6676872245040291</v>
      </c>
      <c r="AP445" s="1628">
        <f t="shared" si="2806"/>
        <v>-0.42917629857065831</v>
      </c>
      <c r="AQ445" s="1628">
        <f t="shared" ref="AQ445" si="2807">+AQ444/AM444-1</f>
        <v>-5.350045045023899E-3</v>
      </c>
      <c r="AR445" s="1628">
        <f t="shared" ref="AR445" si="2808">+AR444/AN444-1</f>
        <v>8.229389604388615E-2</v>
      </c>
      <c r="AS445" s="1628">
        <f t="shared" ref="AS445" si="2809">+AS444/AO444-1</f>
        <v>-0.39778239747020339</v>
      </c>
      <c r="AT445" s="1628">
        <f t="shared" ref="AT445" si="2810">+AT444/AP444-1</f>
        <v>-0.17435744490854665</v>
      </c>
      <c r="AU445" s="1628">
        <f t="shared" ref="AU445" si="2811">+AU444/AQ444-1</f>
        <v>7.1852472000388801E-2</v>
      </c>
      <c r="AV445" s="1628">
        <f t="shared" ref="AV445" si="2812">+AV444/AR444-1</f>
        <v>4.0794937165690603E-2</v>
      </c>
      <c r="AW445" s="1628">
        <f t="shared" ref="AW445" si="2813">+AW444/AS444-1</f>
        <v>-1.7200882632001804</v>
      </c>
      <c r="AX445" s="1628">
        <f t="shared" ref="AX445" si="2814">+AX444/AT444-1</f>
        <v>-0.34306679451121691</v>
      </c>
      <c r="AY445" s="1628"/>
      <c r="AZ445" s="1628"/>
      <c r="BA445" s="72"/>
      <c r="BB445" s="1628">
        <v>-0.15689461445971264</v>
      </c>
      <c r="BC445" s="2189"/>
      <c r="BD445" s="72"/>
      <c r="BI445" s="1605"/>
      <c r="BJ445" s="2059"/>
      <c r="BK445" s="1628" t="e">
        <f t="shared" ref="BK445:BQ445" si="2815">+BK444/BJ444-1</f>
        <v>#DIV/0!</v>
      </c>
      <c r="BL445" s="1628">
        <f t="shared" si="2815"/>
        <v>0.4067355944798754</v>
      </c>
      <c r="BM445" s="1628">
        <f t="shared" si="2815"/>
        <v>-1.0235955820481235</v>
      </c>
      <c r="BN445" s="1628">
        <f t="shared" si="2815"/>
        <v>-6.2692820690516022</v>
      </c>
      <c r="BO445" s="1866">
        <f t="shared" si="2815"/>
        <v>-7.087202837502014</v>
      </c>
      <c r="BP445" s="1628">
        <f t="shared" si="2815"/>
        <v>-5.0037524552729251E-2</v>
      </c>
      <c r="BQ445" s="1628">
        <f t="shared" si="2815"/>
        <v>-0.1471254209519528</v>
      </c>
      <c r="BR445" s="1628">
        <f t="shared" ref="BR445:BU445" si="2816">+BR444/BN444-1</f>
        <v>-5.2901239930656763</v>
      </c>
      <c r="BS445" s="1628">
        <f t="shared" si="2816"/>
        <v>-0.21062347299383632</v>
      </c>
      <c r="BT445" s="1628">
        <f t="shared" si="2816"/>
        <v>-0.11221744184336757</v>
      </c>
      <c r="BU445" s="1628">
        <f t="shared" si="2816"/>
        <v>9.0383497436445248E-2</v>
      </c>
    </row>
    <row r="446" spans="2:73" s="1597" customFormat="1" ht="15" hidden="1" customHeight="1">
      <c r="B446" s="1606" t="s">
        <v>30</v>
      </c>
      <c r="S446" s="1882"/>
      <c r="T446" s="1620"/>
      <c r="U446" s="1620"/>
      <c r="V446" s="1620"/>
      <c r="W446" s="1871">
        <f>+W444/W413</f>
        <v>-1.2590833669197445E-2</v>
      </c>
      <c r="X446" s="1631">
        <f t="shared" ref="X446:AI446" si="2817">+X444/X413</f>
        <v>-4.934126947921836E-2</v>
      </c>
      <c r="Y446" s="1631">
        <f t="shared" si="2817"/>
        <v>0.1238366012297912</v>
      </c>
      <c r="Z446" s="1631">
        <f t="shared" si="2817"/>
        <v>0.11202427308892728</v>
      </c>
      <c r="AA446" s="1631">
        <f t="shared" si="2817"/>
        <v>6.0953050535662773E-2</v>
      </c>
      <c r="AB446" s="1631">
        <f t="shared" si="2817"/>
        <v>8.4801884992215151E-2</v>
      </c>
      <c r="AC446" s="1631">
        <f t="shared" si="2817"/>
        <v>0.13478203554796783</v>
      </c>
      <c r="AD446" s="1631">
        <f t="shared" si="2817"/>
        <v>3.77004212084152E-2</v>
      </c>
      <c r="AE446" s="1631">
        <f t="shared" si="2817"/>
        <v>-3.5769983018879167E-2</v>
      </c>
      <c r="AF446" s="1631">
        <f t="shared" si="2817"/>
        <v>-4.5599250567593822E-3</v>
      </c>
      <c r="AG446" s="1631">
        <f t="shared" si="2817"/>
        <v>3.1601810624675708E-2</v>
      </c>
      <c r="AH446" s="1631">
        <f t="shared" si="2817"/>
        <v>-3.4673836716426092E-3</v>
      </c>
      <c r="AI446" s="1631">
        <f t="shared" si="2817"/>
        <v>6.6076590488941295E-2</v>
      </c>
      <c r="AJ446" s="1631">
        <f t="shared" ref="AJ446:AK446" si="2818">+AJ444/AJ413</f>
        <v>4.2908514779966621E-2</v>
      </c>
      <c r="AK446" s="1631">
        <f t="shared" si="2818"/>
        <v>-1.5572093626312291E-2</v>
      </c>
      <c r="AL446" s="1649">
        <f t="shared" ref="AL446:AP446" si="2819">+AL444/AL413</f>
        <v>-6.4263531032219934E-2</v>
      </c>
      <c r="AM446" s="1871">
        <f t="shared" si="2819"/>
        <v>-0.1120266298819257</v>
      </c>
      <c r="AN446" s="1649">
        <f t="shared" si="2819"/>
        <v>-0.11588471482784361</v>
      </c>
      <c r="AO446" s="1649">
        <f t="shared" si="2819"/>
        <v>-3.8953326172699844E-2</v>
      </c>
      <c r="AP446" s="1649">
        <f t="shared" si="2819"/>
        <v>-3.2840185843736755E-2</v>
      </c>
      <c r="AQ446" s="1649">
        <f t="shared" ref="AQ446:AT446" si="2820">+AQ444/AQ413</f>
        <v>-9.9741906046513923E-2</v>
      </c>
      <c r="AR446" s="1649">
        <f t="shared" si="2820"/>
        <v>-0.11210778679752158</v>
      </c>
      <c r="AS446" s="1649">
        <f t="shared" si="2820"/>
        <v>-2.1069894610163738E-2</v>
      </c>
      <c r="AT446" s="1649">
        <f t="shared" si="2820"/>
        <v>-2.4262825032031917E-2</v>
      </c>
      <c r="AU446" s="1649">
        <f t="shared" ref="AU446:AX446" si="2821">+AU444/AU413</f>
        <v>-9.5653918874992486E-2</v>
      </c>
      <c r="AV446" s="1649">
        <f t="shared" si="2821"/>
        <v>-0.10424664093859463</v>
      </c>
      <c r="AW446" s="1649">
        <f t="shared" si="2821"/>
        <v>1.3622003741380159E-2</v>
      </c>
      <c r="AX446" s="1649">
        <f t="shared" si="2821"/>
        <v>-1.4256352146896453E-2</v>
      </c>
      <c r="AY446" s="1649"/>
      <c r="AZ446" s="1649"/>
      <c r="BA446" s="72"/>
      <c r="BB446" s="1649">
        <v>-2.4775998192900751E-2</v>
      </c>
      <c r="BC446" s="2189"/>
      <c r="BD446" s="72"/>
      <c r="BI446" s="1631"/>
      <c r="BJ446" s="2063"/>
      <c r="BK446" s="1649">
        <f t="shared" ref="BK446:BP446" si="2822">+BK444/BK$413</f>
        <v>6.0225783868025885E-2</v>
      </c>
      <c r="BL446" s="1649">
        <f t="shared" si="2822"/>
        <v>7.9513811026268658E-2</v>
      </c>
      <c r="BM446" s="1649">
        <f t="shared" si="2822"/>
        <v>-2.1181797704025E-3</v>
      </c>
      <c r="BN446" s="1649">
        <f t="shared" si="2822"/>
        <v>1.1024023521181854E-2</v>
      </c>
      <c r="BO446" s="1871">
        <f t="shared" si="2822"/>
        <v>-7.1839678865297935E-2</v>
      </c>
      <c r="BP446" s="1649">
        <f t="shared" si="2822"/>
        <v>-6.1116613334152921E-2</v>
      </c>
      <c r="BQ446" s="1649">
        <f t="shared" ref="BQ446" si="2823">+BQ444/BQ$413</f>
        <v>-4.6659450225144158E-2</v>
      </c>
      <c r="BR446" s="1649">
        <f t="shared" ref="BR446:BU446" si="2824">+BR444/BR413</f>
        <v>-3.8655453133303735E-2</v>
      </c>
      <c r="BS446" s="1649">
        <f t="shared" si="2824"/>
        <v>-4.1233823417657654E-2</v>
      </c>
      <c r="BT446" s="1649">
        <f t="shared" si="2824"/>
        <v>-4.1955911298504331E-2</v>
      </c>
      <c r="BU446" s="1649">
        <f t="shared" si="2824"/>
        <v>-4.1856382494910589E-2</v>
      </c>
    </row>
    <row r="447" spans="2:73" s="1597" customFormat="1" ht="15" hidden="1" customHeight="1">
      <c r="B447" s="1597" t="s">
        <v>331</v>
      </c>
      <c r="S447" s="1882"/>
      <c r="T447" s="1620"/>
      <c r="U447" s="1620"/>
      <c r="V447" s="1620"/>
      <c r="W447" s="1882"/>
      <c r="X447" s="1620"/>
      <c r="Y447" s="1620"/>
      <c r="Z447" s="1620"/>
      <c r="AA447" s="1620"/>
      <c r="AB447" s="1620"/>
      <c r="AC447" s="1658"/>
      <c r="AD447" s="1658"/>
      <c r="AE447" s="1658"/>
      <c r="AF447" s="1658"/>
      <c r="AG447" s="1658"/>
      <c r="AH447" s="1658"/>
      <c r="AI447" s="1658"/>
      <c r="AJ447" s="1658"/>
      <c r="AK447" s="1658">
        <f t="shared" ref="AK447:AP447" si="2825">+AK446-AG446</f>
        <v>-4.7173904250987997E-2</v>
      </c>
      <c r="AL447" s="1653">
        <f t="shared" si="2825"/>
        <v>-6.0796147360577327E-2</v>
      </c>
      <c r="AM447" s="1879">
        <f t="shared" si="2825"/>
        <v>-0.17810322037086701</v>
      </c>
      <c r="AN447" s="1653">
        <f t="shared" si="2825"/>
        <v>-0.15879322960781023</v>
      </c>
      <c r="AO447" s="1653">
        <f t="shared" si="2825"/>
        <v>-2.3381232546387555E-2</v>
      </c>
      <c r="AP447" s="1653">
        <f t="shared" si="2825"/>
        <v>3.1423345188483179E-2</v>
      </c>
      <c r="AQ447" s="1653">
        <f t="shared" ref="AQ447" si="2826">+AQ446-AM446</f>
        <v>1.2284723835411779E-2</v>
      </c>
      <c r="AR447" s="1653">
        <f t="shared" ref="AR447" si="2827">+AR446-AN446</f>
        <v>3.7769280303220354E-3</v>
      </c>
      <c r="AS447" s="1653">
        <f t="shared" ref="AS447" si="2828">+AS446-AO446</f>
        <v>1.7883431562536106E-2</v>
      </c>
      <c r="AT447" s="1653">
        <f t="shared" ref="AT447" si="2829">+AT446-AP446</f>
        <v>8.5773608117048379E-3</v>
      </c>
      <c r="AU447" s="1653">
        <f t="shared" ref="AU447" si="2830">+AU446-AQ446</f>
        <v>4.0879871715214372E-3</v>
      </c>
      <c r="AV447" s="1653">
        <f t="shared" ref="AV447" si="2831">+AV446-AR446</f>
        <v>7.8611458589269434E-3</v>
      </c>
      <c r="AW447" s="1653">
        <f t="shared" ref="AW447" si="2832">+AW446-AS446</f>
        <v>3.4691898351543897E-2</v>
      </c>
      <c r="AX447" s="1653">
        <f t="shared" ref="AX447" si="2833">+AX446-AT446</f>
        <v>1.0006472885135464E-2</v>
      </c>
      <c r="AY447" s="1653"/>
      <c r="AZ447" s="1653"/>
      <c r="BA447" s="72"/>
      <c r="BB447" s="1653">
        <v>8.0641876508360036E-3</v>
      </c>
      <c r="BC447" s="2189"/>
      <c r="BD447" s="72"/>
      <c r="BJ447" s="2071"/>
      <c r="BK447" s="1653"/>
      <c r="BL447" s="1653">
        <f t="shared" ref="BL447:BU447" si="2834">+BL446-BK446</f>
        <v>1.9288027158242772E-2</v>
      </c>
      <c r="BM447" s="1653">
        <f t="shared" si="2834"/>
        <v>-8.1631990796671161E-2</v>
      </c>
      <c r="BN447" s="1653">
        <f t="shared" si="2834"/>
        <v>1.3142203291584354E-2</v>
      </c>
      <c r="BO447" s="1879">
        <f t="shared" si="2834"/>
        <v>-8.286370238647979E-2</v>
      </c>
      <c r="BP447" s="1653">
        <f t="shared" si="2834"/>
        <v>1.0723065531145014E-2</v>
      </c>
      <c r="BQ447" s="1653">
        <f t="shared" si="2834"/>
        <v>1.4457163109008762E-2</v>
      </c>
      <c r="BR447" s="1653">
        <f t="shared" si="2834"/>
        <v>8.003997091840423E-3</v>
      </c>
      <c r="BS447" s="1653">
        <f t="shared" si="2834"/>
        <v>-2.5783702843539189E-3</v>
      </c>
      <c r="BT447" s="1653">
        <f t="shared" si="2834"/>
        <v>-7.2208788084667658E-4</v>
      </c>
      <c r="BU447" s="1653">
        <f t="shared" si="2834"/>
        <v>9.9528803593741666E-5</v>
      </c>
    </row>
    <row r="448" spans="2:73" s="1597" customFormat="1" ht="15" hidden="1">
      <c r="B448" s="1657"/>
      <c r="S448" s="1882"/>
      <c r="T448" s="1620"/>
      <c r="U448" s="1620"/>
      <c r="V448" s="1620"/>
      <c r="W448" s="1882"/>
      <c r="X448" s="1620"/>
      <c r="Y448" s="1620"/>
      <c r="Z448" s="1620"/>
      <c r="AA448" s="1620"/>
      <c r="AB448" s="1620"/>
      <c r="AC448" s="1658"/>
      <c r="AD448" s="1658"/>
      <c r="AE448" s="1658"/>
      <c r="AF448" s="1658"/>
      <c r="AG448" s="1658"/>
      <c r="AH448" s="1658"/>
      <c r="AI448" s="1658"/>
      <c r="AJ448" s="1658"/>
      <c r="AK448" s="1658"/>
      <c r="AL448" s="1659"/>
      <c r="AM448" s="2419"/>
      <c r="AN448" s="1659"/>
      <c r="AO448" s="1659"/>
      <c r="AP448" s="1659"/>
      <c r="AQ448" s="1659"/>
      <c r="AR448" s="1659"/>
      <c r="AS448" s="1659"/>
      <c r="AT448" s="1659"/>
      <c r="AU448" s="1659"/>
      <c r="AV448" s="1659"/>
      <c r="AW448" s="1659"/>
      <c r="AX448" s="1659"/>
      <c r="AY448" s="1659"/>
      <c r="AZ448" s="1659"/>
      <c r="BA448" s="72"/>
      <c r="BB448" s="1659"/>
      <c r="BC448" s="2189"/>
      <c r="BD448" s="72"/>
      <c r="BJ448" s="2071"/>
      <c r="BK448" s="1620"/>
      <c r="BL448" s="1620"/>
      <c r="BM448" s="1620"/>
      <c r="BN448" s="1620"/>
      <c r="BO448" s="1882"/>
      <c r="BP448" s="1620"/>
      <c r="BQ448" s="1620"/>
      <c r="BR448" s="1659"/>
      <c r="BS448" s="1659"/>
      <c r="BT448" s="1659"/>
      <c r="BU448" s="1659"/>
    </row>
    <row r="449" spans="1:73" s="1597" customFormat="1" ht="15" hidden="1">
      <c r="B449" s="1657"/>
      <c r="S449" s="1882"/>
      <c r="T449" s="1620"/>
      <c r="U449" s="1620"/>
      <c r="V449" s="1620"/>
      <c r="W449" s="1882"/>
      <c r="X449" s="1620"/>
      <c r="Y449" s="1620"/>
      <c r="Z449" s="1620"/>
      <c r="AA449" s="1620"/>
      <c r="AB449" s="1620"/>
      <c r="AC449" s="1658"/>
      <c r="AD449" s="1658"/>
      <c r="AE449" s="1658"/>
      <c r="AF449" s="1658"/>
      <c r="AG449" s="1658"/>
      <c r="AH449" s="1658"/>
      <c r="AI449" s="1658"/>
      <c r="AJ449" s="1658"/>
      <c r="AK449" s="1658"/>
      <c r="AL449" s="1659"/>
      <c r="AM449" s="2419"/>
      <c r="AN449" s="1659"/>
      <c r="AO449" s="1659"/>
      <c r="AP449" s="1659"/>
      <c r="AQ449" s="1659"/>
      <c r="AR449" s="1659"/>
      <c r="AS449" s="1659"/>
      <c r="AT449" s="1659"/>
      <c r="AU449" s="1659"/>
      <c r="AV449" s="1659"/>
      <c r="AW449" s="1659"/>
      <c r="AX449" s="1659"/>
      <c r="AY449" s="1659"/>
      <c r="AZ449" s="1659"/>
      <c r="BA449" s="72"/>
      <c r="BB449" s="1659"/>
      <c r="BC449" s="2189"/>
      <c r="BD449" s="72"/>
      <c r="BJ449" s="2071"/>
      <c r="BK449" s="1620"/>
      <c r="BL449" s="1620"/>
      <c r="BM449" s="1620"/>
      <c r="BN449" s="1620"/>
      <c r="BO449" s="1882"/>
      <c r="BP449" s="1620"/>
      <c r="BQ449" s="1620"/>
      <c r="BR449" s="1659"/>
      <c r="BS449" s="1659"/>
      <c r="BT449" s="1659"/>
      <c r="BU449" s="1659"/>
    </row>
    <row r="450" spans="1:73" s="1597" customFormat="1" ht="15" hidden="1">
      <c r="B450" s="1657"/>
      <c r="S450" s="1882"/>
      <c r="T450" s="1620"/>
      <c r="U450" s="1620"/>
      <c r="V450" s="1620"/>
      <c r="W450" s="1882"/>
      <c r="X450" s="1620"/>
      <c r="Y450" s="1620"/>
      <c r="Z450" s="1620"/>
      <c r="AA450" s="1620"/>
      <c r="AB450" s="1620"/>
      <c r="AC450" s="1658"/>
      <c r="AD450" s="1658"/>
      <c r="AE450" s="1658"/>
      <c r="AF450" s="1658"/>
      <c r="AG450" s="1658"/>
      <c r="AH450" s="1658"/>
      <c r="AI450" s="1658"/>
      <c r="AJ450" s="1658"/>
      <c r="AK450" s="1658"/>
      <c r="AL450" s="1659"/>
      <c r="AM450" s="2419"/>
      <c r="AN450" s="1659"/>
      <c r="AO450" s="1659"/>
      <c r="AP450" s="1659"/>
      <c r="AQ450" s="1659"/>
      <c r="AR450" s="1659"/>
      <c r="AS450" s="1659"/>
      <c r="AT450" s="1659"/>
      <c r="AU450" s="1659"/>
      <c r="AV450" s="1659"/>
      <c r="AW450" s="1659"/>
      <c r="AX450" s="1659"/>
      <c r="AY450" s="1659"/>
      <c r="AZ450" s="1659"/>
      <c r="BA450" s="72"/>
      <c r="BB450" s="1659"/>
      <c r="BC450" s="2189"/>
      <c r="BD450" s="72"/>
      <c r="BJ450" s="2071"/>
      <c r="BK450" s="1620"/>
      <c r="BL450" s="1620"/>
      <c r="BM450" s="1620"/>
      <c r="BN450" s="1620"/>
      <c r="BO450" s="1882"/>
      <c r="BP450" s="1620"/>
      <c r="BQ450" s="1620"/>
      <c r="BR450" s="1659"/>
      <c r="BS450" s="1659"/>
      <c r="BT450" s="1659"/>
      <c r="BU450" s="1659"/>
    </row>
    <row r="451" spans="1:73" s="340" customFormat="1" ht="15.75" thickBot="1">
      <c r="B451" s="922"/>
      <c r="S451" s="1109"/>
      <c r="W451" s="1885"/>
      <c r="AM451" s="1109"/>
      <c r="AO451" s="1109"/>
      <c r="AQ451" s="1109"/>
      <c r="BA451" s="72"/>
      <c r="BC451" s="2189"/>
      <c r="BD451" s="72"/>
      <c r="BJ451" s="2072"/>
      <c r="BO451" s="1109"/>
    </row>
    <row r="452" spans="1:73" s="340" customFormat="1" ht="15.75" thickBot="1">
      <c r="B452" s="929" t="s">
        <v>358</v>
      </c>
      <c r="S452" s="1109"/>
      <c r="W452" s="1885"/>
      <c r="AM452" s="1109"/>
      <c r="AO452" s="1109"/>
      <c r="AQ452" s="1109"/>
      <c r="BA452" s="72"/>
      <c r="BC452" s="2189"/>
      <c r="BD452" s="72"/>
      <c r="BJ452" s="2072"/>
      <c r="BO452" s="1109"/>
    </row>
    <row r="453" spans="1:73" s="340" customFormat="1" ht="15">
      <c r="B453" s="922"/>
      <c r="S453" s="1109"/>
      <c r="W453" s="1885"/>
      <c r="AM453" s="1109"/>
      <c r="AO453" s="1109"/>
      <c r="AQ453" s="1109"/>
      <c r="BA453" s="72"/>
      <c r="BC453" s="2189"/>
      <c r="BD453" s="72"/>
      <c r="BJ453" s="2072"/>
      <c r="BO453" s="1109"/>
    </row>
    <row r="454" spans="1:73" s="340" customFormat="1" ht="15.75" thickBot="1">
      <c r="B454" s="922"/>
      <c r="G454" s="2688" t="s">
        <v>300</v>
      </c>
      <c r="H454" s="2689"/>
      <c r="I454" s="2689"/>
      <c r="J454" s="2689"/>
      <c r="K454" s="2689"/>
      <c r="L454" s="2689"/>
      <c r="M454" s="2689"/>
      <c r="N454" s="2689"/>
      <c r="O454" s="2689"/>
      <c r="P454" s="2689"/>
      <c r="Q454" s="2689"/>
      <c r="R454" s="2689"/>
      <c r="S454" s="2689"/>
      <c r="T454" s="2689"/>
      <c r="U454" s="2689"/>
      <c r="V454" s="2690"/>
      <c r="W454" s="1885"/>
      <c r="AM454" s="1109"/>
      <c r="AO454" s="2162" t="s">
        <v>359</v>
      </c>
      <c r="AQ454" s="1109"/>
      <c r="BA454" s="72"/>
      <c r="BC454" s="2189"/>
      <c r="BD454" s="72"/>
      <c r="BJ454" s="2072"/>
      <c r="BO454" s="2162" t="s">
        <v>359</v>
      </c>
    </row>
    <row r="455" spans="1:73" s="1066" customFormat="1" ht="15.75" thickBot="1">
      <c r="A455" s="1064"/>
      <c r="B455" s="1065" t="s">
        <v>360</v>
      </c>
      <c r="G455" s="1108"/>
      <c r="S455" s="1978">
        <f>5289.5-T455</f>
        <v>2690.5</v>
      </c>
      <c r="T455" s="1043">
        <v>2599</v>
      </c>
      <c r="U455" s="1043">
        <v>2485.6999999999998</v>
      </c>
      <c r="V455" s="1043">
        <v>3151</v>
      </c>
      <c r="W455" s="1886">
        <f>+W40</f>
        <v>2531.4</v>
      </c>
      <c r="X455" s="1043">
        <v>1995.7</v>
      </c>
      <c r="Y455" s="1043">
        <v>2958.2</v>
      </c>
      <c r="Z455" s="1043">
        <v>3406.2</v>
      </c>
      <c r="AA455" s="1043">
        <v>2835.9</v>
      </c>
      <c r="AB455" s="1043">
        <v>2644.7</v>
      </c>
      <c r="AC455" s="1043">
        <v>2460</v>
      </c>
      <c r="AD455" s="1043">
        <v>3248.4</v>
      </c>
      <c r="AE455" s="1043">
        <v>2207.4</v>
      </c>
      <c r="AF455" s="1043">
        <v>2099.6999999999998</v>
      </c>
      <c r="AG455" s="1043">
        <v>1965.1</v>
      </c>
      <c r="AH455" s="1043">
        <v>2456.4</v>
      </c>
      <c r="AI455" s="1043">
        <v>1921</v>
      </c>
      <c r="AJ455" s="1043">
        <v>1795.1</v>
      </c>
      <c r="AK455" s="1043">
        <v>1733.308</v>
      </c>
      <c r="AL455" s="1043">
        <v>2038.6</v>
      </c>
      <c r="AM455" s="1886">
        <v>1663</v>
      </c>
      <c r="AN455" s="1043">
        <v>1701.0089046968233</v>
      </c>
      <c r="AO455" s="2163">
        <f t="shared" ref="AO455" si="2835">+AO470/(1+AN459)</f>
        <v>2049.2744851789153</v>
      </c>
      <c r="AP455" s="1062">
        <f t="shared" ref="AP455" si="2836">+AP470/(1+AO459)</f>
        <v>2502.1860954330728</v>
      </c>
      <c r="AQ455" s="1886">
        <v>1660.3</v>
      </c>
      <c r="AR455" s="1062">
        <f t="shared" ref="AR455" si="2837">+AR470/(1+AQ459)</f>
        <v>1583.1768138150521</v>
      </c>
      <c r="AS455" s="1062">
        <f t="shared" ref="AS455" si="2838">+AS470/(1+AR459)</f>
        <v>1709.44957183662</v>
      </c>
      <c r="AT455" s="1062">
        <f t="shared" ref="AT455" si="2839">+AT470/(1+AS459)</f>
        <v>1965.0495271225968</v>
      </c>
      <c r="AU455" s="1062">
        <f t="shared" ref="AU455" si="2840">+AU470/(1+AT459)</f>
        <v>1278.5729059829057</v>
      </c>
      <c r="AV455" s="1062">
        <f t="shared" ref="AV455" si="2841">+AV470/(1+AU459)</f>
        <v>1263.9396461239648</v>
      </c>
      <c r="AW455" s="1062">
        <f t="shared" ref="AW455" si="2842">+AW470/(1+AV459)</f>
        <v>1417.54204450568</v>
      </c>
      <c r="AX455" s="1062">
        <f t="shared" ref="AX455" si="2843">+AX470/(1+AW459)</f>
        <v>1651.4581597683912</v>
      </c>
      <c r="AY455" s="2645"/>
      <c r="AZ455" s="2645"/>
      <c r="BA455" s="2260"/>
      <c r="BB455" s="1062">
        <v>1965.0495271225968</v>
      </c>
      <c r="BC455" s="2209"/>
      <c r="BD455" s="2260"/>
      <c r="BH455" s="2138"/>
      <c r="BI455" s="2138"/>
      <c r="BJ455" s="2145"/>
      <c r="BK455" s="1063">
        <f>+SUM(W455:Z455)</f>
        <v>10891.5</v>
      </c>
      <c r="BL455" s="1063">
        <f>+SUM(AA455:AD455)</f>
        <v>11189</v>
      </c>
      <c r="BM455" s="1063">
        <f>+SUM(AE455:AH455)</f>
        <v>8728.6</v>
      </c>
      <c r="BN455" s="1063">
        <f>+SUM(AI455:AL455)</f>
        <v>7488.0079999999998</v>
      </c>
      <c r="BO455" s="2474">
        <f>+SUM(AM455:AP455)</f>
        <v>7915.4694853088113</v>
      </c>
      <c r="BP455" s="1063">
        <f>+SUM(AQ455:AT455)</f>
        <v>6917.9759127742691</v>
      </c>
      <c r="BQ455" s="1063">
        <f>+SUM(AU455:AX455)</f>
        <v>5611.512756380941</v>
      </c>
      <c r="BR455" s="1062">
        <f t="shared" ref="BR455" si="2844">+BR470/(1+BQ459)</f>
        <v>5814.5122854301362</v>
      </c>
      <c r="BS455" s="1062">
        <f t="shared" ref="BS455" si="2845">+BS470/(1+BR459)</f>
        <v>6027.1137667900084</v>
      </c>
      <c r="BT455" s="1062">
        <f t="shared" ref="BT455" si="2846">+BT470/(1+BS459)</f>
        <v>6239.8708827576975</v>
      </c>
      <c r="BU455" s="1062">
        <f t="shared" ref="BU455" si="2847">+BU470/(1+BT459)</f>
        <v>6460.138324919044</v>
      </c>
    </row>
    <row r="456" spans="1:73" s="340" customFormat="1" ht="15">
      <c r="B456" s="930" t="s">
        <v>108</v>
      </c>
      <c r="G456" s="1109"/>
      <c r="S456" s="1109"/>
      <c r="W456" s="1885">
        <f t="shared" ref="W456" si="2848">+W455/S455-1</f>
        <v>-5.9133989964690548E-2</v>
      </c>
      <c r="X456" s="923">
        <f t="shared" ref="X456" si="2849">+X455/T455-1</f>
        <v>-0.23212774143901493</v>
      </c>
      <c r="Y456" s="923">
        <f t="shared" ref="Y456" si="2850">+Y455/U455-1</f>
        <v>0.19008729935229507</v>
      </c>
      <c r="Z456" s="923">
        <f t="shared" ref="Z456" si="2851">+Z455/V455-1</f>
        <v>8.0990161853379927E-2</v>
      </c>
      <c r="AA456" s="923">
        <f t="shared" ref="AA456" si="2852">+AA455/W455-1</f>
        <v>0.12028916804930079</v>
      </c>
      <c r="AB456" s="923">
        <f t="shared" ref="AB456" si="2853">+AB455/X455-1</f>
        <v>0.32519917823320132</v>
      </c>
      <c r="AC456" s="923">
        <f t="shared" ref="AC456" si="2854">+AC455/Y455-1</f>
        <v>-0.16841322425799465</v>
      </c>
      <c r="AD456" s="923">
        <f t="shared" ref="AD456" si="2855">+AD455/Z455-1</f>
        <v>-4.6327285538136254E-2</v>
      </c>
      <c r="AE456" s="923">
        <f t="shared" ref="AE456" si="2856">+AE455/AA455-1</f>
        <v>-0.22162276525970592</v>
      </c>
      <c r="AF456" s="923">
        <f t="shared" ref="AF456" si="2857">+AF455/AB455-1</f>
        <v>-0.20607252240329721</v>
      </c>
      <c r="AG456" s="923">
        <f t="shared" ref="AG456" si="2858">+AG455/AC455-1</f>
        <v>-0.20117886178861788</v>
      </c>
      <c r="AH456" s="923">
        <f t="shared" ref="AH456" si="2859">+AH455/AD455-1</f>
        <v>-0.24381233838197269</v>
      </c>
      <c r="AI456" s="923">
        <f t="shared" ref="AI456" si="2860">+AI455/AE455-1</f>
        <v>-0.12974540183020755</v>
      </c>
      <c r="AJ456" s="923">
        <f t="shared" ref="AJ456" si="2861">+AJ455/AF455-1</f>
        <v>-0.14506834309663286</v>
      </c>
      <c r="AK456" s="923">
        <f t="shared" ref="AK456" si="2862">+AK455/AG455-1</f>
        <v>-0.11795430258002138</v>
      </c>
      <c r="AL456" s="923">
        <f t="shared" ref="AL456" si="2863">+AL455/AH455-1</f>
        <v>-0.17008630516202583</v>
      </c>
      <c r="AM456" s="1885">
        <f t="shared" ref="AM456" si="2864">+AM455/AI455-1</f>
        <v>-0.13430504945340971</v>
      </c>
      <c r="AN456" s="923">
        <f t="shared" ref="AN456" si="2865">+AN455/AJ455-1</f>
        <v>-5.2415517410270507E-2</v>
      </c>
      <c r="AO456" s="1885">
        <f t="shared" ref="AO456" si="2866">+AO455/AK455-1</f>
        <v>0.18229102108737472</v>
      </c>
      <c r="AP456" s="923">
        <f t="shared" ref="AP456" si="2867">+AP455/AL455-1</f>
        <v>0.22740414766657158</v>
      </c>
      <c r="AQ456" s="1885">
        <f t="shared" ref="AQ456" si="2868">+AQ455/AM455-1</f>
        <v>-1.6235718580878133E-3</v>
      </c>
      <c r="AR456" s="923">
        <f t="shared" ref="AR456" si="2869">+AR455/AN455-1</f>
        <v>-6.9271883619429264E-2</v>
      </c>
      <c r="AS456" s="923">
        <f t="shared" ref="AS456" si="2870">+AS455/AO455-1</f>
        <v>-0.16582693816764438</v>
      </c>
      <c r="AT456" s="923">
        <f t="shared" ref="AT456" si="2871">+AT455/AP455-1</f>
        <v>-0.2146669143797274</v>
      </c>
      <c r="AU456" s="923">
        <f t="shared" ref="AU456" si="2872">+AU455/AQ455-1</f>
        <v>-0.2299145299145301</v>
      </c>
      <c r="AV456" s="923">
        <f t="shared" ref="AV456" si="2873">+AV455/AR455-1</f>
        <v>-0.20164340767586608</v>
      </c>
      <c r="AW456" s="923">
        <f t="shared" ref="AW456" si="2874">+AW455/AS455-1</f>
        <v>-0.1707611222583868</v>
      </c>
      <c r="AX456" s="923">
        <f t="shared" ref="AX456" si="2875">+AX455/AT455-1</f>
        <v>-0.15958445984483383</v>
      </c>
      <c r="AY456" s="923"/>
      <c r="AZ456" s="923"/>
      <c r="BA456" s="72"/>
      <c r="BB456" s="923">
        <v>-0.2146669143797274</v>
      </c>
      <c r="BC456" s="2189"/>
      <c r="BD456" s="72"/>
      <c r="BJ456" s="2072"/>
      <c r="BK456" s="936"/>
      <c r="BL456" s="936"/>
      <c r="BM456" s="936"/>
      <c r="BN456" s="936"/>
      <c r="BO456" s="2475"/>
      <c r="BP456" s="936"/>
      <c r="BQ456" s="936"/>
    </row>
    <row r="457" spans="1:73" s="340" customFormat="1" ht="15">
      <c r="B457" s="922"/>
      <c r="G457" s="1109"/>
      <c r="S457" s="1109"/>
      <c r="W457" s="1885"/>
      <c r="X457" s="923"/>
      <c r="Y457" s="923"/>
      <c r="Z457" s="923"/>
      <c r="AA457" s="923"/>
      <c r="AB457" s="923"/>
      <c r="AC457" s="923"/>
      <c r="AD457" s="923"/>
      <c r="AE457" s="923"/>
      <c r="AF457" s="923"/>
      <c r="AG457" s="923"/>
      <c r="AH457" s="923"/>
      <c r="AI457" s="923"/>
      <c r="AJ457" s="923"/>
      <c r="AK457" s="923"/>
      <c r="AL457" s="923"/>
      <c r="AM457" s="1885"/>
      <c r="AN457" s="923"/>
      <c r="AO457" s="1885"/>
      <c r="AP457" s="923"/>
      <c r="AQ457" s="1885"/>
      <c r="AR457" s="923"/>
      <c r="AS457" s="923"/>
      <c r="AT457" s="923"/>
      <c r="AU457" s="923"/>
      <c r="AV457" s="923"/>
      <c r="AW457" s="923"/>
      <c r="AX457" s="923"/>
      <c r="AY457" s="923"/>
      <c r="AZ457" s="923"/>
      <c r="BA457" s="72"/>
      <c r="BB457" s="923"/>
      <c r="BC457" s="2189"/>
      <c r="BD457" s="72"/>
      <c r="BJ457" s="2072"/>
      <c r="BK457" s="936"/>
      <c r="BL457" s="936"/>
      <c r="BM457" s="936"/>
      <c r="BN457" s="936"/>
      <c r="BO457" s="2475"/>
      <c r="BP457" s="936"/>
      <c r="BQ457" s="936"/>
    </row>
    <row r="458" spans="1:73" s="340" customFormat="1" ht="15">
      <c r="B458" s="931" t="s">
        <v>192</v>
      </c>
      <c r="G458" s="1109"/>
      <c r="S458" s="1887">
        <f t="shared" ref="S458:AA458" si="2876">S470-S455</f>
        <v>-517.80000000000018</v>
      </c>
      <c r="T458" s="1110">
        <f t="shared" si="2876"/>
        <v>-493.09999999999991</v>
      </c>
      <c r="U458" s="1110">
        <f t="shared" si="2876"/>
        <v>-479.39999999999986</v>
      </c>
      <c r="V458" s="1110">
        <f t="shared" si="2876"/>
        <v>-592.19999999999982</v>
      </c>
      <c r="W458" s="1887">
        <f t="shared" si="2876"/>
        <v>-409.90000000000009</v>
      </c>
      <c r="X458" s="934">
        <f t="shared" si="2876"/>
        <v>-345.70000000000005</v>
      </c>
      <c r="Y458" s="934">
        <f t="shared" si="2876"/>
        <v>-500.89999999999964</v>
      </c>
      <c r="Z458" s="934">
        <f t="shared" si="2876"/>
        <v>-537.69999999999982</v>
      </c>
      <c r="AA458" s="934">
        <f t="shared" si="2876"/>
        <v>-472.40000000000009</v>
      </c>
      <c r="AB458" s="934">
        <f t="shared" ref="AB458" si="2877">AB470-AB455</f>
        <v>-440.69999999999982</v>
      </c>
      <c r="AC458" s="934">
        <f>AC470-AC455</f>
        <v>-406.30000000000018</v>
      </c>
      <c r="AD458" s="934">
        <f>AD470-AD455</f>
        <v>-540.30000000000018</v>
      </c>
      <c r="AE458" s="934">
        <f>AE470-AE455</f>
        <v>-365.40000000000009</v>
      </c>
      <c r="AF458" s="934">
        <f>AF470-AF455</f>
        <v>-455.89999999999986</v>
      </c>
      <c r="AG458" s="934">
        <f t="shared" ref="AG458" si="2878">AG470-AG455</f>
        <v>-317.5</v>
      </c>
      <c r="AH458" s="934">
        <f t="shared" ref="AH458:AI458" si="2879">AH470-AH455</f>
        <v>-393.80000000000018</v>
      </c>
      <c r="AI458" s="934">
        <f t="shared" si="2879"/>
        <v>-314.40000000000009</v>
      </c>
      <c r="AJ458" s="934">
        <f t="shared" ref="AJ458:AK458" si="2880">AJ470-AJ455</f>
        <v>-284.79999999999995</v>
      </c>
      <c r="AK458" s="934">
        <f t="shared" si="2880"/>
        <v>-277.52199999999993</v>
      </c>
      <c r="AL458" s="934">
        <f t="shared" ref="AL458:AM458" si="2881">AL470-AL455</f>
        <v>-324.5</v>
      </c>
      <c r="AM458" s="1887">
        <f t="shared" si="2881"/>
        <v>-266.29999999999995</v>
      </c>
      <c r="AN458" s="934">
        <f t="shared" ref="AN458:AP458" si="2882">AN470-AN455</f>
        <v>-274.16612800139364</v>
      </c>
      <c r="AO458" s="1887">
        <f t="shared" si="2882"/>
        <v>-330.29906502088056</v>
      </c>
      <c r="AP458" s="934">
        <f t="shared" si="2882"/>
        <v>-403.29869610299465</v>
      </c>
      <c r="AQ458" s="1887">
        <f t="shared" ref="AQ458" si="2883">AQ470-AQ455</f>
        <v>-266</v>
      </c>
      <c r="AR458" s="934">
        <f t="shared" ref="AR458:AT458" si="2884">AR470-AR455</f>
        <v>-253.64393933313477</v>
      </c>
      <c r="AS458" s="934">
        <f t="shared" si="2884"/>
        <v>-273.87435168857473</v>
      </c>
      <c r="AT458" s="934">
        <f t="shared" si="2884"/>
        <v>-314.82453424959976</v>
      </c>
      <c r="AU458" s="934">
        <f t="shared" ref="AU458:AX458" si="2885">AU470-AU455</f>
        <v>-204.84273504273483</v>
      </c>
      <c r="AV458" s="934">
        <f t="shared" si="2885"/>
        <v>-202.49831106967076</v>
      </c>
      <c r="AW458" s="934">
        <f t="shared" si="2885"/>
        <v>-227.1072600364455</v>
      </c>
      <c r="AX458" s="934">
        <f t="shared" si="2885"/>
        <v>-264.58343100547586</v>
      </c>
      <c r="AY458" s="934"/>
      <c r="AZ458" s="934"/>
      <c r="BA458" s="72"/>
      <c r="BB458" s="934">
        <v>-314.82453424959976</v>
      </c>
      <c r="BC458" s="2189"/>
      <c r="BD458" s="72"/>
      <c r="BJ458" s="2072"/>
      <c r="BK458" s="937">
        <f>+SUM(W458:Z458)</f>
        <v>-1794.1999999999996</v>
      </c>
      <c r="BL458" s="937">
        <f>+SUM(AA458:AD458)</f>
        <v>-1859.7000000000003</v>
      </c>
      <c r="BM458" s="937">
        <f>+SUM(AE458:AH458)</f>
        <v>-1532.6000000000001</v>
      </c>
      <c r="BN458" s="937">
        <f>+SUM(AI458:AL458)</f>
        <v>-1201.222</v>
      </c>
      <c r="BO458" s="2476">
        <f>+SUM(AM458:AP458)</f>
        <v>-1274.0638891252688</v>
      </c>
      <c r="BP458" s="937">
        <f>+SUM(AQ458:AT458)</f>
        <v>-1108.3428252713093</v>
      </c>
      <c r="BQ458" s="937">
        <f>+SUM(AU458:AX458)</f>
        <v>-899.03173715432695</v>
      </c>
      <c r="BR458" s="934">
        <f t="shared" ref="BR458" si="2886">BR470-BR455</f>
        <v>-931.55469970753165</v>
      </c>
      <c r="BS458" s="934">
        <f t="shared" ref="BS458:BU458" si="2887">BS470-BS455</f>
        <v>-965.61601033918032</v>
      </c>
      <c r="BT458" s="934">
        <f t="shared" si="2887"/>
        <v>-999.70225550415398</v>
      </c>
      <c r="BU458" s="934">
        <f t="shared" si="2887"/>
        <v>-1034.9917451234505</v>
      </c>
    </row>
    <row r="459" spans="1:73" s="932" customFormat="1" ht="15" customHeight="1">
      <c r="B459" s="933" t="s">
        <v>302</v>
      </c>
      <c r="G459" s="1111"/>
      <c r="H459" s="933"/>
      <c r="I459" s="933"/>
      <c r="J459" s="933"/>
      <c r="K459" s="933"/>
      <c r="L459" s="933"/>
      <c r="M459" s="933"/>
      <c r="N459" s="933"/>
      <c r="O459" s="933"/>
      <c r="P459" s="933"/>
      <c r="Q459" s="933"/>
      <c r="R459" s="933"/>
      <c r="S459" s="1111">
        <f t="shared" ref="S459:V459" si="2888">+S458/S455</f>
        <v>-0.19245493402713257</v>
      </c>
      <c r="T459" s="933">
        <f t="shared" si="2888"/>
        <v>-0.1897268180069257</v>
      </c>
      <c r="U459" s="933">
        <f t="shared" si="2888"/>
        <v>-0.19286317737458258</v>
      </c>
      <c r="V459" s="933">
        <f t="shared" si="2888"/>
        <v>-0.18794033640114244</v>
      </c>
      <c r="W459" s="1111">
        <f>+W458/W455</f>
        <v>-0.16192620684206371</v>
      </c>
      <c r="X459" s="932">
        <f>+X458/X455</f>
        <v>-0.17322242822067446</v>
      </c>
      <c r="Y459" s="932">
        <f t="shared" ref="Y459:AA459" si="2889">+Y458/Y455</f>
        <v>-0.16932594145088217</v>
      </c>
      <c r="Z459" s="932">
        <f t="shared" si="2889"/>
        <v>-0.15785919793318062</v>
      </c>
      <c r="AA459" s="932">
        <f t="shared" si="2889"/>
        <v>-0.16657851123100254</v>
      </c>
      <c r="AB459" s="932">
        <f t="shared" ref="AB459:AC459" si="2890">+AB458/AB455</f>
        <v>-0.1666351571066661</v>
      </c>
      <c r="AC459" s="932">
        <f t="shared" si="2890"/>
        <v>-0.16516260162601634</v>
      </c>
      <c r="AD459" s="932">
        <f t="shared" ref="AD459:AE459" si="2891">+AD458/AD455</f>
        <v>-0.16632803841891397</v>
      </c>
      <c r="AE459" s="932">
        <f t="shared" si="2891"/>
        <v>-0.16553411253057901</v>
      </c>
      <c r="AF459" s="932">
        <f t="shared" ref="AF459:AG459" si="2892">+AF458/AF455</f>
        <v>-0.21712625613182832</v>
      </c>
      <c r="AG459" s="932">
        <f t="shared" si="2892"/>
        <v>-0.16156938578189406</v>
      </c>
      <c r="AH459" s="932">
        <f t="shared" ref="AH459:AI459" si="2893">+AH458/AH455</f>
        <v>-0.16031590946099991</v>
      </c>
      <c r="AI459" s="932">
        <f t="shared" si="2893"/>
        <v>-0.16366475793857371</v>
      </c>
      <c r="AJ459" s="932">
        <f t="shared" ref="AJ459:AK459" si="2894">+AJ458/AJ455</f>
        <v>-0.15865411397693721</v>
      </c>
      <c r="AK459" s="932">
        <f t="shared" si="2894"/>
        <v>-0.16011118624041423</v>
      </c>
      <c r="AL459" s="932">
        <f t="shared" ref="AL459:AM459" si="2895">+AL458/AL455</f>
        <v>-0.15917786716373983</v>
      </c>
      <c r="AM459" s="1111">
        <f t="shared" si="2895"/>
        <v>-0.16013229104028862</v>
      </c>
      <c r="AN459" s="932">
        <f t="shared" ref="AN459:AP459" si="2896">+AN458/AN455</f>
        <v>-0.16117853777506194</v>
      </c>
      <c r="AO459" s="1111">
        <f t="shared" si="2896"/>
        <v>-0.16117853777506203</v>
      </c>
      <c r="AP459" s="932">
        <f t="shared" si="2896"/>
        <v>-0.16117853777506211</v>
      </c>
      <c r="AQ459" s="1111">
        <f t="shared" ref="AQ459" si="2897">+AQ458/AQ455</f>
        <v>-0.16021200987773293</v>
      </c>
      <c r="AR459" s="932">
        <f t="shared" ref="AR459:AT459" si="2898">+AR458/AR455</f>
        <v>-0.16021200987773285</v>
      </c>
      <c r="AS459" s="932">
        <f t="shared" si="2898"/>
        <v>-0.16021200987773285</v>
      </c>
      <c r="AT459" s="932">
        <f t="shared" si="2898"/>
        <v>-0.16021200987773285</v>
      </c>
      <c r="AU459" s="932">
        <f t="shared" ref="AU459:AX459" si="2899">+AU458/AU455</f>
        <v>-0.16021200987773282</v>
      </c>
      <c r="AV459" s="932">
        <f t="shared" si="2899"/>
        <v>-0.16021200987773279</v>
      </c>
      <c r="AW459" s="932">
        <f t="shared" si="2899"/>
        <v>-0.16021200987773276</v>
      </c>
      <c r="AX459" s="932">
        <f t="shared" si="2899"/>
        <v>-0.16021200987773276</v>
      </c>
      <c r="BA459" s="2261"/>
      <c r="BB459" s="932">
        <v>-0.16021200987773285</v>
      </c>
      <c r="BC459" s="2210"/>
      <c r="BD459" s="2261"/>
      <c r="BH459" s="933"/>
      <c r="BI459" s="933"/>
      <c r="BJ459" s="2073"/>
      <c r="BK459" s="938">
        <f t="shared" ref="BK459:BL459" si="2900">+BK458/BK455</f>
        <v>-0.16473396685488681</v>
      </c>
      <c r="BL459" s="938">
        <f t="shared" si="2900"/>
        <v>-0.16620788274197876</v>
      </c>
      <c r="BM459" s="938">
        <f t="shared" ref="BM459:BN459" si="2901">+BM458/BM455</f>
        <v>-0.1755837133102674</v>
      </c>
      <c r="BN459" s="938">
        <f t="shared" si="2901"/>
        <v>-0.16041943331257125</v>
      </c>
      <c r="BO459" s="1049">
        <f t="shared" ref="BO459:BP459" si="2902">+BO458/BO455</f>
        <v>-0.16095872664153957</v>
      </c>
      <c r="BP459" s="938">
        <f t="shared" si="2902"/>
        <v>-0.16021200987773287</v>
      </c>
      <c r="BQ459" s="938">
        <f t="shared" ref="BQ459" si="2903">+BQ458/BQ455</f>
        <v>-0.16021200987773279</v>
      </c>
      <c r="BR459" s="932">
        <f t="shared" ref="BR459:BU459" si="2904">+BR458/BR455</f>
        <v>-0.16021200987773279</v>
      </c>
      <c r="BS459" s="932">
        <f t="shared" si="2904"/>
        <v>-0.16021200987773282</v>
      </c>
      <c r="BT459" s="932">
        <f t="shared" si="2904"/>
        <v>-0.16021200987773287</v>
      </c>
      <c r="BU459" s="932">
        <f t="shared" si="2904"/>
        <v>-0.16021200987773287</v>
      </c>
    </row>
    <row r="460" spans="1:73" s="932" customFormat="1" ht="15" customHeight="1">
      <c r="B460" s="933"/>
      <c r="G460" s="1111"/>
      <c r="H460" s="933"/>
      <c r="I460" s="933"/>
      <c r="J460" s="933"/>
      <c r="K460" s="933"/>
      <c r="L460" s="933"/>
      <c r="M460" s="933"/>
      <c r="N460" s="933"/>
      <c r="O460" s="933"/>
      <c r="P460" s="933"/>
      <c r="Q460" s="933"/>
      <c r="R460" s="933"/>
      <c r="S460" s="1111"/>
      <c r="T460" s="933"/>
      <c r="U460" s="933"/>
      <c r="V460" s="933"/>
      <c r="W460" s="1111"/>
      <c r="X460" s="935"/>
      <c r="Y460" s="935"/>
      <c r="Z460" s="935"/>
      <c r="AA460" s="935"/>
      <c r="AB460" s="935"/>
      <c r="AC460" s="935"/>
      <c r="AD460" s="935"/>
      <c r="AE460" s="935"/>
      <c r="AF460" s="935"/>
      <c r="AG460" s="935"/>
      <c r="AH460" s="935"/>
      <c r="AI460" s="935"/>
      <c r="AJ460" s="935"/>
      <c r="AK460" s="935"/>
      <c r="AL460" s="935"/>
      <c r="AM460" s="2164"/>
      <c r="AN460" s="935"/>
      <c r="AO460" s="2164"/>
      <c r="AP460" s="935"/>
      <c r="AQ460" s="2164"/>
      <c r="AR460" s="935"/>
      <c r="AS460" s="935"/>
      <c r="AT460" s="935"/>
      <c r="AU460" s="935"/>
      <c r="AV460" s="935"/>
      <c r="AW460" s="935"/>
      <c r="AX460" s="935"/>
      <c r="AY460" s="935"/>
      <c r="AZ460" s="935"/>
      <c r="BA460" s="2261"/>
      <c r="BB460" s="935"/>
      <c r="BC460" s="2210"/>
      <c r="BD460" s="2261"/>
      <c r="BH460" s="933"/>
      <c r="BI460" s="933"/>
      <c r="BJ460" s="2073"/>
      <c r="BK460" s="938"/>
      <c r="BL460" s="938"/>
      <c r="BM460" s="938"/>
      <c r="BN460" s="938"/>
      <c r="BO460" s="1049"/>
      <c r="BP460" s="938"/>
      <c r="BQ460" s="938"/>
      <c r="BR460" s="935"/>
      <c r="BS460" s="935"/>
      <c r="BT460" s="935"/>
      <c r="BU460" s="935"/>
    </row>
    <row r="461" spans="1:73" s="340" customFormat="1" ht="15">
      <c r="B461" s="922" t="s">
        <v>361</v>
      </c>
      <c r="G461" s="1112">
        <f t="shared" ref="G461:U461" si="2905">+G464+G466</f>
        <v>657.09999999999991</v>
      </c>
      <c r="H461" s="342">
        <f t="shared" si="2905"/>
        <v>662.8</v>
      </c>
      <c r="I461" s="342">
        <f t="shared" si="2905"/>
        <v>609.20000000000005</v>
      </c>
      <c r="J461" s="342">
        <f t="shared" si="2905"/>
        <v>765</v>
      </c>
      <c r="K461" s="342">
        <f t="shared" si="2905"/>
        <v>631.70000000000005</v>
      </c>
      <c r="L461" s="342">
        <f t="shared" si="2905"/>
        <v>619.30000000000007</v>
      </c>
      <c r="M461" s="342">
        <f t="shared" si="2905"/>
        <v>612.9</v>
      </c>
      <c r="N461" s="342">
        <f t="shared" si="2905"/>
        <v>780.90000000000009</v>
      </c>
      <c r="O461" s="342">
        <f t="shared" si="2905"/>
        <v>679.8</v>
      </c>
      <c r="P461" s="342">
        <f t="shared" si="2905"/>
        <v>613.79999999999995</v>
      </c>
      <c r="Q461" s="342">
        <f t="shared" si="2905"/>
        <v>563.4</v>
      </c>
      <c r="R461" s="342">
        <f t="shared" si="2905"/>
        <v>707.59999999999991</v>
      </c>
      <c r="S461" s="1112">
        <f t="shared" si="2905"/>
        <v>574</v>
      </c>
      <c r="T461" s="342">
        <f t="shared" si="2905"/>
        <v>533.5</v>
      </c>
      <c r="U461" s="342">
        <f t="shared" si="2905"/>
        <v>504.6</v>
      </c>
      <c r="V461" s="342">
        <f>+V464+V466</f>
        <v>618.9</v>
      </c>
      <c r="W461" s="1112">
        <f>+W470/MACRO!W$3</f>
        <v>474.33260296024685</v>
      </c>
      <c r="X461" s="924">
        <f>+X470/MACRO!X$3</f>
        <v>306.37254901960785</v>
      </c>
      <c r="Y461" s="924">
        <f>+Y470/MACRO!Y$3</f>
        <v>456.73023307683729</v>
      </c>
      <c r="Z461" s="924">
        <f>+Z470/MACRO!Z$3</f>
        <v>531.6368893172214</v>
      </c>
      <c r="AA461" s="924">
        <f>+AA470/MACRO!AA$3</f>
        <v>430.91031741690824</v>
      </c>
      <c r="AB461" s="924">
        <f>+AB470/MACRO!AB$3</f>
        <v>416.35182106694879</v>
      </c>
      <c r="AC461" s="924">
        <f>+AC470/MACRO!AC$3</f>
        <v>392.5042524320088</v>
      </c>
      <c r="AD461" s="924">
        <f>+AD470/MACRO!AD$3</f>
        <v>484.86204859183925</v>
      </c>
      <c r="AE461" s="924">
        <f>+AE470/MACRO!AE$3</f>
        <v>352.53588516746413</v>
      </c>
      <c r="AF461" s="924">
        <f>+AF470/MACRO!AF$3</f>
        <v>333.60392904980318</v>
      </c>
      <c r="AG461" s="924">
        <f>+AG470/MACRO!AG$3</f>
        <v>313.82857142857142</v>
      </c>
      <c r="AH461" s="924">
        <f>+AH470/MACRO!AH$3</f>
        <v>391.890864873081</v>
      </c>
      <c r="AI461" s="924">
        <f>+AI470/MACRO!AI$3</f>
        <v>309.57473457039902</v>
      </c>
      <c r="AJ461" s="924">
        <f>+AJ470/MACRO!AJ$3</f>
        <v>305.55555555555554</v>
      </c>
      <c r="AK461" s="924">
        <f>+AK470/MACRO!AK$3</f>
        <v>298.01146366427844</v>
      </c>
      <c r="AL461" s="924">
        <f>+AL470/MACRO!AL$3</f>
        <v>345.87755760926592</v>
      </c>
      <c r="AM461" s="1112">
        <f>+AM470/MACRO!AM$3</f>
        <v>282.07613854387557</v>
      </c>
      <c r="AN461" s="924">
        <f>+AN470/MACRO!AN$3</f>
        <v>276.84182706546949</v>
      </c>
      <c r="AO461" s="2165">
        <f t="shared" ref="AO461:AP461" si="2906">+AK461*(1+AO462)</f>
        <v>309.93192221084956</v>
      </c>
      <c r="AP461" s="925">
        <f t="shared" si="2906"/>
        <v>359.71265991363657</v>
      </c>
      <c r="AQ461" s="1112">
        <f>+AQ470/MACRO!AQ$3</f>
        <v>238.34188034188034</v>
      </c>
      <c r="AR461" s="925">
        <f t="shared" ref="AR461" si="2907">+AN461*(1+AR462)</f>
        <v>235.31555300564906</v>
      </c>
      <c r="AS461" s="925">
        <f t="shared" ref="AS461" si="2908">+AO461*(1+AS462)</f>
        <v>263.44213387922213</v>
      </c>
      <c r="AT461" s="925">
        <f t="shared" ref="AT461" si="2909">+AP461*(1+AT462)</f>
        <v>305.75576092659105</v>
      </c>
      <c r="AU461" s="925">
        <f t="shared" ref="AU461" si="2910">+AQ461*(1+AU462)</f>
        <v>202.59059829059828</v>
      </c>
      <c r="AV461" s="925">
        <f t="shared" ref="AV461" si="2911">+AR461*(1+AV462)</f>
        <v>200.0182200548017</v>
      </c>
      <c r="AW461" s="925">
        <f t="shared" ref="AW461" si="2912">+AS461*(1+AW462)</f>
        <v>223.9258137973388</v>
      </c>
      <c r="AX461" s="925">
        <f t="shared" ref="AX461" si="2913">+AT461*(1+AX462)</f>
        <v>259.89239678760237</v>
      </c>
      <c r="AY461" s="925"/>
      <c r="AZ461" s="925"/>
      <c r="BA461" s="72"/>
      <c r="BB461" s="925">
        <v>305.75576092659105</v>
      </c>
      <c r="BC461" s="2189"/>
      <c r="BD461" s="72"/>
      <c r="BG461" s="926">
        <f>+SUM(K461:N461)</f>
        <v>2644.8</v>
      </c>
      <c r="BH461" s="2139">
        <f>+SUM(O461:R461)-168.4</f>
        <v>2396.1999999999998</v>
      </c>
      <c r="BI461" s="2139"/>
      <c r="BJ461" s="2074">
        <f>+SUM(S461:V461)</f>
        <v>2231</v>
      </c>
      <c r="BK461" s="926">
        <f>+SUM(W461:Z461)</f>
        <v>1769.0722743739134</v>
      </c>
      <c r="BL461" s="926">
        <f>+SUM(AA461:AD461)</f>
        <v>1724.6284395077053</v>
      </c>
      <c r="BM461" s="926">
        <f>+SUM(AE461:AH461)</f>
        <v>1391.8592505189197</v>
      </c>
      <c r="BN461" s="926">
        <f>+SUM(AI461:AL461)</f>
        <v>1259.019311399499</v>
      </c>
      <c r="BO461" s="2477">
        <f>+SUM(AM461:AP461)</f>
        <v>1228.5625477338313</v>
      </c>
      <c r="BP461" s="926">
        <f>+SUM(AQ461:AT461)</f>
        <v>1042.8553281533427</v>
      </c>
      <c r="BQ461" s="926">
        <f>+SUM(AU461:AX461)</f>
        <v>886.42702893034118</v>
      </c>
      <c r="BR461" s="925">
        <f t="shared" ref="BR461" si="2914">+BQ461*(1+BR462)</f>
        <v>904.15556950894802</v>
      </c>
      <c r="BS461" s="925">
        <f t="shared" ref="BS461" si="2915">+BR461*(1+BS462)</f>
        <v>922.23868089912696</v>
      </c>
      <c r="BT461" s="925">
        <f t="shared" ref="BT461" si="2916">+BS461*(1+BT462)</f>
        <v>940.68345451710957</v>
      </c>
      <c r="BU461" s="925">
        <f t="shared" ref="BU461" si="2917">+BT461*(1+BU462)</f>
        <v>959.49712360745173</v>
      </c>
    </row>
    <row r="462" spans="1:73" s="340" customFormat="1" ht="15">
      <c r="B462" s="930" t="s">
        <v>108</v>
      </c>
      <c r="G462" s="1109"/>
      <c r="H462" s="1113"/>
      <c r="I462" s="1113"/>
      <c r="J462" s="1113"/>
      <c r="K462" s="1113">
        <f t="shared" ref="K462:Z462" si="2918">+K461/G461-1</f>
        <v>-3.8654694871404494E-2</v>
      </c>
      <c r="L462" s="1113">
        <f t="shared" si="2918"/>
        <v>-6.563065781532873E-2</v>
      </c>
      <c r="M462" s="1113">
        <f t="shared" si="2918"/>
        <v>6.0735390676296408E-3</v>
      </c>
      <c r="N462" s="1113">
        <f t="shared" si="2918"/>
        <v>2.0784313725490389E-2</v>
      </c>
      <c r="O462" s="1113">
        <f t="shared" si="2918"/>
        <v>7.6143739116669051E-2</v>
      </c>
      <c r="P462" s="1113">
        <f t="shared" si="2918"/>
        <v>-8.8809946714033527E-3</v>
      </c>
      <c r="Q462" s="1113">
        <f t="shared" si="2918"/>
        <v>-8.07635829662261E-2</v>
      </c>
      <c r="R462" s="1113">
        <f t="shared" si="2918"/>
        <v>-9.3866051991292276E-2</v>
      </c>
      <c r="S462" s="1885">
        <f t="shared" si="2918"/>
        <v>-0.15563401000294197</v>
      </c>
      <c r="T462" s="1113">
        <f t="shared" si="2918"/>
        <v>-0.13082437275985659</v>
      </c>
      <c r="U462" s="1113">
        <f t="shared" si="2918"/>
        <v>-0.10436634717784865</v>
      </c>
      <c r="V462" s="1113">
        <f t="shared" si="2918"/>
        <v>-0.12535330695308078</v>
      </c>
      <c r="W462" s="1885">
        <f t="shared" si="2918"/>
        <v>-0.17363658020862915</v>
      </c>
      <c r="X462" s="923">
        <f t="shared" si="2918"/>
        <v>-0.42573092967271253</v>
      </c>
      <c r="Y462" s="923">
        <f t="shared" si="2918"/>
        <v>-9.4866759657476707E-2</v>
      </c>
      <c r="Z462" s="923">
        <f t="shared" si="2918"/>
        <v>-0.14099710887506633</v>
      </c>
      <c r="AA462" s="923">
        <f t="shared" ref="AA462:AN462" si="2919">+AA461/W461-1</f>
        <v>-9.1543961499474968E-2</v>
      </c>
      <c r="AB462" s="923">
        <f t="shared" si="2919"/>
        <v>0.35897234396252076</v>
      </c>
      <c r="AC462" s="923">
        <f t="shared" si="2919"/>
        <v>-0.14062125953904947</v>
      </c>
      <c r="AD462" s="923">
        <f t="shared" si="2919"/>
        <v>-8.7982684545188095E-2</v>
      </c>
      <c r="AE462" s="923">
        <f t="shared" si="2919"/>
        <v>-0.18188107613495919</v>
      </c>
      <c r="AF462" s="923">
        <f t="shared" si="2919"/>
        <v>-0.19874511850361254</v>
      </c>
      <c r="AG462" s="923">
        <f t="shared" si="2919"/>
        <v>-0.20044542324306636</v>
      </c>
      <c r="AH462" s="923">
        <f t="shared" si="2919"/>
        <v>-0.19174770223565618</v>
      </c>
      <c r="AI462" s="923">
        <f t="shared" si="2919"/>
        <v>-0.12186319862631123</v>
      </c>
      <c r="AJ462" s="923">
        <f t="shared" si="2919"/>
        <v>-8.4076867961768942E-2</v>
      </c>
      <c r="AK462" s="923">
        <f t="shared" si="2919"/>
        <v>-5.0400470843978029E-2</v>
      </c>
      <c r="AL462" s="923">
        <f t="shared" si="2919"/>
        <v>-0.11741357451319279</v>
      </c>
      <c r="AM462" s="1885">
        <f t="shared" si="2919"/>
        <v>-8.8827003484905243E-2</v>
      </c>
      <c r="AN462" s="923">
        <f t="shared" si="2919"/>
        <v>-9.3972202331190746E-2</v>
      </c>
      <c r="AO462" s="2166">
        <v>0.04</v>
      </c>
      <c r="AP462" s="927">
        <v>0.04</v>
      </c>
      <c r="AQ462" s="1885">
        <f t="shared" ref="AQ462" si="2920">+AQ461/AM461-1</f>
        <v>-0.15504416087003614</v>
      </c>
      <c r="AR462" s="927">
        <v>-0.15</v>
      </c>
      <c r="AS462" s="927">
        <v>-0.15</v>
      </c>
      <c r="AT462" s="927">
        <v>-0.15</v>
      </c>
      <c r="AU462" s="927">
        <v>-0.15</v>
      </c>
      <c r="AV462" s="927">
        <v>-0.15</v>
      </c>
      <c r="AW462" s="927">
        <v>-0.15</v>
      </c>
      <c r="AX462" s="927">
        <v>-0.15</v>
      </c>
      <c r="AY462" s="927"/>
      <c r="AZ462" s="927"/>
      <c r="BA462" s="72"/>
      <c r="BB462" s="927">
        <v>-0.15</v>
      </c>
      <c r="BC462" s="2189"/>
      <c r="BD462" s="72"/>
      <c r="BH462" s="1113">
        <f t="shared" ref="BH462:BQ462" si="2921">+BH461/BG461-1</f>
        <v>-9.3995765275257215E-2</v>
      </c>
      <c r="BI462" s="1113"/>
      <c r="BJ462" s="1293">
        <f>+BJ461/BH461-1</f>
        <v>-6.894249227944238E-2</v>
      </c>
      <c r="BK462" s="923">
        <f>+BK461/BJ461-1</f>
        <v>-0.20704963049129832</v>
      </c>
      <c r="BL462" s="923">
        <f t="shared" si="2921"/>
        <v>-2.5122678993958591E-2</v>
      </c>
      <c r="BM462" s="923">
        <f t="shared" si="2921"/>
        <v>-0.19295123596812214</v>
      </c>
      <c r="BN462" s="923">
        <f t="shared" si="2921"/>
        <v>-9.5440641048938457E-2</v>
      </c>
      <c r="BO462" s="1885">
        <f t="shared" si="2921"/>
        <v>-2.4190862991460116E-2</v>
      </c>
      <c r="BP462" s="923">
        <f t="shared" si="2921"/>
        <v>-0.15115813185339111</v>
      </c>
      <c r="BQ462" s="923">
        <f t="shared" si="2921"/>
        <v>-0.15000000000000013</v>
      </c>
      <c r="BR462" s="927">
        <v>0.02</v>
      </c>
      <c r="BS462" s="927">
        <v>0.02</v>
      </c>
      <c r="BT462" s="927">
        <v>0.02</v>
      </c>
      <c r="BU462" s="927">
        <v>0.02</v>
      </c>
    </row>
    <row r="463" spans="1:73" s="340" customFormat="1" ht="15" hidden="1" customHeight="1">
      <c r="B463" s="930"/>
      <c r="G463" s="1109"/>
      <c r="H463" s="1113"/>
      <c r="I463" s="1113"/>
      <c r="J463" s="1113"/>
      <c r="K463" s="1113"/>
      <c r="L463" s="1113"/>
      <c r="M463" s="1113"/>
      <c r="N463" s="1113"/>
      <c r="O463" s="1113"/>
      <c r="P463" s="1113"/>
      <c r="Q463" s="1113"/>
      <c r="R463" s="1113"/>
      <c r="S463" s="1885"/>
      <c r="T463" s="1113"/>
      <c r="U463" s="1113"/>
      <c r="V463" s="1113"/>
      <c r="W463" s="1885"/>
      <c r="X463" s="923"/>
      <c r="Y463" s="923"/>
      <c r="Z463" s="923"/>
      <c r="AA463" s="923"/>
      <c r="AB463" s="923"/>
      <c r="AC463" s="923"/>
      <c r="AD463" s="923"/>
      <c r="AE463" s="923"/>
      <c r="AF463" s="923"/>
      <c r="AG463" s="923"/>
      <c r="AH463" s="923"/>
      <c r="AI463" s="923"/>
      <c r="AJ463" s="923"/>
      <c r="AK463" s="923"/>
      <c r="AL463" s="923"/>
      <c r="AM463" s="1885"/>
      <c r="AN463" s="923"/>
      <c r="AO463" s="1885"/>
      <c r="AP463" s="923"/>
      <c r="AQ463" s="1885"/>
      <c r="AR463" s="923"/>
      <c r="AS463" s="923"/>
      <c r="AT463" s="923"/>
      <c r="AU463" s="923"/>
      <c r="AV463" s="923"/>
      <c r="AW463" s="923"/>
      <c r="AX463" s="923"/>
      <c r="AY463" s="923"/>
      <c r="AZ463" s="923"/>
      <c r="BA463" s="72"/>
      <c r="BB463" s="923"/>
      <c r="BC463" s="2189"/>
      <c r="BD463" s="72"/>
      <c r="BH463" s="1113"/>
      <c r="BI463" s="1113"/>
      <c r="BJ463" s="1293"/>
      <c r="BK463" s="923"/>
      <c r="BL463" s="923"/>
      <c r="BM463" s="923"/>
      <c r="BN463" s="923"/>
      <c r="BO463" s="1885"/>
      <c r="BP463" s="923"/>
      <c r="BQ463" s="923"/>
      <c r="BR463" s="923"/>
      <c r="BS463" s="923"/>
      <c r="BT463" s="923"/>
      <c r="BU463" s="923"/>
    </row>
    <row r="464" spans="1:73" s="360" customFormat="1" ht="15" hidden="1" customHeight="1">
      <c r="B464" s="1104" t="s">
        <v>362</v>
      </c>
      <c r="C464" s="1105"/>
      <c r="D464" s="1105"/>
      <c r="E464" s="1105"/>
      <c r="F464" s="1105"/>
      <c r="G464" s="1114">
        <v>520.4</v>
      </c>
      <c r="H464" s="1105">
        <v>520.9</v>
      </c>
      <c r="I464" s="1105">
        <v>476.4</v>
      </c>
      <c r="J464" s="1105">
        <v>620.5</v>
      </c>
      <c r="K464" s="1105">
        <v>507.5</v>
      </c>
      <c r="L464" s="1105">
        <v>494.6</v>
      </c>
      <c r="M464" s="1105">
        <v>482.8</v>
      </c>
      <c r="N464" s="1105">
        <v>641.6</v>
      </c>
      <c r="O464" s="1105">
        <v>568.4</v>
      </c>
      <c r="P464" s="1105">
        <v>500.7</v>
      </c>
      <c r="Q464" s="1105">
        <v>442.9</v>
      </c>
      <c r="R464" s="1105">
        <v>581.79999999999995</v>
      </c>
      <c r="S464" s="1114">
        <v>458.7</v>
      </c>
      <c r="T464" s="1105">
        <v>425.1</v>
      </c>
      <c r="U464" s="648">
        <v>398.3</v>
      </c>
      <c r="V464" s="648">
        <f>1794.1-SUM(S464:U464)</f>
        <v>512</v>
      </c>
      <c r="W464" s="1888"/>
      <c r="X464" s="1106"/>
      <c r="Y464" s="1106"/>
      <c r="Z464" s="1106"/>
      <c r="AA464" s="1106"/>
      <c r="AB464" s="1106"/>
      <c r="AC464" s="1106"/>
      <c r="AD464" s="1106"/>
      <c r="AE464" s="1106"/>
      <c r="AF464" s="1106"/>
      <c r="AG464" s="1106"/>
      <c r="AH464" s="1106"/>
      <c r="AI464" s="1106"/>
      <c r="AJ464" s="1106"/>
      <c r="AK464" s="1106"/>
      <c r="AL464" s="1106"/>
      <c r="AM464" s="1888"/>
      <c r="AN464" s="1106"/>
      <c r="AO464" s="1888"/>
      <c r="AP464" s="1106"/>
      <c r="AQ464" s="1888"/>
      <c r="AR464" s="1106"/>
      <c r="AS464" s="1106"/>
      <c r="AT464" s="1106"/>
      <c r="AU464" s="1106"/>
      <c r="AV464" s="1106"/>
      <c r="AW464" s="1106"/>
      <c r="AX464" s="1106"/>
      <c r="AY464" s="1106"/>
      <c r="AZ464" s="1106"/>
      <c r="BA464" s="72"/>
      <c r="BB464" s="1106"/>
      <c r="BC464" s="2189"/>
      <c r="BD464" s="72"/>
      <c r="BH464" s="375"/>
      <c r="BI464" s="375"/>
      <c r="BJ464" s="2075"/>
      <c r="BK464" s="1106"/>
      <c r="BL464" s="1106"/>
      <c r="BM464" s="1106"/>
      <c r="BN464" s="1106"/>
      <c r="BO464" s="1888"/>
      <c r="BP464" s="1106"/>
      <c r="BQ464" s="1106"/>
      <c r="BR464" s="1106"/>
      <c r="BS464" s="1106"/>
      <c r="BT464" s="1106"/>
      <c r="BU464" s="1106"/>
    </row>
    <row r="465" spans="1:73" s="340" customFormat="1" ht="15" hidden="1" customHeight="1">
      <c r="B465" s="930" t="s">
        <v>108</v>
      </c>
      <c r="G465" s="1109"/>
      <c r="H465" s="1113"/>
      <c r="I465" s="1113"/>
      <c r="J465" s="1113"/>
      <c r="K465" s="1113">
        <f t="shared" ref="K465" si="2922">+K464/G464-1</f>
        <v>-2.478862413528049E-2</v>
      </c>
      <c r="L465" s="1113">
        <f t="shared" ref="L465" si="2923">+L464/H464-1</f>
        <v>-5.0489537339220458E-2</v>
      </c>
      <c r="M465" s="1113">
        <f t="shared" ref="M465" si="2924">+M464/I464-1</f>
        <v>1.3434089000839755E-2</v>
      </c>
      <c r="N465" s="1113">
        <f t="shared" ref="N465" si="2925">+N464/J464-1</f>
        <v>3.4004834810636542E-2</v>
      </c>
      <c r="O465" s="1113">
        <f t="shared" ref="O465" si="2926">+O464/K464-1</f>
        <v>0.11999999999999988</v>
      </c>
      <c r="P465" s="1113">
        <f t="shared" ref="P465" si="2927">+P464/L464-1</f>
        <v>1.2333198544278057E-2</v>
      </c>
      <c r="Q465" s="1113">
        <f t="shared" ref="Q465" si="2928">+Q464/M464-1</f>
        <v>-8.264291632145826E-2</v>
      </c>
      <c r="R465" s="1113">
        <f t="shared" ref="R465" si="2929">+R464/N464-1</f>
        <v>-9.3204488778054984E-2</v>
      </c>
      <c r="S465" s="1885">
        <f t="shared" ref="S465" si="2930">+S464/O464-1</f>
        <v>-0.19299788881069668</v>
      </c>
      <c r="T465" s="1113">
        <f t="shared" ref="T465" si="2931">+T464/P464-1</f>
        <v>-0.1509886159376872</v>
      </c>
      <c r="U465" s="1113">
        <f t="shared" ref="U465" si="2932">+U464/Q464-1</f>
        <v>-0.10069993226461948</v>
      </c>
      <c r="V465" s="1113">
        <f t="shared" ref="V465" si="2933">+V464/R464-1</f>
        <v>-0.11997249914059804</v>
      </c>
      <c r="W465" s="1885"/>
      <c r="X465" s="923"/>
      <c r="Y465" s="923"/>
      <c r="Z465" s="923"/>
      <c r="AA465" s="923"/>
      <c r="AB465" s="923"/>
      <c r="AC465" s="923"/>
      <c r="AD465" s="923"/>
      <c r="AE465" s="923"/>
      <c r="AF465" s="923"/>
      <c r="AG465" s="923"/>
      <c r="AH465" s="923"/>
      <c r="AI465" s="923"/>
      <c r="AJ465" s="923"/>
      <c r="AK465" s="923"/>
      <c r="AL465" s="923"/>
      <c r="AM465" s="1885"/>
      <c r="AN465" s="923"/>
      <c r="AO465" s="1885"/>
      <c r="AP465" s="923"/>
      <c r="AQ465" s="1885"/>
      <c r="AR465" s="923"/>
      <c r="AS465" s="923"/>
      <c r="AT465" s="923"/>
      <c r="AU465" s="923"/>
      <c r="AV465" s="923"/>
      <c r="AW465" s="923"/>
      <c r="AX465" s="923"/>
      <c r="AY465" s="923"/>
      <c r="AZ465" s="923"/>
      <c r="BA465" s="72"/>
      <c r="BB465" s="923"/>
      <c r="BC465" s="2189"/>
      <c r="BD465" s="72"/>
      <c r="BH465" s="1113"/>
      <c r="BI465" s="1113"/>
      <c r="BJ465" s="1293"/>
      <c r="BK465" s="923"/>
      <c r="BL465" s="923"/>
      <c r="BM465" s="923"/>
      <c r="BN465" s="923"/>
      <c r="BO465" s="1885"/>
      <c r="BP465" s="923"/>
      <c r="BQ465" s="923"/>
      <c r="BR465" s="923"/>
      <c r="BS465" s="923"/>
      <c r="BT465" s="923"/>
      <c r="BU465" s="923"/>
    </row>
    <row r="466" spans="1:73" s="360" customFormat="1" ht="15" hidden="1" customHeight="1">
      <c r="B466" s="1104" t="s">
        <v>363</v>
      </c>
      <c r="G466" s="1114">
        <v>136.69999999999999</v>
      </c>
      <c r="H466" s="1105">
        <v>141.9</v>
      </c>
      <c r="I466" s="1105">
        <v>132.80000000000001</v>
      </c>
      <c r="J466" s="1105">
        <v>144.5</v>
      </c>
      <c r="K466" s="1105">
        <v>124.2</v>
      </c>
      <c r="L466" s="1105">
        <v>124.7</v>
      </c>
      <c r="M466" s="1105">
        <v>130.1</v>
      </c>
      <c r="N466" s="1105">
        <v>139.30000000000001</v>
      </c>
      <c r="O466" s="1105">
        <v>111.4</v>
      </c>
      <c r="P466" s="1105">
        <v>113.1</v>
      </c>
      <c r="Q466" s="1105">
        <v>120.5</v>
      </c>
      <c r="R466" s="1105">
        <v>125.8</v>
      </c>
      <c r="S466" s="1114">
        <v>115.3</v>
      </c>
      <c r="T466" s="1105">
        <v>108.4</v>
      </c>
      <c r="U466" s="648">
        <v>106.3</v>
      </c>
      <c r="V466" s="648">
        <f>436.9-SUM(S466:U466)</f>
        <v>106.89999999999998</v>
      </c>
      <c r="W466" s="1888"/>
      <c r="X466" s="1106"/>
      <c r="Y466" s="1106"/>
      <c r="Z466" s="1106"/>
      <c r="AA466" s="1106"/>
      <c r="AB466" s="1106"/>
      <c r="AC466" s="1106"/>
      <c r="AD466" s="1106"/>
      <c r="AE466" s="1106"/>
      <c r="AF466" s="1106"/>
      <c r="AG466" s="1106"/>
      <c r="AH466" s="1106"/>
      <c r="AI466" s="1106"/>
      <c r="AJ466" s="1106"/>
      <c r="AK466" s="1106"/>
      <c r="AL466" s="1106"/>
      <c r="AM466" s="1888"/>
      <c r="AN466" s="1106"/>
      <c r="AO466" s="1888"/>
      <c r="AP466" s="1106"/>
      <c r="AQ466" s="1888"/>
      <c r="AR466" s="1106"/>
      <c r="AS466" s="1106"/>
      <c r="AT466" s="1106"/>
      <c r="AU466" s="1106"/>
      <c r="AV466" s="1106"/>
      <c r="AW466" s="1106"/>
      <c r="AX466" s="1106"/>
      <c r="AY466" s="1106"/>
      <c r="AZ466" s="1106"/>
      <c r="BA466" s="72"/>
      <c r="BB466" s="1106"/>
      <c r="BC466" s="2189"/>
      <c r="BD466" s="72"/>
      <c r="BH466" s="375"/>
      <c r="BI466" s="375"/>
      <c r="BJ466" s="2075"/>
      <c r="BK466" s="1106"/>
      <c r="BL466" s="1106"/>
      <c r="BM466" s="1106"/>
      <c r="BN466" s="1106"/>
      <c r="BO466" s="1888"/>
      <c r="BP466" s="1106"/>
      <c r="BQ466" s="1106"/>
      <c r="BR466" s="1106"/>
      <c r="BS466" s="1106"/>
      <c r="BT466" s="1106"/>
      <c r="BU466" s="1106"/>
    </row>
    <row r="467" spans="1:73" s="340" customFormat="1" ht="15" hidden="1" customHeight="1">
      <c r="B467" s="930"/>
      <c r="G467" s="1109"/>
      <c r="H467" s="1113"/>
      <c r="I467" s="1113"/>
      <c r="J467" s="1113"/>
      <c r="K467" s="1113">
        <f t="shared" ref="K467" si="2934">+K466/G466-1</f>
        <v>-9.1441111923920904E-2</v>
      </c>
      <c r="L467" s="1113">
        <f t="shared" ref="L467" si="2935">+L466/H466-1</f>
        <v>-0.12121212121212122</v>
      </c>
      <c r="M467" s="1113">
        <f t="shared" ref="M467" si="2936">+M466/I466-1</f>
        <v>-2.0331325301204961E-2</v>
      </c>
      <c r="N467" s="1113">
        <f t="shared" ref="N467" si="2937">+N466/J466-1</f>
        <v>-3.5986159169550058E-2</v>
      </c>
      <c r="O467" s="1113">
        <f t="shared" ref="O467" si="2938">+O466/K466-1</f>
        <v>-0.1030595813204509</v>
      </c>
      <c r="P467" s="1113">
        <f t="shared" ref="P467" si="2939">+P466/L466-1</f>
        <v>-9.3023255813953543E-2</v>
      </c>
      <c r="Q467" s="1113">
        <f t="shared" ref="Q467" si="2940">+Q466/M466-1</f>
        <v>-7.3789392774788576E-2</v>
      </c>
      <c r="R467" s="1113">
        <f t="shared" ref="R467" si="2941">+R466/N466-1</f>
        <v>-9.6913137114142178E-2</v>
      </c>
      <c r="S467" s="1885">
        <f t="shared" ref="S467" si="2942">+S466/O466-1</f>
        <v>3.5008976660682256E-2</v>
      </c>
      <c r="T467" s="1113">
        <f t="shared" ref="T467" si="2943">+T466/P466-1</f>
        <v>-4.155614500442073E-2</v>
      </c>
      <c r="U467" s="1113">
        <f t="shared" ref="U467" si="2944">+U466/Q466-1</f>
        <v>-0.11784232365145231</v>
      </c>
      <c r="V467" s="1113">
        <f t="shared" ref="V467" si="2945">+V466/R466-1</f>
        <v>-0.15023847376788568</v>
      </c>
      <c r="W467" s="1885"/>
      <c r="X467" s="923"/>
      <c r="Y467" s="923"/>
      <c r="Z467" s="923"/>
      <c r="AA467" s="923"/>
      <c r="AB467" s="923"/>
      <c r="AC467" s="923"/>
      <c r="AD467" s="923"/>
      <c r="AE467" s="923"/>
      <c r="AF467" s="923"/>
      <c r="AG467" s="923"/>
      <c r="AH467" s="923"/>
      <c r="AI467" s="923"/>
      <c r="AJ467" s="923"/>
      <c r="AK467" s="923"/>
      <c r="AL467" s="923"/>
      <c r="AM467" s="1885"/>
      <c r="AN467" s="923"/>
      <c r="AO467" s="1885"/>
      <c r="AP467" s="923"/>
      <c r="AQ467" s="1885"/>
      <c r="AR467" s="923"/>
      <c r="AS467" s="923"/>
      <c r="AT467" s="923"/>
      <c r="AU467" s="923"/>
      <c r="AV467" s="923"/>
      <c r="AW467" s="923"/>
      <c r="AX467" s="923"/>
      <c r="AY467" s="923"/>
      <c r="AZ467" s="923"/>
      <c r="BA467" s="72"/>
      <c r="BB467" s="923"/>
      <c r="BC467" s="2189"/>
      <c r="BD467" s="72"/>
      <c r="BH467" s="1113"/>
      <c r="BI467" s="1113"/>
      <c r="BJ467" s="1293"/>
      <c r="BK467" s="923"/>
      <c r="BL467" s="923"/>
      <c r="BM467" s="923"/>
      <c r="BN467" s="923"/>
      <c r="BO467" s="1885"/>
      <c r="BP467" s="923"/>
      <c r="BQ467" s="923"/>
      <c r="BR467" s="923"/>
      <c r="BS467" s="923"/>
      <c r="BT467" s="923"/>
      <c r="BU467" s="923"/>
    </row>
    <row r="468" spans="1:73" s="340" customFormat="1" ht="15">
      <c r="B468" s="922"/>
      <c r="G468" s="1109"/>
      <c r="S468" s="1109"/>
      <c r="W468" s="1885"/>
      <c r="AM468" s="1109"/>
      <c r="AO468" s="1109"/>
      <c r="AQ468" s="1109"/>
      <c r="BA468" s="72"/>
      <c r="BC468" s="2189"/>
      <c r="BD468" s="72"/>
      <c r="BJ468" s="2072"/>
      <c r="BO468" s="1109"/>
    </row>
    <row r="469" spans="1:73" s="340" customFormat="1" ht="15.75" thickBot="1">
      <c r="B469" s="922" t="s">
        <v>364</v>
      </c>
      <c r="G469" s="1115"/>
      <c r="H469" s="1116"/>
      <c r="I469" s="1116"/>
      <c r="J469" s="1116"/>
      <c r="K469" s="1116"/>
      <c r="L469" s="1116"/>
      <c r="M469" s="1116"/>
      <c r="N469" s="1116"/>
      <c r="O469" s="1116"/>
      <c r="P469" s="1116"/>
      <c r="Q469" s="1116"/>
      <c r="R469" s="1116"/>
      <c r="S469" s="2685" t="s">
        <v>300</v>
      </c>
      <c r="T469" s="2686"/>
      <c r="U469" s="2686"/>
      <c r="V469" s="2687"/>
      <c r="W469" s="1173"/>
      <c r="X469" s="1174"/>
      <c r="Y469" s="1107"/>
      <c r="Z469" s="1107"/>
      <c r="AA469" s="1107"/>
      <c r="AB469" s="1107"/>
      <c r="AC469" s="1107"/>
      <c r="AD469" s="1107"/>
      <c r="AE469" s="1107"/>
      <c r="AF469" s="1107"/>
      <c r="AG469" s="1107"/>
      <c r="AH469" s="1107"/>
      <c r="AI469" s="1107"/>
      <c r="AJ469" s="1107"/>
      <c r="AK469" s="1107"/>
      <c r="AL469" s="1107"/>
      <c r="AM469" s="2381"/>
      <c r="AN469" s="1107"/>
      <c r="AO469" s="1109"/>
      <c r="AQ469" s="2381"/>
      <c r="BA469" s="72"/>
      <c r="BC469" s="2189"/>
      <c r="BD469" s="72"/>
      <c r="BJ469" s="2072" t="s">
        <v>300</v>
      </c>
      <c r="BO469" s="1109"/>
    </row>
    <row r="470" spans="1:73" s="1306" customFormat="1" ht="15.75" thickBot="1">
      <c r="A470" s="1304"/>
      <c r="B470" s="1305" t="s">
        <v>104</v>
      </c>
      <c r="G470" s="1307"/>
      <c r="H470" s="1307"/>
      <c r="I470" s="1307"/>
      <c r="J470" s="1307"/>
      <c r="K470" s="1307"/>
      <c r="L470" s="1307"/>
      <c r="M470" s="1307"/>
      <c r="N470" s="1307"/>
      <c r="O470" s="1307"/>
      <c r="P470" s="1307"/>
      <c r="Q470" s="1307"/>
      <c r="R470" s="1307"/>
      <c r="S470" s="1045">
        <v>2172.6999999999998</v>
      </c>
      <c r="T470" s="1308">
        <v>2105.9</v>
      </c>
      <c r="U470" s="1308">
        <v>2006.3</v>
      </c>
      <c r="V470" s="1788">
        <v>2558.8000000000002</v>
      </c>
      <c r="W470" s="1889">
        <v>2121.5</v>
      </c>
      <c r="X470" s="1308">
        <v>1650</v>
      </c>
      <c r="Y470" s="1308">
        <v>2457.3000000000002</v>
      </c>
      <c r="Z470" s="1308">
        <v>2868.5</v>
      </c>
      <c r="AA470" s="1308">
        <v>2363.5</v>
      </c>
      <c r="AB470" s="1308">
        <v>2204</v>
      </c>
      <c r="AC470" s="1308">
        <v>2053.6999999999998</v>
      </c>
      <c r="AD470" s="1308">
        <v>2708.1</v>
      </c>
      <c r="AE470" s="1308">
        <v>1842</v>
      </c>
      <c r="AF470" s="1308">
        <v>1643.8</v>
      </c>
      <c r="AG470" s="1308">
        <v>1647.6</v>
      </c>
      <c r="AH470" s="1308">
        <v>2062.6</v>
      </c>
      <c r="AI470" s="1308">
        <v>1606.6</v>
      </c>
      <c r="AJ470" s="1308">
        <v>1510.3</v>
      </c>
      <c r="AK470" s="1308">
        <v>1455.7860000000001</v>
      </c>
      <c r="AL470" s="1308">
        <v>1714.1</v>
      </c>
      <c r="AM470" s="1889">
        <v>1396.7</v>
      </c>
      <c r="AN470" s="1308">
        <v>1426.8427766954296</v>
      </c>
      <c r="AO470" s="2167">
        <f>+AO461*MACRO!AO$3</f>
        <v>1718.9754201580347</v>
      </c>
      <c r="AP470" s="1309">
        <f>+AP461*MACRO!AP$3</f>
        <v>2098.8873993300781</v>
      </c>
      <c r="AQ470" s="1889">
        <v>1394.3</v>
      </c>
      <c r="AR470" s="1309">
        <f>+AR461*MACRO!AR$3</f>
        <v>1329.5328744819174</v>
      </c>
      <c r="AS470" s="1309">
        <f>+AS461*MACRO!AS$3</f>
        <v>1435.5752201480452</v>
      </c>
      <c r="AT470" s="1309">
        <f>+AT461*MACRO!AT$3</f>
        <v>1650.2249928729971</v>
      </c>
      <c r="AU470" s="1309">
        <f>+AU461*MACRO!AU$3</f>
        <v>1073.7301709401709</v>
      </c>
      <c r="AV470" s="1309">
        <f>+AV461*MACRO!AV$3</f>
        <v>1061.4413350542941</v>
      </c>
      <c r="AW470" s="1309">
        <f>+AW461*MACRO!AW$3</f>
        <v>1190.4347844692345</v>
      </c>
      <c r="AX470" s="1309">
        <f>+AX461*MACRO!AX$3</f>
        <v>1386.8747287629153</v>
      </c>
      <c r="AY470" s="2646"/>
      <c r="AZ470" s="2646"/>
      <c r="BA470" s="1678"/>
      <c r="BB470" s="1309">
        <v>1650.2249928729971</v>
      </c>
      <c r="BC470" s="2211">
        <f>+AT470/BB470-1</f>
        <v>0</v>
      </c>
      <c r="BD470" s="1678"/>
      <c r="BH470" s="1047"/>
      <c r="BI470" s="2139"/>
      <c r="BJ470" s="2074">
        <f>+SUM(S470:V470)</f>
        <v>8843.7000000000007</v>
      </c>
      <c r="BK470" s="1044">
        <f>+SUM(W470:Z470)</f>
        <v>9097.2999999999993</v>
      </c>
      <c r="BL470" s="1044">
        <f>+SUM(AA470:AD470)</f>
        <v>9329.2999999999993</v>
      </c>
      <c r="BM470" s="1044">
        <f>+SUM(AE470:AH470)</f>
        <v>7196</v>
      </c>
      <c r="BN470" s="1044">
        <f>+SUM(AI470:AL470)</f>
        <v>6286.7860000000001</v>
      </c>
      <c r="BO470" s="2478">
        <f>+SUM(AM470:AP470)</f>
        <v>6641.405596183542</v>
      </c>
      <c r="BP470" s="1044">
        <f>+SUM(AQ470:AT470)</f>
        <v>5809.6330875029598</v>
      </c>
      <c r="BQ470" s="1044">
        <f>+SUM(AU470:AX470)</f>
        <v>4712.4810192266141</v>
      </c>
      <c r="BR470" s="1309">
        <f>+BR461*MACRO!BP$3</f>
        <v>4882.9575857226046</v>
      </c>
      <c r="BS470" s="1309">
        <f>+BS461*MACRO!BQ$3</f>
        <v>5061.4977564508281</v>
      </c>
      <c r="BT470" s="1309">
        <f>+BT461*MACRO!BR$3</f>
        <v>5240.1686272535435</v>
      </c>
      <c r="BU470" s="1309">
        <f>+BU461*MACRO!BS$3</f>
        <v>5425.1465797955934</v>
      </c>
    </row>
    <row r="471" spans="1:73" s="923" customFormat="1" ht="15">
      <c r="B471" s="1197" t="s">
        <v>108</v>
      </c>
      <c r="S471" s="1198"/>
      <c r="T471" s="1113"/>
      <c r="U471" s="1113"/>
      <c r="V471" s="1113"/>
      <c r="W471" s="1885">
        <f t="shared" ref="W471:X471" si="2946">+W470/S470-1</f>
        <v>-2.3565149353339088E-2</v>
      </c>
      <c r="X471" s="1113">
        <f t="shared" si="2946"/>
        <v>-0.21648701267866477</v>
      </c>
      <c r="Y471" s="1113">
        <f t="shared" ref="Y471" si="2947">+Y470/U470-1</f>
        <v>0.22479190549768235</v>
      </c>
      <c r="Z471" s="1113">
        <f t="shared" ref="Z471" si="2948">+Z470/V470-1</f>
        <v>0.12103329685790198</v>
      </c>
      <c r="AA471" s="1113">
        <f t="shared" ref="AA471" si="2949">+AA470/W470-1</f>
        <v>0.11407023332547728</v>
      </c>
      <c r="AB471" s="1113">
        <f t="shared" ref="AB471" si="2950">+AB470/X470-1</f>
        <v>0.3357575757575757</v>
      </c>
      <c r="AC471" s="1113">
        <f t="shared" ref="AC471" si="2951">+AC470/Y470-1</f>
        <v>-0.16424530989297215</v>
      </c>
      <c r="AD471" s="1113">
        <f t="shared" ref="AD471" si="2952">+AD470/Z470-1</f>
        <v>-5.5917727035035725E-2</v>
      </c>
      <c r="AE471" s="1113">
        <f t="shared" ref="AE471" si="2953">+AE470/AA470-1</f>
        <v>-0.22064734503913686</v>
      </c>
      <c r="AF471" s="1113">
        <f t="shared" ref="AF471" si="2954">+AF470/AB470-1</f>
        <v>-0.25417422867513617</v>
      </c>
      <c r="AG471" s="1113">
        <f t="shared" ref="AG471" si="2955">+AG470/AC470-1</f>
        <v>-0.19774066319326089</v>
      </c>
      <c r="AH471" s="1113">
        <f t="shared" ref="AH471" si="2956">+AH470/AD470-1</f>
        <v>-0.2383589970828256</v>
      </c>
      <c r="AI471" s="1113">
        <f t="shared" ref="AI471" si="2957">+AI470/AE470-1</f>
        <v>-0.12779587404994575</v>
      </c>
      <c r="AJ471" s="1113">
        <f t="shared" ref="AJ471" si="2958">+AJ470/AF470-1</f>
        <v>-8.121425964229223E-2</v>
      </c>
      <c r="AK471" s="1113">
        <f t="shared" ref="AK471" si="2959">+AK470/AG470-1</f>
        <v>-0.11642024763292058</v>
      </c>
      <c r="AL471" s="1113">
        <f t="shared" ref="AL471" si="2960">+AL470/AH470-1</f>
        <v>-0.16896150489673234</v>
      </c>
      <c r="AM471" s="1885">
        <f t="shared" ref="AM471" si="2961">+AM470/AI470-1</f>
        <v>-0.13064857462965263</v>
      </c>
      <c r="AN471" s="1113">
        <f t="shared" ref="AN471" si="2962">+AN470/AJ470-1</f>
        <v>-5.525870575684988E-2</v>
      </c>
      <c r="AO471" s="1885">
        <f t="shared" ref="AO471" si="2963">+AO470/AK470-1</f>
        <v>0.18078853633572156</v>
      </c>
      <c r="AP471" s="923">
        <f t="shared" ref="AP471" si="2964">+AP470/AL470-1</f>
        <v>0.22448363533637372</v>
      </c>
      <c r="AQ471" s="1885">
        <f t="shared" ref="AQ471" si="2965">+AQ470/AM470-1</f>
        <v>-1.7183360778979528E-3</v>
      </c>
      <c r="AR471" s="923">
        <f t="shared" ref="AR471" si="2966">+AR470/AN470-1</f>
        <v>-6.8199456732634611E-2</v>
      </c>
      <c r="AS471" s="923">
        <f t="shared" ref="AS471" si="2967">+AS470/AO470-1</f>
        <v>-0.16486576636676686</v>
      </c>
      <c r="AT471" s="923">
        <f t="shared" ref="AT471" si="2968">+AT470/AP470-1</f>
        <v>-0.2137620182008263</v>
      </c>
      <c r="AU471" s="923">
        <f t="shared" ref="AU471" si="2969">+AU470/AQ470-1</f>
        <v>-0.22991452991452999</v>
      </c>
      <c r="AV471" s="923">
        <f t="shared" ref="AV471" si="2970">+AV470/AR470-1</f>
        <v>-0.20164340767586597</v>
      </c>
      <c r="AW471" s="923">
        <f t="shared" ref="AW471" si="2971">+AW470/AS470-1</f>
        <v>-0.17076112225838669</v>
      </c>
      <c r="AX471" s="923">
        <f t="shared" ref="AX471" si="2972">+AX470/AT470-1</f>
        <v>-0.15958445984483371</v>
      </c>
      <c r="BA471" s="984"/>
      <c r="BB471" s="923">
        <v>-0.2137620182008263</v>
      </c>
      <c r="BC471" s="2208"/>
      <c r="BD471" s="984"/>
      <c r="BH471" s="1113"/>
      <c r="BI471" s="1113"/>
      <c r="BJ471" s="1293"/>
      <c r="BL471" s="923">
        <f t="shared" ref="BL471:BQ471" si="2973">+BL470/BK470-1</f>
        <v>2.5502072043353419E-2</v>
      </c>
      <c r="BM471" s="923">
        <f t="shared" si="2973"/>
        <v>-0.22866667381261185</v>
      </c>
      <c r="BN471" s="923">
        <f t="shared" si="2973"/>
        <v>-0.12634991662034467</v>
      </c>
      <c r="BO471" s="1885">
        <f t="shared" si="2973"/>
        <v>5.6407136521513745E-2</v>
      </c>
      <c r="BP471" s="923">
        <f t="shared" si="2973"/>
        <v>-0.12524043241065674</v>
      </c>
      <c r="BQ471" s="923">
        <f t="shared" si="2973"/>
        <v>-0.18885049223442663</v>
      </c>
      <c r="BR471" s="923">
        <f t="shared" ref="BR471" si="2974">+BR470/BQ470-1</f>
        <v>3.6175544432000217E-2</v>
      </c>
      <c r="BS471" s="923">
        <f t="shared" ref="BS471" si="2975">+BS470/BR470-1</f>
        <v>3.6563940520446314E-2</v>
      </c>
      <c r="BT471" s="923">
        <f t="shared" ref="BT471" si="2976">+BT470/BS470-1</f>
        <v>3.5300000000000331E-2</v>
      </c>
      <c r="BU471" s="923">
        <f t="shared" ref="BU471" si="2977">+BU470/BT470-1</f>
        <v>3.5299999999999887E-2</v>
      </c>
    </row>
    <row r="472" spans="1:73" s="928" customFormat="1" ht="15">
      <c r="B472" s="930"/>
      <c r="S472" s="1046"/>
      <c r="T472" s="1047"/>
      <c r="U472" s="1047"/>
      <c r="V472" s="1047"/>
      <c r="W472" s="1046"/>
      <c r="X472" s="1047"/>
      <c r="Y472" s="1047"/>
      <c r="Z472" s="1047"/>
      <c r="AA472" s="1047"/>
      <c r="AB472" s="1047"/>
      <c r="AC472" s="1047"/>
      <c r="AD472" s="1047"/>
      <c r="AE472" s="1047"/>
      <c r="AF472" s="1047"/>
      <c r="AG472" s="1047"/>
      <c r="AH472" s="1047"/>
      <c r="AI472" s="1047"/>
      <c r="AJ472" s="1047"/>
      <c r="AK472" s="1047"/>
      <c r="AL472" s="1047"/>
      <c r="AM472" s="1046"/>
      <c r="AN472" s="1047"/>
      <c r="AO472" s="1046"/>
      <c r="AQ472" s="1046"/>
      <c r="BA472" s="1678"/>
      <c r="BC472" s="2207"/>
      <c r="BD472" s="1678"/>
      <c r="BH472" s="1047"/>
      <c r="BI472" s="1047"/>
      <c r="BJ472" s="1294"/>
      <c r="BK472" s="923">
        <f>0.4*BL472+15%</f>
        <v>0.24291067258232374</v>
      </c>
      <c r="BL472" s="923">
        <f>+BL470/BL57</f>
        <v>0.23227668145580935</v>
      </c>
      <c r="BO472" s="1046"/>
    </row>
    <row r="473" spans="1:73" s="341" customFormat="1" ht="15" customHeight="1">
      <c r="B473" s="341" t="s">
        <v>15</v>
      </c>
      <c r="C473" s="823" t="e">
        <f>+#REF!+#REF!</f>
        <v>#REF!</v>
      </c>
      <c r="D473" s="823" t="e">
        <f>+#REF!+#REF!</f>
        <v>#REF!</v>
      </c>
      <c r="E473" s="823" t="e">
        <f>+#REF!+#REF!</f>
        <v>#REF!</v>
      </c>
      <c r="F473" s="823" t="e">
        <f>+#REF!+#REF!</f>
        <v>#REF!</v>
      </c>
      <c r="G473" s="823"/>
      <c r="H473" s="823"/>
      <c r="I473" s="823"/>
      <c r="J473" s="823"/>
      <c r="K473" s="823"/>
      <c r="L473" s="823"/>
      <c r="M473" s="823"/>
      <c r="N473" s="823"/>
      <c r="O473" s="823"/>
      <c r="P473" s="823"/>
      <c r="Q473" s="823"/>
      <c r="R473" s="823"/>
      <c r="S473" s="1048">
        <f>2593.9-T473</f>
        <v>1304.4000000000001</v>
      </c>
      <c r="T473" s="823">
        <v>1289.5</v>
      </c>
      <c r="U473" s="823">
        <v>1174.9000000000001</v>
      </c>
      <c r="V473" s="823">
        <v>1482.8</v>
      </c>
      <c r="W473" s="1048">
        <v>1194.3</v>
      </c>
      <c r="X473" s="823">
        <v>1017.5</v>
      </c>
      <c r="Y473" s="823">
        <v>1479.2</v>
      </c>
      <c r="Z473" s="823">
        <v>1584.5</v>
      </c>
      <c r="AA473" s="823">
        <v>1417.3</v>
      </c>
      <c r="AB473" s="823">
        <v>1361.7</v>
      </c>
      <c r="AC473" s="823">
        <v>1259.5</v>
      </c>
      <c r="AD473" s="823">
        <v>1592.6</v>
      </c>
      <c r="AE473" s="823">
        <v>1097.4000000000001</v>
      </c>
      <c r="AF473" s="823">
        <v>965.5</v>
      </c>
      <c r="AG473" s="823">
        <v>982</v>
      </c>
      <c r="AH473" s="823">
        <v>1260.4000000000001</v>
      </c>
      <c r="AI473" s="823">
        <v>1035.3999999999999</v>
      </c>
      <c r="AJ473" s="823">
        <v>956.7</v>
      </c>
      <c r="AK473" s="823">
        <v>938.33199999999999</v>
      </c>
      <c r="AL473" s="823">
        <v>1069</v>
      </c>
      <c r="AM473" s="1048">
        <v>876.9</v>
      </c>
      <c r="AN473" s="823">
        <v>871.46325608632492</v>
      </c>
      <c r="AO473" s="2168">
        <f>+AO475*AO$470</f>
        <v>1073.5921604738094</v>
      </c>
      <c r="AP473" s="480">
        <f>+AP475*AP$470</f>
        <v>1329.9618801678844</v>
      </c>
      <c r="AQ473" s="1048">
        <v>880.3</v>
      </c>
      <c r="AR473" s="480">
        <f t="shared" ref="AR473:AT473" si="2978">+AR475*AR$470</f>
        <v>825.32526420360387</v>
      </c>
      <c r="AS473" s="480">
        <f t="shared" si="2978"/>
        <v>896.59356617194192</v>
      </c>
      <c r="AT473" s="480">
        <f t="shared" si="2978"/>
        <v>1045.666544533032</v>
      </c>
      <c r="AU473" s="480">
        <f t="shared" ref="AU473:AX473" si="2979">+AU475*AU$470</f>
        <v>677.90623931623929</v>
      </c>
      <c r="AV473" s="480">
        <f t="shared" si="2979"/>
        <v>658.90386548860477</v>
      </c>
      <c r="AW473" s="480">
        <f t="shared" si="2979"/>
        <v>743.49024260277201</v>
      </c>
      <c r="AX473" s="480">
        <f t="shared" si="2979"/>
        <v>878.79441384591428</v>
      </c>
      <c r="AY473" s="480"/>
      <c r="AZ473" s="480"/>
      <c r="BA473" s="85"/>
      <c r="BB473" s="480">
        <v>1045.666544533032</v>
      </c>
      <c r="BC473" s="2197">
        <f>+AT473/BB473-1</f>
        <v>0</v>
      </c>
      <c r="BD473" s="85"/>
      <c r="BE473" s="532"/>
      <c r="BF473" s="532"/>
      <c r="BG473" s="532"/>
      <c r="BH473" s="532"/>
      <c r="BI473" s="532"/>
      <c r="BJ473" s="1295">
        <f>+SUM(S473:V473)</f>
        <v>5251.6</v>
      </c>
      <c r="BK473" s="532">
        <f>+SUM(W473:Z473)</f>
        <v>5275.5</v>
      </c>
      <c r="BL473" s="532">
        <f>+SUM(AA473:AD473)</f>
        <v>5631.1</v>
      </c>
      <c r="BM473" s="532">
        <f>+SUM(AE473:AH473)</f>
        <v>4305.3</v>
      </c>
      <c r="BN473" s="532">
        <f>+SUM(AI473:AL473)</f>
        <v>3999.4319999999998</v>
      </c>
      <c r="BO473" s="2479">
        <f>+SUM(AM473:AP473)</f>
        <v>4151.9172967280183</v>
      </c>
      <c r="BP473" s="532">
        <f>+SUM(AQ473:AT473)</f>
        <v>3647.8853749085774</v>
      </c>
      <c r="BQ473" s="532">
        <f>+SUM(AU473:AX473)</f>
        <v>2959.0947612535301</v>
      </c>
      <c r="BR473" s="480">
        <f>+BR475*BR$470</f>
        <v>3066.1416252677564</v>
      </c>
      <c r="BS473" s="480">
        <f t="shared" ref="BS473:BU473" si="2980">+BS475*BS$470</f>
        <v>3178.251845281311</v>
      </c>
      <c r="BT473" s="480">
        <f t="shared" si="2980"/>
        <v>3290.444135419742</v>
      </c>
      <c r="BU473" s="480">
        <f t="shared" si="2980"/>
        <v>3406.5968134000591</v>
      </c>
    </row>
    <row r="474" spans="1:73" s="340" customFormat="1" ht="15" customHeight="1">
      <c r="B474" s="340" t="s">
        <v>316</v>
      </c>
      <c r="C474" s="479"/>
      <c r="D474" s="479"/>
      <c r="E474" s="479"/>
      <c r="F474" s="479"/>
      <c r="G474" s="479"/>
      <c r="H474" s="479"/>
      <c r="I474" s="479"/>
      <c r="J474" s="479"/>
      <c r="K474" s="479"/>
      <c r="L474" s="479"/>
      <c r="M474" s="479"/>
      <c r="N474" s="479"/>
      <c r="O474" s="479"/>
      <c r="P474" s="479"/>
      <c r="Q474" s="479"/>
      <c r="R474" s="479"/>
      <c r="S474" s="1049"/>
      <c r="T474" s="479"/>
      <c r="U474" s="479"/>
      <c r="V474" s="479"/>
      <c r="W474" s="1049">
        <f t="shared" ref="W474:Z474" si="2981">+W473/S473-1</f>
        <v>-8.4406623735050701E-2</v>
      </c>
      <c r="X474" s="479">
        <f t="shared" si="2981"/>
        <v>-0.2109344707250872</v>
      </c>
      <c r="Y474" s="479">
        <f t="shared" si="2981"/>
        <v>0.25900076602264011</v>
      </c>
      <c r="Z474" s="479">
        <f t="shared" si="2981"/>
        <v>6.8586458052333432E-2</v>
      </c>
      <c r="AA474" s="479">
        <f>+AA473/W473-1</f>
        <v>0.18672025454240981</v>
      </c>
      <c r="AB474" s="479">
        <f>+AB473/X473-1</f>
        <v>0.33828009828009842</v>
      </c>
      <c r="AC474" s="479">
        <f>+AC473/Y473-1</f>
        <v>-0.14852623039480806</v>
      </c>
      <c r="AD474" s="479">
        <f>+AD473/Z473-1</f>
        <v>5.1120227201009172E-3</v>
      </c>
      <c r="AE474" s="479">
        <f>+AE473/AA473-1</f>
        <v>-0.22571085867494523</v>
      </c>
      <c r="AF474" s="479">
        <f t="shared" ref="AF474:AH474" si="2982">+AF473/AB473-1</f>
        <v>-0.29095982962473377</v>
      </c>
      <c r="AG474" s="479">
        <f t="shared" si="2982"/>
        <v>-0.22032552600238187</v>
      </c>
      <c r="AH474" s="479">
        <f t="shared" si="2982"/>
        <v>-0.20858972748963944</v>
      </c>
      <c r="AI474" s="479">
        <f t="shared" ref="AI474:AJ474" si="2983">+AI473/AE473-1</f>
        <v>-5.6497175141243194E-2</v>
      </c>
      <c r="AJ474" s="479">
        <f t="shared" si="2983"/>
        <v>-9.1144484722941455E-3</v>
      </c>
      <c r="AK474" s="479">
        <f t="shared" ref="AK474:AN474" si="2984">+AK473/AG473-1</f>
        <v>-4.4468431771894079E-2</v>
      </c>
      <c r="AL474" s="479">
        <f t="shared" si="2984"/>
        <v>-0.15185655347508731</v>
      </c>
      <c r="AM474" s="1049">
        <f t="shared" si="2984"/>
        <v>-0.15308093490438468</v>
      </c>
      <c r="AN474" s="479">
        <f t="shared" si="2984"/>
        <v>-8.9094537382329975E-2</v>
      </c>
      <c r="AO474" s="2169">
        <f t="shared" ref="AO474" si="2985">+AO473/AK473-1</f>
        <v>0.14414957656118443</v>
      </c>
      <c r="AP474" s="486">
        <f t="shared" ref="AP474:AQ474" si="2986">+AP473/AL473-1</f>
        <v>0.2441177550681799</v>
      </c>
      <c r="AQ474" s="1049">
        <f t="shared" si="2986"/>
        <v>3.8772950165355535E-3</v>
      </c>
      <c r="AR474" s="486">
        <f t="shared" ref="AR474" si="2987">+AR473/AN473-1</f>
        <v>-5.2943129340786266E-2</v>
      </c>
      <c r="AS474" s="486">
        <f t="shared" ref="AS474" si="2988">+AS473/AO473-1</f>
        <v>-0.16486576636676675</v>
      </c>
      <c r="AT474" s="486">
        <f t="shared" ref="AT474" si="2989">+AT473/AP473-1</f>
        <v>-0.21376201820082619</v>
      </c>
      <c r="AU474" s="486">
        <f t="shared" ref="AU474" si="2990">+AU473/AQ473-1</f>
        <v>-0.22991452991452987</v>
      </c>
      <c r="AV474" s="486">
        <f t="shared" ref="AV474" si="2991">+AV473/AR473-1</f>
        <v>-0.20164340767586597</v>
      </c>
      <c r="AW474" s="486">
        <f t="shared" ref="AW474" si="2992">+AW473/AS473-1</f>
        <v>-0.17076112225838669</v>
      </c>
      <c r="AX474" s="486">
        <f t="shared" ref="AX474" si="2993">+AX473/AT473-1</f>
        <v>-0.15958445984483383</v>
      </c>
      <c r="AY474" s="486"/>
      <c r="AZ474" s="486"/>
      <c r="BA474" s="72"/>
      <c r="BB474" s="486">
        <v>-0.21376201820082619</v>
      </c>
      <c r="BC474" s="2189"/>
      <c r="BD474" s="72"/>
      <c r="BE474" s="343"/>
      <c r="BF474" s="479"/>
      <c r="BG474" s="479"/>
      <c r="BH474" s="479"/>
      <c r="BI474" s="479"/>
      <c r="BJ474" s="1296"/>
      <c r="BK474" s="479"/>
      <c r="BL474" s="479">
        <f t="shared" ref="BL474:BR474" si="2994">+BL473/BK473-1</f>
        <v>6.7405933086911229E-2</v>
      </c>
      <c r="BM474" s="479">
        <f t="shared" si="2994"/>
        <v>-0.23544245351707482</v>
      </c>
      <c r="BN474" s="479">
        <f t="shared" si="2994"/>
        <v>-7.1044526513831863E-2</v>
      </c>
      <c r="BO474" s="1049">
        <f t="shared" si="2994"/>
        <v>3.8126738178825947E-2</v>
      </c>
      <c r="BP474" s="479">
        <f t="shared" si="2994"/>
        <v>-0.12139738963891478</v>
      </c>
      <c r="BQ474" s="479">
        <f t="shared" si="2994"/>
        <v>-0.18881914941538136</v>
      </c>
      <c r="BR474" s="479">
        <f t="shared" si="2994"/>
        <v>3.6175544432000217E-2</v>
      </c>
      <c r="BS474" s="479">
        <f t="shared" ref="BS474" si="2995">+BS473/BR473-1</f>
        <v>3.6563940520446314E-2</v>
      </c>
      <c r="BT474" s="479">
        <f t="shared" ref="BT474" si="2996">+BT473/BS473-1</f>
        <v>3.5300000000000109E-2</v>
      </c>
      <c r="BU474" s="479">
        <f t="shared" ref="BU474" si="2997">+BU473/BT473-1</f>
        <v>3.5300000000000109E-2</v>
      </c>
    </row>
    <row r="475" spans="1:73" s="1202" customFormat="1" ht="15" customHeight="1">
      <c r="B475" s="1202" t="s">
        <v>317</v>
      </c>
      <c r="C475" s="482" t="e">
        <f>+C473/C$285</f>
        <v>#REF!</v>
      </c>
      <c r="D475" s="482" t="e">
        <f>+D473/D$285</f>
        <v>#REF!</v>
      </c>
      <c r="E475" s="482" t="e">
        <f>+E473/E$285</f>
        <v>#REF!</v>
      </c>
      <c r="F475" s="482" t="e">
        <f>+F473/F$285</f>
        <v>#REF!</v>
      </c>
      <c r="G475" s="482"/>
      <c r="H475" s="482"/>
      <c r="I475" s="482"/>
      <c r="J475" s="482"/>
      <c r="K475" s="482"/>
      <c r="L475" s="482"/>
      <c r="M475" s="482"/>
      <c r="N475" s="482"/>
      <c r="O475" s="482"/>
      <c r="P475" s="482"/>
      <c r="Q475" s="482"/>
      <c r="R475" s="482"/>
      <c r="S475" s="1050">
        <f t="shared" ref="S475:AA475" si="2998">+S473/S$470</f>
        <v>0.60035900032217981</v>
      </c>
      <c r="T475" s="482">
        <f t="shared" si="2998"/>
        <v>0.61232727100052231</v>
      </c>
      <c r="U475" s="482">
        <f t="shared" si="2998"/>
        <v>0.58560534316901769</v>
      </c>
      <c r="V475" s="482">
        <f t="shared" si="2998"/>
        <v>0.57949038611849302</v>
      </c>
      <c r="W475" s="1050">
        <f t="shared" si="2998"/>
        <v>0.56295074239924581</v>
      </c>
      <c r="X475" s="482">
        <f t="shared" si="2998"/>
        <v>0.6166666666666667</v>
      </c>
      <c r="Y475" s="482">
        <f t="shared" si="2998"/>
        <v>0.60196150246205182</v>
      </c>
      <c r="Z475" s="482">
        <f t="shared" si="2998"/>
        <v>0.5523792923130556</v>
      </c>
      <c r="AA475" s="482">
        <f t="shared" si="2998"/>
        <v>0.59966151893378461</v>
      </c>
      <c r="AB475" s="482">
        <f t="shared" ref="AB475:AD475" si="2999">+AB473/AB$470</f>
        <v>0.61783121597096191</v>
      </c>
      <c r="AC475" s="482">
        <f t="shared" si="2999"/>
        <v>0.61328334226031067</v>
      </c>
      <c r="AD475" s="482">
        <f t="shared" si="2999"/>
        <v>0.58808758908459802</v>
      </c>
      <c r="AE475" s="482">
        <f t="shared" ref="AE475:AF475" si="3000">+AE473/AE$470</f>
        <v>0.5957654723127036</v>
      </c>
      <c r="AF475" s="482">
        <f t="shared" si="3000"/>
        <v>0.58735855943545445</v>
      </c>
      <c r="AG475" s="482">
        <f t="shared" ref="AG475:AH475" si="3001">+AG473/AG$470</f>
        <v>0.59601845108035933</v>
      </c>
      <c r="AH475" s="482">
        <f t="shared" si="3001"/>
        <v>0.61107340250169695</v>
      </c>
      <c r="AI475" s="482">
        <f t="shared" ref="AI475:AJ475" si="3002">+AI473/AI$470</f>
        <v>0.64446657537657159</v>
      </c>
      <c r="AJ475" s="482">
        <f t="shared" si="3002"/>
        <v>0.63345030788585055</v>
      </c>
      <c r="AK475" s="482">
        <f t="shared" ref="AK475:AL475" si="3003">+AK473/AK$470</f>
        <v>0.64455352641116204</v>
      </c>
      <c r="AL475" s="482">
        <f t="shared" si="3003"/>
        <v>0.62365089551368069</v>
      </c>
      <c r="AM475" s="1050">
        <f t="shared" ref="AM475:AN475" si="3004">+AM473/AM$470</f>
        <v>0.62783704446194599</v>
      </c>
      <c r="AN475" s="482">
        <f t="shared" si="3004"/>
        <v>0.61076333729258903</v>
      </c>
      <c r="AO475" s="2170">
        <f t="shared" ref="AO475" si="3005">+AK475+AO476</f>
        <v>0.62455352641116202</v>
      </c>
      <c r="AP475" s="1263">
        <f t="shared" ref="AP475" si="3006">+AL475+AP476</f>
        <v>0.6336508955136807</v>
      </c>
      <c r="AQ475" s="1050">
        <f t="shared" ref="AQ475" si="3007">+AQ473/AQ$470</f>
        <v>0.63135623610413827</v>
      </c>
      <c r="AR475" s="1263">
        <f t="shared" ref="AR475" si="3008">+AN475+AR476</f>
        <v>0.62076333729258903</v>
      </c>
      <c r="AS475" s="1263">
        <f t="shared" ref="AS475" si="3009">+AO475+AS476</f>
        <v>0.62455352641116202</v>
      </c>
      <c r="AT475" s="1263">
        <f t="shared" ref="AT475" si="3010">+AP475+AT476</f>
        <v>0.6336508955136807</v>
      </c>
      <c r="AU475" s="1263">
        <f t="shared" ref="AU475" si="3011">+AQ475+AU476</f>
        <v>0.63135623610413827</v>
      </c>
      <c r="AV475" s="1263">
        <f t="shared" ref="AV475" si="3012">+AR475+AV476</f>
        <v>0.62076333729258903</v>
      </c>
      <c r="AW475" s="1263">
        <f t="shared" ref="AW475" si="3013">+AS475+AW476</f>
        <v>0.62455352641116202</v>
      </c>
      <c r="AX475" s="1263">
        <f t="shared" ref="AX475" si="3014">+AT475+AX476</f>
        <v>0.6336508955136807</v>
      </c>
      <c r="AY475" s="1263"/>
      <c r="AZ475" s="1263"/>
      <c r="BA475" s="2262"/>
      <c r="BB475" s="1263">
        <v>0.6336508955136807</v>
      </c>
      <c r="BC475" s="2200">
        <f>+AT475-BB475</f>
        <v>0</v>
      </c>
      <c r="BD475" s="2262"/>
      <c r="BE475" s="482"/>
      <c r="BF475" s="482"/>
      <c r="BG475" s="482"/>
      <c r="BH475" s="482"/>
      <c r="BI475" s="482"/>
      <c r="BJ475" s="1297">
        <f t="shared" ref="BJ475:BO475" si="3015">+BJ473/BJ$470</f>
        <v>0.59382385200764387</v>
      </c>
      <c r="BK475" s="482">
        <f t="shared" si="3015"/>
        <v>0.57989733217548067</v>
      </c>
      <c r="BL475" s="482">
        <f t="shared" si="3015"/>
        <v>0.60359298125261285</v>
      </c>
      <c r="BM475" s="482">
        <f t="shared" si="3015"/>
        <v>0.59829071706503612</v>
      </c>
      <c r="BN475" s="482">
        <f t="shared" si="3015"/>
        <v>0.63616480662774266</v>
      </c>
      <c r="BO475" s="1050">
        <f t="shared" si="3015"/>
        <v>0.62515641253922238</v>
      </c>
      <c r="BP475" s="482">
        <f t="shared" ref="BP475:BQ475" si="3016">+BP473/BP$470</f>
        <v>0.6279028847373348</v>
      </c>
      <c r="BQ475" s="482">
        <f t="shared" si="3016"/>
        <v>0.62792714690639961</v>
      </c>
      <c r="BR475" s="1263">
        <f t="shared" ref="BR475:BU475" si="3017">+BQ475+BR476</f>
        <v>0.62792714690639961</v>
      </c>
      <c r="BS475" s="1263">
        <f t="shared" si="3017"/>
        <v>0.62792714690639961</v>
      </c>
      <c r="BT475" s="1263">
        <f t="shared" si="3017"/>
        <v>0.62792714690639961</v>
      </c>
      <c r="BU475" s="1263">
        <f t="shared" si="3017"/>
        <v>0.62792714690639961</v>
      </c>
    </row>
    <row r="476" spans="1:73" s="340" customFormat="1" ht="15" customHeight="1">
      <c r="C476" s="477"/>
      <c r="D476" s="477"/>
      <c r="E476" s="477"/>
      <c r="F476" s="477"/>
      <c r="G476" s="477"/>
      <c r="H476" s="477"/>
      <c r="I476" s="477"/>
      <c r="J476" s="477"/>
      <c r="K476" s="477"/>
      <c r="L476" s="477"/>
      <c r="M476" s="477"/>
      <c r="N476" s="477"/>
      <c r="O476" s="477"/>
      <c r="P476" s="477"/>
      <c r="Q476" s="477"/>
      <c r="R476" s="477"/>
      <c r="S476" s="1051"/>
      <c r="T476" s="477"/>
      <c r="U476" s="477"/>
      <c r="V476" s="477"/>
      <c r="W476" s="1051"/>
      <c r="X476" s="477"/>
      <c r="Y476" s="477"/>
      <c r="Z476" s="477"/>
      <c r="AA476" s="1257">
        <f t="shared" ref="AA476:AC476" si="3018">+AA475-W475</f>
        <v>3.6710776534538803E-2</v>
      </c>
      <c r="AB476" s="1257">
        <f t="shared" si="3018"/>
        <v>1.1645493042952149E-3</v>
      </c>
      <c r="AC476" s="1257">
        <f t="shared" si="3018"/>
        <v>1.1321839798258848E-2</v>
      </c>
      <c r="AD476" s="1257">
        <f t="shared" ref="AD476:AJ476" si="3019">+AD475-Z475</f>
        <v>3.5708296771542414E-2</v>
      </c>
      <c r="AE476" s="1257">
        <f t="shared" si="3019"/>
        <v>-3.8960466210810063E-3</v>
      </c>
      <c r="AF476" s="1257">
        <f t="shared" si="3019"/>
        <v>-3.0472656535507459E-2</v>
      </c>
      <c r="AG476" s="1257">
        <f t="shared" si="3019"/>
        <v>-1.7264891179951336E-2</v>
      </c>
      <c r="AH476" s="1257">
        <f t="shared" si="3019"/>
        <v>2.2985813417098933E-2</v>
      </c>
      <c r="AI476" s="1257">
        <f t="shared" si="3019"/>
        <v>4.870110306386799E-2</v>
      </c>
      <c r="AJ476" s="1257">
        <f t="shared" si="3019"/>
        <v>4.6091748450396097E-2</v>
      </c>
      <c r="AK476" s="1257">
        <f>+AK475-AG475</f>
        <v>4.8535075330802702E-2</v>
      </c>
      <c r="AL476" s="1257">
        <f>+AL475-AH475</f>
        <v>1.2577493011983742E-2</v>
      </c>
      <c r="AM476" s="2171">
        <f>+AM475-AI475</f>
        <v>-1.6629530914625601E-2</v>
      </c>
      <c r="AN476" s="1257">
        <f>+AN475-AJ475</f>
        <v>-2.2686970593261524E-2</v>
      </c>
      <c r="AO476" s="2171">
        <v>-0.02</v>
      </c>
      <c r="AP476" s="1257">
        <v>0.01</v>
      </c>
      <c r="AQ476" s="2171">
        <f>+AQ475-AM475</f>
        <v>3.5191916421922764E-3</v>
      </c>
      <c r="AR476" s="1257">
        <v>0.01</v>
      </c>
      <c r="AS476" s="1257">
        <v>0</v>
      </c>
      <c r="AT476" s="1257">
        <v>0</v>
      </c>
      <c r="AU476" s="1257">
        <v>0</v>
      </c>
      <c r="AV476" s="1257">
        <v>0</v>
      </c>
      <c r="AW476" s="1257">
        <v>0</v>
      </c>
      <c r="AX476" s="1257">
        <v>0</v>
      </c>
      <c r="AY476" s="1257"/>
      <c r="AZ476" s="1257"/>
      <c r="BA476" s="72"/>
      <c r="BB476" s="1257">
        <v>0</v>
      </c>
      <c r="BC476" s="2189"/>
      <c r="BD476" s="72"/>
      <c r="BE476" s="343"/>
      <c r="BF476" s="343"/>
      <c r="BG476" s="343"/>
      <c r="BH476" s="343"/>
      <c r="BI476" s="343"/>
      <c r="BJ476" s="1298"/>
      <c r="BK476" s="1731">
        <f>+BK475-BJ475</f>
        <v>-1.3926519832163198E-2</v>
      </c>
      <c r="BL476" s="1731">
        <f t="shared" ref="BL476:BN476" si="3020">+BL475-BK475</f>
        <v>2.3695649077132175E-2</v>
      </c>
      <c r="BM476" s="1731">
        <f t="shared" si="3020"/>
        <v>-5.3022641875767329E-3</v>
      </c>
      <c r="BN476" s="1731">
        <f t="shared" si="3020"/>
        <v>3.7874089562706548E-2</v>
      </c>
      <c r="BO476" s="2480">
        <f>+BO475-BN475</f>
        <v>-1.1008394088520279E-2</v>
      </c>
      <c r="BP476" s="1731">
        <f>+BP475-BO475</f>
        <v>2.7464721981124152E-3</v>
      </c>
      <c r="BQ476" s="1731">
        <f>+BQ475-BP475</f>
        <v>2.426216906481482E-5</v>
      </c>
      <c r="BR476" s="1730">
        <v>0</v>
      </c>
      <c r="BS476" s="1730">
        <v>0</v>
      </c>
      <c r="BT476" s="1730">
        <v>0</v>
      </c>
      <c r="BU476" s="1730">
        <v>0</v>
      </c>
    </row>
    <row r="477" spans="1:73" s="576" customFormat="1" ht="15" customHeight="1">
      <c r="B477" s="576" t="s">
        <v>16</v>
      </c>
      <c r="C477" s="824">
        <v>-475.6</v>
      </c>
      <c r="D477" s="824">
        <v>-530.70000000000005</v>
      </c>
      <c r="E477" s="824">
        <v>-515.4</v>
      </c>
      <c r="F477" s="824">
        <v>-559.1</v>
      </c>
      <c r="G477" s="824"/>
      <c r="H477" s="824"/>
      <c r="I477" s="824"/>
      <c r="J477" s="824"/>
      <c r="K477" s="824"/>
      <c r="L477" s="824"/>
      <c r="M477" s="824"/>
      <c r="N477" s="824"/>
      <c r="O477" s="824"/>
      <c r="P477" s="824"/>
      <c r="Q477" s="824"/>
      <c r="R477" s="824"/>
      <c r="S477" s="1052">
        <f>-1649-T477</f>
        <v>-810.6</v>
      </c>
      <c r="T477" s="824">
        <v>-838.4</v>
      </c>
      <c r="U477" s="824">
        <v>-789.8</v>
      </c>
      <c r="V477" s="824">
        <v>-975.8</v>
      </c>
      <c r="W477" s="1052">
        <v>-935.3</v>
      </c>
      <c r="X477" s="824">
        <v>-790.7</v>
      </c>
      <c r="Y477" s="824">
        <v>-1039.4000000000001</v>
      </c>
      <c r="Z477" s="824">
        <v>-1184.4000000000001</v>
      </c>
      <c r="AA477" s="824">
        <v>-1068.9000000000001</v>
      </c>
      <c r="AB477" s="824">
        <v>-1000.9</v>
      </c>
      <c r="AC477" s="824">
        <v>-945.9</v>
      </c>
      <c r="AD477" s="824">
        <v>-1147.0999999999999</v>
      </c>
      <c r="AE477" s="824">
        <v>-848.5</v>
      </c>
      <c r="AF477" s="824">
        <v>-762.4</v>
      </c>
      <c r="AG477" s="824">
        <v>-748.9</v>
      </c>
      <c r="AH477" s="824">
        <v>-853.5</v>
      </c>
      <c r="AI477" s="824">
        <v>-754.8</v>
      </c>
      <c r="AJ477" s="824">
        <v>-701.8</v>
      </c>
      <c r="AK477" s="824">
        <v>-597.83699999999999</v>
      </c>
      <c r="AL477" s="824">
        <v>-683.6</v>
      </c>
      <c r="AM477" s="1052">
        <v>-630.6</v>
      </c>
      <c r="AN477" s="824">
        <v>-639.10163534966125</v>
      </c>
      <c r="AO477" s="2172">
        <f>+AO479*AO$470</f>
        <v>-688.72932199575837</v>
      </c>
      <c r="AP477" s="766">
        <f>+AP479*AP$470</f>
        <v>-816.06813912264431</v>
      </c>
      <c r="AQ477" s="1052">
        <v>-637.5</v>
      </c>
      <c r="AR477" s="766">
        <f t="shared" ref="AR477:AT477" si="3021">+AR479*AR$470</f>
        <v>-607.88726061982527</v>
      </c>
      <c r="AS477" s="766">
        <f t="shared" si="3021"/>
        <v>-574.23008805921813</v>
      </c>
      <c r="AT477" s="766">
        <f t="shared" si="3021"/>
        <v>-577.5787475055489</v>
      </c>
      <c r="AU477" s="766">
        <f t="shared" ref="AU477:AX477" si="3022">+AU479*AU$470</f>
        <v>-375.8055598290598</v>
      </c>
      <c r="AV477" s="766">
        <f t="shared" si="3022"/>
        <v>-371.50446726900293</v>
      </c>
      <c r="AW477" s="766">
        <f t="shared" si="3022"/>
        <v>-416.65217456423204</v>
      </c>
      <c r="AX477" s="766">
        <f t="shared" si="3022"/>
        <v>-485.40615506702034</v>
      </c>
      <c r="AY477" s="766"/>
      <c r="AZ477" s="766"/>
      <c r="BA477" s="738"/>
      <c r="BB477" s="766">
        <v>-577.5787475055489</v>
      </c>
      <c r="BC477" s="2197"/>
      <c r="BD477" s="738"/>
      <c r="BE477" s="765"/>
      <c r="BF477" s="765"/>
      <c r="BG477" s="765"/>
      <c r="BH477" s="765"/>
      <c r="BI477" s="765"/>
      <c r="BJ477" s="1299">
        <f>+SUM(S477:V477)</f>
        <v>-3414.6000000000004</v>
      </c>
      <c r="BK477" s="765">
        <f>+SUM(W477:Z477)</f>
        <v>-3949.8</v>
      </c>
      <c r="BL477" s="765">
        <f>+SUM(AA477:AD477)</f>
        <v>-4162.8</v>
      </c>
      <c r="BM477" s="765">
        <f>+SUM(AE477:AH477)</f>
        <v>-3213.3</v>
      </c>
      <c r="BN477" s="765">
        <f>+SUM(AI477:AL477)</f>
        <v>-2738.0369999999998</v>
      </c>
      <c r="BO477" s="2481">
        <f>+SUM(AM477:AP477)</f>
        <v>-2774.4990964680642</v>
      </c>
      <c r="BP477" s="765">
        <f>+SUM(AQ477:AT477)</f>
        <v>-2397.1960961845921</v>
      </c>
      <c r="BQ477" s="765">
        <f>+SUM(AU477:AX477)</f>
        <v>-1649.3683567293151</v>
      </c>
      <c r="BR477" s="766">
        <f>+BR479*BR$470</f>
        <v>-1660.2055791456858</v>
      </c>
      <c r="BS477" s="766">
        <f>+BS479*BS$470</f>
        <v>-1705.7247439239293</v>
      </c>
      <c r="BT477" s="766">
        <f>+BT479*BT$470</f>
        <v>-1750.2163215026835</v>
      </c>
      <c r="BU477" s="766">
        <f>+BU479*BU$470</f>
        <v>-1795.7235179123415</v>
      </c>
    </row>
    <row r="478" spans="1:73" s="340" customFormat="1" ht="15" customHeight="1">
      <c r="B478" s="340" t="s">
        <v>316</v>
      </c>
      <c r="C478" s="476" t="str">
        <f>IF(ISNUMBER((C477/#REF!-1)),IF(#REF!=0,"NMF",IF(OR(#REF!*C477&lt;0,C477/#REF!-1&gt;10),"NMF",C477/#REF!-1)),"")</f>
        <v/>
      </c>
      <c r="D478" s="476" t="str">
        <f>IF(ISNUMBER((D477/#REF!-1)),IF(#REF!=0,"NMF",IF(OR(#REF!*D477&lt;0,D477/#REF!-1&gt;10),"NMF",D477/#REF!-1)),"")</f>
        <v/>
      </c>
      <c r="E478" s="476" t="str">
        <f>IF(ISNUMBER((E477/#REF!-1)),IF(#REF!=0,"NMF",IF(OR(#REF!*E477&lt;0,E477/#REF!-1&gt;10),"NMF",E477/#REF!-1)),"")</f>
        <v/>
      </c>
      <c r="F478" s="476" t="str">
        <f>IF(ISNUMBER((F477/A477-1)),IF(A477=0,"NMF",IF(OR(A477*F477&lt;0,F477/A477-1&gt;10),"NMF",F477/A477-1)),"")</f>
        <v/>
      </c>
      <c r="G478" s="479"/>
      <c r="H478" s="479"/>
      <c r="I478" s="479"/>
      <c r="J478" s="479"/>
      <c r="K478" s="479"/>
      <c r="L478" s="479"/>
      <c r="M478" s="479"/>
      <c r="N478" s="479"/>
      <c r="O478" s="479"/>
      <c r="P478" s="479"/>
      <c r="Q478" s="479"/>
      <c r="R478" s="479"/>
      <c r="S478" s="1049"/>
      <c r="T478" s="479"/>
      <c r="U478" s="479"/>
      <c r="V478" s="479"/>
      <c r="W478" s="1049">
        <f t="shared" ref="W478:Z478" si="3023">+W477/S477-1</f>
        <v>0.15383666419935849</v>
      </c>
      <c r="X478" s="479">
        <f t="shared" si="3023"/>
        <v>-5.6894083969465603E-2</v>
      </c>
      <c r="Y478" s="479">
        <f t="shared" si="3023"/>
        <v>0.31602937452519653</v>
      </c>
      <c r="Z478" s="479">
        <f t="shared" si="3023"/>
        <v>0.21377331420373036</v>
      </c>
      <c r="AA478" s="479">
        <f>+AA477/W477-1</f>
        <v>0.14284186891906359</v>
      </c>
      <c r="AB478" s="479">
        <f>+AB477/X477-1</f>
        <v>0.26584039458707465</v>
      </c>
      <c r="AC478" s="479">
        <f>+AC477/Y477-1</f>
        <v>-8.9955743698287627E-2</v>
      </c>
      <c r="AD478" s="479">
        <f>+AD477/Z477-1</f>
        <v>-3.1492738939547626E-2</v>
      </c>
      <c r="AE478" s="479">
        <f t="shared" ref="AE478:AH478" si="3024">+AE477/AA477-1</f>
        <v>-0.20619328281410798</v>
      </c>
      <c r="AF478" s="479">
        <f t="shared" si="3024"/>
        <v>-0.23828554301128979</v>
      </c>
      <c r="AG478" s="479">
        <f t="shared" si="3024"/>
        <v>-0.2082672586954224</v>
      </c>
      <c r="AH478" s="479">
        <f t="shared" si="3024"/>
        <v>-0.25594978641792343</v>
      </c>
      <c r="AI478" s="479">
        <f t="shared" ref="AI478" si="3025">+AI477/AE477-1</f>
        <v>-0.11043017088980556</v>
      </c>
      <c r="AJ478" s="479">
        <f t="shared" ref="AJ478" si="3026">+AJ477/AF477-1</f>
        <v>-7.9485834207765005E-2</v>
      </c>
      <c r="AK478" s="479">
        <f t="shared" ref="AK478" si="3027">+AK477/AG477-1</f>
        <v>-0.20171317932968358</v>
      </c>
      <c r="AL478" s="479">
        <f t="shared" ref="AL478" si="3028">+AL477/AH477-1</f>
        <v>-0.19906268306971286</v>
      </c>
      <c r="AM478" s="1049">
        <f t="shared" ref="AM478" si="3029">+AM477/AI477-1</f>
        <v>-0.16454689984101745</v>
      </c>
      <c r="AN478" s="479">
        <f t="shared" ref="AN478" si="3030">+AN477/AJ477-1</f>
        <v>-8.933936256816577E-2</v>
      </c>
      <c r="AO478" s="1049">
        <f t="shared" ref="AO478" si="3031">+AO477/AK477-1</f>
        <v>0.15203529054869191</v>
      </c>
      <c r="AP478" s="479">
        <f t="shared" ref="AP478:AQ478" si="3032">+AP477/AL477-1</f>
        <v>0.19378019181194306</v>
      </c>
      <c r="AQ478" s="1049">
        <f t="shared" si="3032"/>
        <v>1.0941960038058918E-2</v>
      </c>
      <c r="AR478" s="479">
        <f t="shared" ref="AR478" si="3033">+AR477/AN477-1</f>
        <v>-4.8841018397266622E-2</v>
      </c>
      <c r="AS478" s="479">
        <f t="shared" ref="AS478" si="3034">+AS477/AO477-1</f>
        <v>-0.16624707309506037</v>
      </c>
      <c r="AT478" s="479">
        <f t="shared" ref="AT478" si="3035">+AT477/AP477-1</f>
        <v>-0.29224200796945166</v>
      </c>
      <c r="AU478" s="479">
        <f t="shared" ref="AU478" si="3036">+AU477/AQ477-1</f>
        <v>-0.41050108262108265</v>
      </c>
      <c r="AV478" s="479">
        <f t="shared" ref="AV478" si="3037">+AV477/AR477-1</f>
        <v>-0.38885959398095848</v>
      </c>
      <c r="AW478" s="479">
        <f t="shared" ref="AW478" si="3038">+AW477/AS477-1</f>
        <v>-0.27441598197608841</v>
      </c>
      <c r="AX478" s="479">
        <f t="shared" ref="AX478" si="3039">+AX477/AT477-1</f>
        <v>-0.1595844598448336</v>
      </c>
      <c r="AY478" s="479"/>
      <c r="AZ478" s="479"/>
      <c r="BA478" s="72"/>
      <c r="BB478" s="479">
        <v>-0.29224200796945166</v>
      </c>
      <c r="BC478" s="2189"/>
      <c r="BD478" s="72"/>
      <c r="BE478" s="479"/>
      <c r="BF478" s="479"/>
      <c r="BG478" s="479"/>
      <c r="BH478" s="479"/>
      <c r="BI478" s="479"/>
      <c r="BJ478" s="1296"/>
      <c r="BK478" s="479">
        <f>+BK477/BJ477-1</f>
        <v>0.15673871024424524</v>
      </c>
      <c r="BL478" s="479">
        <f t="shared" ref="BL478:BR478" si="3040">+BL477/BK477-1</f>
        <v>5.3926781102840549E-2</v>
      </c>
      <c r="BM478" s="479">
        <f t="shared" si="3040"/>
        <v>-0.22809166906889589</v>
      </c>
      <c r="BN478" s="479">
        <f t="shared" si="3040"/>
        <v>-0.1479049575203063</v>
      </c>
      <c r="BO478" s="1049">
        <f t="shared" si="3040"/>
        <v>1.3316874997695294E-2</v>
      </c>
      <c r="BP478" s="479">
        <f t="shared" si="3040"/>
        <v>-0.13598959205421213</v>
      </c>
      <c r="BQ478" s="479">
        <f t="shared" si="3040"/>
        <v>-0.31195935144627052</v>
      </c>
      <c r="BR478" s="479">
        <f t="shared" si="3040"/>
        <v>6.5705288768003189E-3</v>
      </c>
      <c r="BS478" s="479">
        <f t="shared" ref="BS478" si="3041">+BS477/BR477-1</f>
        <v>2.7417788104089347E-2</v>
      </c>
      <c r="BT478" s="479">
        <f t="shared" ref="BT478" si="3042">+BT477/BS477-1</f>
        <v>2.6083679525222614E-2</v>
      </c>
      <c r="BU478" s="479">
        <f t="shared" ref="BU478" si="3043">+BU477/BT477-1</f>
        <v>2.6000898203592859E-2</v>
      </c>
    </row>
    <row r="479" spans="1:73" s="340" customFormat="1" ht="15" customHeight="1">
      <c r="B479" s="340" t="s">
        <v>318</v>
      </c>
      <c r="C479" s="479">
        <f>+C477/C$285</f>
        <v>-0.38265347171936598</v>
      </c>
      <c r="D479" s="479">
        <f>+D477/D$285</f>
        <v>-0.37667684008801194</v>
      </c>
      <c r="E479" s="479">
        <f>+E477/E$285</f>
        <v>-0.37838631524851335</v>
      </c>
      <c r="F479" s="479">
        <f>+F477/F$285</f>
        <v>-0.35390555766552728</v>
      </c>
      <c r="G479" s="479"/>
      <c r="H479" s="479"/>
      <c r="I479" s="479"/>
      <c r="J479" s="479"/>
      <c r="K479" s="479"/>
      <c r="L479" s="479"/>
      <c r="M479" s="479"/>
      <c r="N479" s="479"/>
      <c r="O479" s="479"/>
      <c r="P479" s="479"/>
      <c r="Q479" s="479"/>
      <c r="R479" s="479"/>
      <c r="S479" s="1049">
        <f>+S477/S$470</f>
        <v>-0.37308418097298296</v>
      </c>
      <c r="T479" s="479">
        <f t="shared" ref="T479:AA479" si="3044">+T477/T$470</f>
        <v>-0.39811956883042876</v>
      </c>
      <c r="U479" s="479">
        <f t="shared" si="3044"/>
        <v>-0.39365997109106315</v>
      </c>
      <c r="V479" s="479">
        <f t="shared" si="3044"/>
        <v>-0.38135063310926992</v>
      </c>
      <c r="W479" s="1049">
        <f t="shared" si="3044"/>
        <v>-0.44086731086495401</v>
      </c>
      <c r="X479" s="479">
        <f t="shared" si="3044"/>
        <v>-0.47921212121212126</v>
      </c>
      <c r="Y479" s="479">
        <f t="shared" si="3044"/>
        <v>-0.42298457656777766</v>
      </c>
      <c r="Z479" s="479">
        <f t="shared" si="3044"/>
        <v>-0.41289872755795715</v>
      </c>
      <c r="AA479" s="479">
        <f t="shared" si="3044"/>
        <v>-0.45225301459699602</v>
      </c>
      <c r="AB479" s="479">
        <f t="shared" ref="AB479:AN479" si="3045">+AB477/AB$470</f>
        <v>-0.4541288566243194</v>
      </c>
      <c r="AC479" s="479">
        <f t="shared" si="3045"/>
        <v>-0.46058333739105034</v>
      </c>
      <c r="AD479" s="479">
        <f t="shared" si="3045"/>
        <v>-0.42358110852627301</v>
      </c>
      <c r="AE479" s="479">
        <f t="shared" si="3045"/>
        <v>-0.46064060803474483</v>
      </c>
      <c r="AF479" s="479">
        <f t="shared" si="3045"/>
        <v>-0.46380338240661884</v>
      </c>
      <c r="AG479" s="479">
        <f t="shared" si="3045"/>
        <v>-0.45453993687788297</v>
      </c>
      <c r="AH479" s="479">
        <f t="shared" si="3045"/>
        <v>-0.41379811887908469</v>
      </c>
      <c r="AI479" s="479">
        <f t="shared" si="3045"/>
        <v>-0.46981202539524464</v>
      </c>
      <c r="AJ479" s="479">
        <f t="shared" si="3045"/>
        <v>-0.4646758922068463</v>
      </c>
      <c r="AK479" s="479">
        <f t="shared" si="3045"/>
        <v>-0.41066269355523405</v>
      </c>
      <c r="AL479" s="479">
        <f t="shared" si="3045"/>
        <v>-0.39880987106936588</v>
      </c>
      <c r="AM479" s="1049">
        <f t="shared" si="3045"/>
        <v>-0.45149280446767381</v>
      </c>
      <c r="AN479" s="479">
        <f t="shared" si="3045"/>
        <v>-0.44791314487348199</v>
      </c>
      <c r="AO479" s="2173">
        <f t="shared" ref="AO479:AP479" si="3046">+AK479+1%</f>
        <v>-0.40066269355523404</v>
      </c>
      <c r="AP479" s="478">
        <f t="shared" si="3046"/>
        <v>-0.38880987106936588</v>
      </c>
      <c r="AQ479" s="1049">
        <f t="shared" ref="AQ479" si="3047">+AQ477/AQ$470</f>
        <v>-0.45721867603815536</v>
      </c>
      <c r="AR479" s="478">
        <f>+AQ479</f>
        <v>-0.45721867603815536</v>
      </c>
      <c r="AS479" s="478">
        <v>-0.4</v>
      </c>
      <c r="AT479" s="478">
        <v>-0.35</v>
      </c>
      <c r="AU479" s="478">
        <v>-0.35</v>
      </c>
      <c r="AV479" s="478">
        <v>-0.35</v>
      </c>
      <c r="AW479" s="478">
        <v>-0.35</v>
      </c>
      <c r="AX479" s="478">
        <v>-0.35</v>
      </c>
      <c r="AY479" s="478"/>
      <c r="AZ479" s="478"/>
      <c r="BA479" s="72"/>
      <c r="BB479" s="478">
        <v>-0.35</v>
      </c>
      <c r="BC479" s="2189"/>
      <c r="BD479" s="72"/>
      <c r="BE479" s="479"/>
      <c r="BF479" s="479"/>
      <c r="BG479" s="479"/>
      <c r="BH479" s="479"/>
      <c r="BI479" s="479"/>
      <c r="BJ479" s="1296">
        <f t="shared" ref="BJ479:BO479" si="3048">+BJ477/BJ$470</f>
        <v>-0.38610536313986227</v>
      </c>
      <c r="BK479" s="479">
        <f t="shared" si="3048"/>
        <v>-0.43417277653809377</v>
      </c>
      <c r="BL479" s="479">
        <f t="shared" si="3048"/>
        <v>-0.44620711093008053</v>
      </c>
      <c r="BM479" s="479">
        <f t="shared" si="3048"/>
        <v>-0.44653974430239024</v>
      </c>
      <c r="BN479" s="479">
        <f t="shared" si="3048"/>
        <v>-0.43552253886166953</v>
      </c>
      <c r="BO479" s="1049">
        <f t="shared" si="3048"/>
        <v>-0.41775781591511585</v>
      </c>
      <c r="BP479" s="479">
        <f t="shared" ref="BP479:BQ479" si="3049">+BP477/BP$470</f>
        <v>-0.41262435339353448</v>
      </c>
      <c r="BQ479" s="479">
        <f t="shared" si="3049"/>
        <v>-0.35000000000000003</v>
      </c>
      <c r="BR479" s="478">
        <f>+BQ479+1%</f>
        <v>-0.34</v>
      </c>
      <c r="BS479" s="478">
        <f>+BR479+0.3%</f>
        <v>-0.33700000000000002</v>
      </c>
      <c r="BT479" s="478">
        <f t="shared" ref="BT479:BU479" si="3050">+BS479+0.3%</f>
        <v>-0.33400000000000002</v>
      </c>
      <c r="BU479" s="478">
        <f t="shared" si="3050"/>
        <v>-0.33100000000000002</v>
      </c>
    </row>
    <row r="480" spans="1:73" s="576" customFormat="1" ht="15" customHeight="1">
      <c r="B480" s="576" t="s">
        <v>319</v>
      </c>
      <c r="C480" s="824">
        <v>-166.6</v>
      </c>
      <c r="D480" s="824">
        <v>-180.2</v>
      </c>
      <c r="E480" s="824">
        <v>-163.9</v>
      </c>
      <c r="F480" s="824">
        <v>-232.5</v>
      </c>
      <c r="G480" s="824"/>
      <c r="H480" s="824"/>
      <c r="I480" s="824"/>
      <c r="J480" s="824"/>
      <c r="K480" s="824"/>
      <c r="L480" s="824"/>
      <c r="M480" s="824"/>
      <c r="N480" s="824"/>
      <c r="O480" s="824"/>
      <c r="P480" s="824"/>
      <c r="Q480" s="824"/>
      <c r="R480" s="824"/>
      <c r="S480" s="1052">
        <f>-443.9-T480</f>
        <v>-264.39999999999998</v>
      </c>
      <c r="T480" s="824">
        <v>-179.5</v>
      </c>
      <c r="U480" s="824">
        <v>-187.4</v>
      </c>
      <c r="V480" s="824">
        <v>-299.39999999999998</v>
      </c>
      <c r="W480" s="1052">
        <v>-388.7</v>
      </c>
      <c r="X480" s="824">
        <v>-361.9</v>
      </c>
      <c r="Y480" s="824">
        <v>-457.4</v>
      </c>
      <c r="Z480" s="824">
        <v>-502.1</v>
      </c>
      <c r="AA480" s="824">
        <v>-470</v>
      </c>
      <c r="AB480" s="824">
        <v>-489.4</v>
      </c>
      <c r="AC480" s="824">
        <v>-420.1</v>
      </c>
      <c r="AD480" s="824">
        <v>-355.3</v>
      </c>
      <c r="AE480" s="824">
        <v>-346.2</v>
      </c>
      <c r="AF480" s="824">
        <v>-315.10000000000002</v>
      </c>
      <c r="AG480" s="824">
        <v>-314.60000000000002</v>
      </c>
      <c r="AH480" s="824">
        <v>-430.3</v>
      </c>
      <c r="AI480" s="824">
        <v>-372.2</v>
      </c>
      <c r="AJ480" s="824">
        <v>-346.6</v>
      </c>
      <c r="AK480" s="824">
        <v>-375.262</v>
      </c>
      <c r="AL480" s="824">
        <v>-344.9</v>
      </c>
      <c r="AM480" s="1052">
        <v>-336.4</v>
      </c>
      <c r="AN480" s="824">
        <v>-359.0308238197149</v>
      </c>
      <c r="AO480" s="2172">
        <f t="shared" ref="AO480" si="3051">+AK480*(1+AO481)</f>
        <v>-397.77772000000004</v>
      </c>
      <c r="AP480" s="766">
        <f t="shared" ref="AP480" si="3052">+AL480*(1+AP481)</f>
        <v>-365.59399999999999</v>
      </c>
      <c r="AQ480" s="1052">
        <v>-338.6</v>
      </c>
      <c r="AR480" s="766">
        <f t="shared" ref="AR480" si="3053">+AN480*(1+AR481)</f>
        <v>-380.57267324889779</v>
      </c>
      <c r="AS480" s="766">
        <f t="shared" ref="AS480" si="3054">+AO480*(1+AS481)</f>
        <v>-421.64438320000005</v>
      </c>
      <c r="AT480" s="766">
        <f t="shared" ref="AT480" si="3055">+AP480*(1+AT481)</f>
        <v>-387.52964000000003</v>
      </c>
      <c r="AU480" s="766">
        <f t="shared" ref="AU480" si="3056">+AQ480*(1+AU481)</f>
        <v>-358.91600000000005</v>
      </c>
      <c r="AV480" s="766">
        <f t="shared" ref="AV480" si="3057">+AR480*(1+AV481)</f>
        <v>-403.40703364383165</v>
      </c>
      <c r="AW480" s="766">
        <f t="shared" ref="AW480" si="3058">+AS480*(1+AW481)</f>
        <v>-446.94304619200005</v>
      </c>
      <c r="AX480" s="766">
        <f t="shared" ref="AX480" si="3059">+AT480*(1+AX481)</f>
        <v>-410.78141840000006</v>
      </c>
      <c r="AY480" s="766"/>
      <c r="AZ480" s="766"/>
      <c r="BA480" s="738"/>
      <c r="BB480" s="766">
        <v>-387.52964000000003</v>
      </c>
      <c r="BC480" s="2197"/>
      <c r="BD480" s="738"/>
      <c r="BE480" s="765"/>
      <c r="BF480" s="765"/>
      <c r="BG480" s="765"/>
      <c r="BH480" s="765"/>
      <c r="BI480" s="765"/>
      <c r="BJ480" s="1299">
        <f>+SUM(S480:V480)</f>
        <v>-930.69999999999993</v>
      </c>
      <c r="BK480" s="765">
        <f>+SUM(W480:Z480)</f>
        <v>-1710.1</v>
      </c>
      <c r="BL480" s="765">
        <f>+SUM(AA480:AD480)</f>
        <v>-1734.8</v>
      </c>
      <c r="BM480" s="765">
        <f>+SUM(AE480:AH480)</f>
        <v>-1406.2</v>
      </c>
      <c r="BN480" s="765">
        <f>+SUM(AI480:AL480)</f>
        <v>-1438.962</v>
      </c>
      <c r="BO480" s="2481">
        <f>+SUM(AM480:AP480)</f>
        <v>-1458.8025438197151</v>
      </c>
      <c r="BP480" s="765">
        <f>+SUM(AQ480:AT480)</f>
        <v>-1528.3466964488978</v>
      </c>
      <c r="BQ480" s="765">
        <f>+SUM(AU480:AX480)</f>
        <v>-1620.0474982358319</v>
      </c>
      <c r="BR480" s="766">
        <f t="shared" ref="BR480" si="3060">+BQ480*(1+BR481)</f>
        <v>-1652.4484482005485</v>
      </c>
      <c r="BS480" s="766">
        <f t="shared" ref="BS480" si="3061">+BR480*(1+BS481)</f>
        <v>-1685.4974171645595</v>
      </c>
      <c r="BT480" s="766">
        <f t="shared" ref="BT480" si="3062">+BS480*(1+BT481)</f>
        <v>-1719.2073655078507</v>
      </c>
      <c r="BU480" s="766">
        <f t="shared" ref="BU480" si="3063">+BT480*(1+BU481)</f>
        <v>-1753.5915128180077</v>
      </c>
    </row>
    <row r="481" spans="1:73" s="340" customFormat="1" ht="15" customHeight="1">
      <c r="B481" s="340" t="s">
        <v>316</v>
      </c>
      <c r="C481" s="476" t="str">
        <f>IF(ISNUMBER((C480/#REF!-1)),IF(#REF!=0,"NMF",IF(OR(#REF!*C480&lt;0,C480/#REF!-1&gt;10),"NMF",C480/#REF!-1)),"")</f>
        <v/>
      </c>
      <c r="D481" s="476" t="str">
        <f>IF(ISNUMBER((D480/#REF!-1)),IF(#REF!=0,"NMF",IF(OR(#REF!*D480&lt;0,D480/#REF!-1&gt;10),"NMF",D480/#REF!-1)),"")</f>
        <v/>
      </c>
      <c r="E481" s="476" t="str">
        <f>IF(ISNUMBER((E480/#REF!-1)),IF(#REF!=0,"NMF",IF(OR(#REF!*E480&lt;0,E480/#REF!-1&gt;10),"NMF",E480/#REF!-1)),"")</f>
        <v/>
      </c>
      <c r="F481" s="476" t="str">
        <f>IF(ISNUMBER((F480/A480-1)),IF(A480=0,"NMF",IF(OR(A480*F480&lt;0,F480/A480-1&gt;10),"NMF",F480/A480-1)),"")</f>
        <v/>
      </c>
      <c r="G481" s="479"/>
      <c r="H481" s="479"/>
      <c r="I481" s="479"/>
      <c r="J481" s="479"/>
      <c r="K481" s="479"/>
      <c r="L481" s="479"/>
      <c r="M481" s="479"/>
      <c r="N481" s="479"/>
      <c r="O481" s="479"/>
      <c r="P481" s="479"/>
      <c r="Q481" s="479"/>
      <c r="R481" s="479"/>
      <c r="S481" s="1049"/>
      <c r="T481" s="479"/>
      <c r="U481" s="479"/>
      <c r="V481" s="479"/>
      <c r="W481" s="1049">
        <f t="shared" ref="W481:AN481" si="3064">+W480/S480-1</f>
        <v>0.47012102874432693</v>
      </c>
      <c r="X481" s="479">
        <f t="shared" si="3064"/>
        <v>1.0161559888579386</v>
      </c>
      <c r="Y481" s="479">
        <f t="shared" si="3064"/>
        <v>1.4407684098185696</v>
      </c>
      <c r="Z481" s="479">
        <f t="shared" si="3064"/>
        <v>0.67702070808283255</v>
      </c>
      <c r="AA481" s="479">
        <f t="shared" si="3064"/>
        <v>0.20915873424234621</v>
      </c>
      <c r="AB481" s="479">
        <f t="shared" si="3064"/>
        <v>0.35230726720088423</v>
      </c>
      <c r="AC481" s="479">
        <f t="shared" si="3064"/>
        <v>-8.1547879317883543E-2</v>
      </c>
      <c r="AD481" s="479">
        <f t="shared" si="3064"/>
        <v>-0.29237203744274054</v>
      </c>
      <c r="AE481" s="479">
        <f t="shared" si="3064"/>
        <v>-0.26340425531914891</v>
      </c>
      <c r="AF481" s="479">
        <f t="shared" si="3064"/>
        <v>-0.35615038823048628</v>
      </c>
      <c r="AG481" s="479">
        <f t="shared" si="3064"/>
        <v>-0.25113068317067366</v>
      </c>
      <c r="AH481" s="479">
        <f t="shared" si="3064"/>
        <v>0.21108922037714617</v>
      </c>
      <c r="AI481" s="479">
        <f t="shared" si="3064"/>
        <v>7.5101097631427027E-2</v>
      </c>
      <c r="AJ481" s="479">
        <f t="shared" si="3064"/>
        <v>9.9968264043160948E-2</v>
      </c>
      <c r="AK481" s="479">
        <f t="shared" si="3064"/>
        <v>0.19282263191354088</v>
      </c>
      <c r="AL481" s="479">
        <f t="shared" si="3064"/>
        <v>-0.1984661863815943</v>
      </c>
      <c r="AM481" s="1049">
        <f t="shared" si="3064"/>
        <v>-9.6184846856528727E-2</v>
      </c>
      <c r="AN481" s="479">
        <f t="shared" si="3064"/>
        <v>3.5865042757400101E-2</v>
      </c>
      <c r="AO481" s="2173">
        <v>0.06</v>
      </c>
      <c r="AP481" s="478">
        <v>0.06</v>
      </c>
      <c r="AQ481" s="1049">
        <f t="shared" ref="AQ481" si="3065">+AQ480/AM480-1</f>
        <v>6.5398335315103306E-3</v>
      </c>
      <c r="AR481" s="478">
        <v>0.06</v>
      </c>
      <c r="AS481" s="478">
        <v>0.06</v>
      </c>
      <c r="AT481" s="478">
        <v>0.06</v>
      </c>
      <c r="AU481" s="478">
        <v>0.06</v>
      </c>
      <c r="AV481" s="478">
        <v>0.06</v>
      </c>
      <c r="AW481" s="478">
        <v>0.06</v>
      </c>
      <c r="AX481" s="478">
        <v>0.06</v>
      </c>
      <c r="AY481" s="478"/>
      <c r="AZ481" s="478"/>
      <c r="BA481" s="72"/>
      <c r="BB481" s="478">
        <v>0.06</v>
      </c>
      <c r="BC481" s="2189"/>
      <c r="BD481" s="72"/>
      <c r="BE481" s="479"/>
      <c r="BF481" s="479"/>
      <c r="BG481" s="479"/>
      <c r="BH481" s="479"/>
      <c r="BI481" s="479"/>
      <c r="BJ481" s="1296"/>
      <c r="BK481" s="479">
        <f t="shared" ref="BK481:BQ481" si="3066">+BK480/BJ480-1</f>
        <v>0.83743418931986691</v>
      </c>
      <c r="BL481" s="479">
        <f t="shared" si="3066"/>
        <v>1.4443599789486061E-2</v>
      </c>
      <c r="BM481" s="479">
        <f t="shared" si="3066"/>
        <v>-0.18941664745215581</v>
      </c>
      <c r="BN481" s="479">
        <f t="shared" si="3066"/>
        <v>2.3298250604465887E-2</v>
      </c>
      <c r="BO481" s="1049">
        <f t="shared" si="3066"/>
        <v>1.3788094348367252E-2</v>
      </c>
      <c r="BP481" s="479">
        <f t="shared" si="3066"/>
        <v>4.7672080723885291E-2</v>
      </c>
      <c r="BQ481" s="479">
        <f t="shared" si="3066"/>
        <v>6.0000000000000053E-2</v>
      </c>
      <c r="BR481" s="478">
        <v>0.02</v>
      </c>
      <c r="BS481" s="478">
        <v>0.02</v>
      </c>
      <c r="BT481" s="478">
        <v>0.02</v>
      </c>
      <c r="BU481" s="478">
        <v>0.02</v>
      </c>
    </row>
    <row r="482" spans="1:73" s="340" customFormat="1" ht="15" customHeight="1">
      <c r="B482" s="340" t="s">
        <v>318</v>
      </c>
      <c r="C482" s="479">
        <f>+C480/C$285</f>
        <v>-0.13404135489580818</v>
      </c>
      <c r="D482" s="479">
        <f>+D480/D$285</f>
        <v>-0.12790119951735396</v>
      </c>
      <c r="E482" s="479">
        <f>+E480/E$285</f>
        <v>-0.12032890389839219</v>
      </c>
      <c r="F482" s="479">
        <f>+F480/F$285</f>
        <v>-0.14717052791492594</v>
      </c>
      <c r="G482" s="479"/>
      <c r="H482" s="479"/>
      <c r="I482" s="479"/>
      <c r="J482" s="479"/>
      <c r="K482" s="479"/>
      <c r="L482" s="479"/>
      <c r="M482" s="479"/>
      <c r="N482" s="479"/>
      <c r="O482" s="479"/>
      <c r="P482" s="479"/>
      <c r="Q482" s="479"/>
      <c r="R482" s="479"/>
      <c r="S482" s="1049">
        <f t="shared" ref="S482:V482" si="3067">+S480/S$470</f>
        <v>-0.12169190408247803</v>
      </c>
      <c r="T482" s="479">
        <f t="shared" si="3067"/>
        <v>-8.5236715893442228E-2</v>
      </c>
      <c r="U482" s="479">
        <f t="shared" si="3067"/>
        <v>-9.3405771818770883E-2</v>
      </c>
      <c r="V482" s="479">
        <f t="shared" si="3067"/>
        <v>-0.11700797248710332</v>
      </c>
      <c r="W482" s="1049">
        <f>+W480/W$470</f>
        <v>-0.18321942022154136</v>
      </c>
      <c r="X482" s="479">
        <f>+X480/X$470</f>
        <v>-0.21933333333333332</v>
      </c>
      <c r="Y482" s="479">
        <f t="shared" ref="Y482:AD482" si="3068">+Y480/Y$470</f>
        <v>-0.1861392585357913</v>
      </c>
      <c r="Z482" s="479">
        <f>+Z480/Z$470</f>
        <v>-0.17503921910406137</v>
      </c>
      <c r="AA482" s="479">
        <f t="shared" si="3068"/>
        <v>-0.19885762640152316</v>
      </c>
      <c r="AB482" s="479">
        <f t="shared" si="3068"/>
        <v>-0.22205081669691468</v>
      </c>
      <c r="AC482" s="479">
        <f t="shared" si="3068"/>
        <v>-0.20455762769635294</v>
      </c>
      <c r="AD482" s="479">
        <f t="shared" si="3068"/>
        <v>-0.13119899560577528</v>
      </c>
      <c r="AE482" s="479">
        <f t="shared" ref="AE482:AH482" si="3069">+AE480/AE$470</f>
        <v>-0.18794788273615634</v>
      </c>
      <c r="AF482" s="479">
        <f t="shared" si="3069"/>
        <v>-0.19168998661637671</v>
      </c>
      <c r="AG482" s="479">
        <f t="shared" ref="AG482" si="3070">+AG480/AG$470</f>
        <v>-0.19094440398154894</v>
      </c>
      <c r="AH482" s="479">
        <f t="shared" si="3069"/>
        <v>-0.20862018811209154</v>
      </c>
      <c r="AI482" s="479">
        <f t="shared" ref="AI482:AL482" si="3071">+AI480/AI$470</f>
        <v>-0.23166936387401968</v>
      </c>
      <c r="AJ482" s="479">
        <f t="shared" si="3071"/>
        <v>-0.22949082963649609</v>
      </c>
      <c r="AK482" s="479">
        <f t="shared" si="3071"/>
        <v>-0.25777277704277962</v>
      </c>
      <c r="AL482" s="479">
        <f t="shared" si="3071"/>
        <v>-0.20121346479201913</v>
      </c>
      <c r="AM482" s="1049">
        <f t="shared" ref="AM482:AP482" si="3072">+AM480/AM$470</f>
        <v>-0.2408534402520226</v>
      </c>
      <c r="AN482" s="479">
        <f t="shared" si="3072"/>
        <v>-0.25162605837430169</v>
      </c>
      <c r="AO482" s="1049">
        <f t="shared" si="3072"/>
        <v>-0.23140396036810706</v>
      </c>
      <c r="AP482" s="479">
        <f t="shared" si="3072"/>
        <v>-0.17418466570273855</v>
      </c>
      <c r="AQ482" s="1049">
        <f t="shared" ref="AQ482" si="3073">+AQ480/AQ$470</f>
        <v>-0.24284587248081477</v>
      </c>
      <c r="AR482" s="479">
        <f t="shared" ref="AR482:AT482" si="3074">+AR480/AR$470</f>
        <v>-0.28624540284285677</v>
      </c>
      <c r="AS482" s="479">
        <f t="shared" si="3074"/>
        <v>-0.29371110428927405</v>
      </c>
      <c r="AT482" s="479">
        <f t="shared" si="3074"/>
        <v>-0.23483442662283366</v>
      </c>
      <c r="AU482" s="479">
        <f t="shared" ref="AU482:AX482" si="3075">+AU480/AU$470</f>
        <v>-0.33427020094418036</v>
      </c>
      <c r="AV482" s="479">
        <f t="shared" si="3075"/>
        <v>-0.38005589222997133</v>
      </c>
      <c r="AW482" s="479">
        <f t="shared" si="3075"/>
        <v>-0.37544521717859025</v>
      </c>
      <c r="AX482" s="479">
        <f t="shared" si="3075"/>
        <v>-0.29619215772026852</v>
      </c>
      <c r="AY482" s="479"/>
      <c r="AZ482" s="479"/>
      <c r="BA482" s="72"/>
      <c r="BB482" s="479">
        <v>-0.23483442662283366</v>
      </c>
      <c r="BC482" s="2189"/>
      <c r="BD482" s="72"/>
      <c r="BE482" s="479"/>
      <c r="BF482" s="479"/>
      <c r="BG482" s="479"/>
      <c r="BH482" s="479"/>
      <c r="BI482" s="479"/>
      <c r="BJ482" s="1296">
        <f t="shared" ref="BJ482:BO482" si="3076">+BJ480/BJ$470</f>
        <v>-0.10523875753361148</v>
      </c>
      <c r="BK482" s="479">
        <f t="shared" si="3076"/>
        <v>-0.18797885086783991</v>
      </c>
      <c r="BL482" s="479">
        <f t="shared" si="3076"/>
        <v>-0.18595178630765438</v>
      </c>
      <c r="BM482" s="479">
        <f t="shared" si="3076"/>
        <v>-0.19541411895497499</v>
      </c>
      <c r="BN482" s="479">
        <f t="shared" si="3076"/>
        <v>-0.2288867475368177</v>
      </c>
      <c r="BO482" s="1049">
        <f t="shared" si="3076"/>
        <v>-0.21965268085087444</v>
      </c>
      <c r="BP482" s="479">
        <f t="shared" ref="BP482:BQ482" si="3077">+BP480/BP$470</f>
        <v>-0.26307112229454011</v>
      </c>
      <c r="BQ482" s="479">
        <f t="shared" si="3077"/>
        <v>-0.34377804210269369</v>
      </c>
      <c r="BR482" s="479">
        <f>+BR480/BR$470</f>
        <v>-0.33841138678578359</v>
      </c>
      <c r="BS482" s="479">
        <f t="shared" ref="BS482:BU482" si="3078">+BS480/BS$470</f>
        <v>-0.33300368749870723</v>
      </c>
      <c r="BT482" s="479">
        <f t="shared" si="3078"/>
        <v>-0.32808245073764253</v>
      </c>
      <c r="BU482" s="479">
        <f t="shared" si="3078"/>
        <v>-0.32323394161344093</v>
      </c>
    </row>
    <row r="483" spans="1:73" s="576" customFormat="1" ht="15" customHeight="1">
      <c r="B483" s="576" t="s">
        <v>320</v>
      </c>
      <c r="C483" s="824">
        <v>8.5</v>
      </c>
      <c r="D483" s="824">
        <v>9.6</v>
      </c>
      <c r="E483" s="824">
        <v>37</v>
      </c>
      <c r="F483" s="824">
        <v>11.6</v>
      </c>
      <c r="G483" s="824"/>
      <c r="H483" s="824"/>
      <c r="I483" s="824"/>
      <c r="J483" s="824"/>
      <c r="K483" s="824"/>
      <c r="L483" s="824"/>
      <c r="M483" s="824"/>
      <c r="N483" s="824"/>
      <c r="O483" s="824"/>
      <c r="P483" s="824"/>
      <c r="Q483" s="824"/>
      <c r="R483" s="824"/>
      <c r="S483" s="1052">
        <f>-32.6-41.8-201.8+60.8-T483</f>
        <v>-88.200000000000045</v>
      </c>
      <c r="T483" s="824">
        <f>-16.1+13-41.8-82.3</f>
        <v>-127.19999999999999</v>
      </c>
      <c r="U483" s="824">
        <f>-16.1-4.6-64.4-49.8</f>
        <v>-134.9</v>
      </c>
      <c r="V483" s="824">
        <f>-18.9-40.1-68.5-94</f>
        <v>-221.5</v>
      </c>
      <c r="W483" s="1052">
        <v>-12.019877808360134</v>
      </c>
      <c r="X483" s="824">
        <v>0.66251114066484007</v>
      </c>
      <c r="Y483" s="824">
        <v>1.6838015355215532</v>
      </c>
      <c r="Z483" s="824">
        <v>-3.8973707537556255</v>
      </c>
      <c r="AA483" s="824">
        <v>-5.708624494936182E-2</v>
      </c>
      <c r="AB483" s="824">
        <v>1.2969735800003164</v>
      </c>
      <c r="AC483" s="824">
        <v>-7.4098773174195998</v>
      </c>
      <c r="AD483" s="824">
        <v>5.0461916343877311</v>
      </c>
      <c r="AE483" s="824">
        <v>-3.7031173907582371E-2</v>
      </c>
      <c r="AF483" s="824">
        <v>111.07659226698395</v>
      </c>
      <c r="AG483" s="824">
        <v>-19.600000000000001</v>
      </c>
      <c r="AH483" s="824">
        <v>-316.89999999999998</v>
      </c>
      <c r="AI483" s="824">
        <v>0.6</v>
      </c>
      <c r="AJ483" s="824">
        <v>-46.4</v>
      </c>
      <c r="AK483" s="824">
        <v>-1.1679999999999999</v>
      </c>
      <c r="AL483" s="824">
        <v>-664</v>
      </c>
      <c r="AM483" s="1052">
        <v>-139.9</v>
      </c>
      <c r="AN483" s="824">
        <v>1.0646730428588036</v>
      </c>
      <c r="AO483" s="2174">
        <v>0</v>
      </c>
      <c r="AP483" s="767">
        <v>0</v>
      </c>
      <c r="AQ483" s="1052">
        <v>7.9</v>
      </c>
      <c r="AR483" s="767">
        <v>0</v>
      </c>
      <c r="AS483" s="767">
        <v>0</v>
      </c>
      <c r="AT483" s="767">
        <v>0</v>
      </c>
      <c r="AU483" s="767">
        <v>0</v>
      </c>
      <c r="AV483" s="767">
        <v>0</v>
      </c>
      <c r="AW483" s="767">
        <v>0</v>
      </c>
      <c r="AX483" s="767">
        <v>0</v>
      </c>
      <c r="AY483" s="767"/>
      <c r="AZ483" s="767"/>
      <c r="BA483" s="72"/>
      <c r="BB483" s="767">
        <v>0</v>
      </c>
      <c r="BC483" s="2189"/>
      <c r="BD483" s="738"/>
      <c r="BE483" s="765"/>
      <c r="BF483" s="765"/>
      <c r="BG483" s="765"/>
      <c r="BH483" s="765"/>
      <c r="BI483" s="765"/>
      <c r="BJ483" s="1299">
        <f>+SUM(S483:V483)</f>
        <v>-571.80000000000007</v>
      </c>
      <c r="BK483" s="765">
        <f>+SUM(W483:Z483)</f>
        <v>-13.570935885929366</v>
      </c>
      <c r="BL483" s="765">
        <f>+SUM(AA483:AD483)</f>
        <v>-1.1237983479809142</v>
      </c>
      <c r="BM483" s="765">
        <f>+SUM(AE483:AH483)</f>
        <v>-225.4604389069236</v>
      </c>
      <c r="BN483" s="765">
        <f>+SUM(AI483:AL483)</f>
        <v>-710.96799999999996</v>
      </c>
      <c r="BO483" s="2481">
        <f>+SUM(AM483:AP483)</f>
        <v>-138.83532695714121</v>
      </c>
      <c r="BP483" s="765">
        <f>+SUM(AQ483:AT483)</f>
        <v>7.9</v>
      </c>
      <c r="BQ483" s="765">
        <f>+SUM(AU483:AX483)</f>
        <v>0</v>
      </c>
      <c r="BR483" s="767">
        <f t="shared" ref="BR483:BU483" si="3079">+BQ483*0.9</f>
        <v>0</v>
      </c>
      <c r="BS483" s="767">
        <f t="shared" si="3079"/>
        <v>0</v>
      </c>
      <c r="BT483" s="767">
        <f t="shared" si="3079"/>
        <v>0</v>
      </c>
      <c r="BU483" s="767">
        <f t="shared" si="3079"/>
        <v>0</v>
      </c>
    </row>
    <row r="484" spans="1:73" s="576" customFormat="1" ht="15" customHeight="1">
      <c r="B484" s="576" t="s">
        <v>321</v>
      </c>
      <c r="C484" s="824"/>
      <c r="D484" s="824"/>
      <c r="E484" s="824"/>
      <c r="F484" s="824"/>
      <c r="G484" s="824"/>
      <c r="H484" s="824"/>
      <c r="I484" s="824"/>
      <c r="J484" s="824"/>
      <c r="K484" s="824"/>
      <c r="L484" s="824"/>
      <c r="M484" s="824"/>
      <c r="N484" s="824"/>
      <c r="O484" s="824"/>
      <c r="P484" s="824"/>
      <c r="Q484" s="824"/>
      <c r="R484" s="824"/>
      <c r="S484" s="1052"/>
      <c r="T484" s="824"/>
      <c r="U484" s="824"/>
      <c r="V484" s="824"/>
      <c r="W484" s="1052">
        <v>-14.533285415239755</v>
      </c>
      <c r="X484" s="824">
        <v>-18.902454470169999</v>
      </c>
      <c r="Y484" s="824">
        <v>-47.079425864397059</v>
      </c>
      <c r="Z484" s="824">
        <v>-20.679711142487864</v>
      </c>
      <c r="AA484" s="824">
        <v>-75.062555542796247</v>
      </c>
      <c r="AB484" s="824">
        <v>-127.3256799655239</v>
      </c>
      <c r="AC484" s="824">
        <v>-44.09289845867383</v>
      </c>
      <c r="AD484" s="824">
        <v>-42.898662819155732</v>
      </c>
      <c r="AE484" s="824">
        <v>-40.321948384238652</v>
      </c>
      <c r="AF484" s="824">
        <v>-25.532071981863698</v>
      </c>
      <c r="AG484" s="824">
        <v>-88.9</v>
      </c>
      <c r="AH484" s="824">
        <v>-59.5</v>
      </c>
      <c r="AI484" s="824">
        <v>-57.5</v>
      </c>
      <c r="AJ484" s="824">
        <v>-138.80000000000001</v>
      </c>
      <c r="AK484" s="824">
        <v>-13.379</v>
      </c>
      <c r="AL484" s="824">
        <v>-60.9</v>
      </c>
      <c r="AM484" s="1052">
        <v>-46.7</v>
      </c>
      <c r="AN484" s="824">
        <v>-78.730640154160142</v>
      </c>
      <c r="AO484" s="2174">
        <v>-60</v>
      </c>
      <c r="AP484" s="767">
        <v>-60</v>
      </c>
      <c r="AQ484" s="1052">
        <v>-63.6</v>
      </c>
      <c r="AR484" s="767">
        <v>-60</v>
      </c>
      <c r="AS484" s="767">
        <v>-60</v>
      </c>
      <c r="AT484" s="767">
        <v>-60</v>
      </c>
      <c r="AU484" s="767">
        <v>-60</v>
      </c>
      <c r="AV484" s="767">
        <v>-60</v>
      </c>
      <c r="AW484" s="767">
        <v>-60</v>
      </c>
      <c r="AX484" s="767">
        <v>-60</v>
      </c>
      <c r="AY484" s="767"/>
      <c r="AZ484" s="767"/>
      <c r="BA484" s="72"/>
      <c r="BB484" s="767">
        <v>-60</v>
      </c>
      <c r="BC484" s="2189"/>
      <c r="BD484" s="738"/>
      <c r="BE484" s="765"/>
      <c r="BF484" s="765"/>
      <c r="BG484" s="765"/>
      <c r="BH484" s="765"/>
      <c r="BI484" s="765"/>
      <c r="BJ484" s="1299"/>
      <c r="BK484" s="765">
        <f>+SUM(W484:Z484)</f>
        <v>-101.19487689229467</v>
      </c>
      <c r="BL484" s="765">
        <f>+SUM(AA484:AD484)</f>
        <v>-289.37979678614971</v>
      </c>
      <c r="BM484" s="765">
        <f>+SUM(AE484:AH484)</f>
        <v>-214.25402036610234</v>
      </c>
      <c r="BN484" s="765">
        <f>+SUM(AI484:AL484)</f>
        <v>-270.57900000000001</v>
      </c>
      <c r="BO484" s="2481">
        <f>+SUM(AM484:AP484)</f>
        <v>-245.43064015416013</v>
      </c>
      <c r="BP484" s="765">
        <f>+SUM(AQ484:AT484)</f>
        <v>-243.6</v>
      </c>
      <c r="BQ484" s="765">
        <f>+SUM(AU484:AX484)</f>
        <v>-240</v>
      </c>
      <c r="BR484" s="767">
        <v>-100</v>
      </c>
      <c r="BS484" s="767">
        <v>-100</v>
      </c>
      <c r="BT484" s="767">
        <v>-100</v>
      </c>
      <c r="BU484" s="767">
        <v>-100</v>
      </c>
    </row>
    <row r="485" spans="1:73" s="576" customFormat="1" ht="15" customHeight="1">
      <c r="B485" s="576" t="s">
        <v>322</v>
      </c>
      <c r="C485" s="764">
        <f>+C480+C477+C483</f>
        <v>-633.70000000000005</v>
      </c>
      <c r="D485" s="764">
        <f>+D480+D477+D483</f>
        <v>-701.30000000000007</v>
      </c>
      <c r="E485" s="764">
        <f>+E480+E477+E483</f>
        <v>-642.29999999999995</v>
      </c>
      <c r="F485" s="764">
        <f>+F480+F477+F483</f>
        <v>-780</v>
      </c>
      <c r="G485" s="764"/>
      <c r="H485" s="764"/>
      <c r="I485" s="764"/>
      <c r="J485" s="764"/>
      <c r="K485" s="764"/>
      <c r="L485" s="764"/>
      <c r="M485" s="764"/>
      <c r="N485" s="764"/>
      <c r="O485" s="764"/>
      <c r="P485" s="764"/>
      <c r="Q485" s="764"/>
      <c r="R485" s="764"/>
      <c r="S485" s="1053">
        <f t="shared" ref="S485:AI485" si="3080">+S480+S477+S483+S484</f>
        <v>-1163.2</v>
      </c>
      <c r="T485" s="764">
        <f t="shared" si="3080"/>
        <v>-1145.0999999999999</v>
      </c>
      <c r="U485" s="764">
        <f t="shared" si="3080"/>
        <v>-1112.0999999999999</v>
      </c>
      <c r="V485" s="764">
        <f t="shared" si="3080"/>
        <v>-1496.6999999999998</v>
      </c>
      <c r="W485" s="1053">
        <f t="shared" si="3080"/>
        <v>-1350.5531632236</v>
      </c>
      <c r="X485" s="764">
        <f t="shared" si="3080"/>
        <v>-1170.8399433295049</v>
      </c>
      <c r="Y485" s="764">
        <f t="shared" si="3080"/>
        <v>-1542.1956243288757</v>
      </c>
      <c r="Z485" s="764">
        <f t="shared" si="3080"/>
        <v>-1711.0770818962435</v>
      </c>
      <c r="AA485" s="764">
        <f t="shared" si="3080"/>
        <v>-1614.0196417877457</v>
      </c>
      <c r="AB485" s="764">
        <f t="shared" si="3080"/>
        <v>-1616.3287063855237</v>
      </c>
      <c r="AC485" s="764">
        <f t="shared" si="3080"/>
        <v>-1417.5027757760934</v>
      </c>
      <c r="AD485" s="764">
        <f t="shared" si="3080"/>
        <v>-1540.252471184768</v>
      </c>
      <c r="AE485" s="764">
        <f t="shared" si="3080"/>
        <v>-1235.0589795581461</v>
      </c>
      <c r="AF485" s="764">
        <f t="shared" si="3080"/>
        <v>-991.95547971487974</v>
      </c>
      <c r="AG485" s="764">
        <f t="shared" si="3080"/>
        <v>-1172</v>
      </c>
      <c r="AH485" s="764">
        <f t="shared" si="3080"/>
        <v>-1660.1999999999998</v>
      </c>
      <c r="AI485" s="764">
        <f t="shared" si="3080"/>
        <v>-1183.9000000000001</v>
      </c>
      <c r="AJ485" s="764">
        <f>+AJ480+AJ477+AJ483+AJ484</f>
        <v>-1233.6000000000001</v>
      </c>
      <c r="AK485" s="764">
        <f t="shared" ref="AK485:BU485" si="3081">+AK480+AK477+AK483+AK484</f>
        <v>-987.64599999999996</v>
      </c>
      <c r="AL485" s="764">
        <f t="shared" si="3081"/>
        <v>-1753.4</v>
      </c>
      <c r="AM485" s="1053">
        <f t="shared" si="3081"/>
        <v>-1153.6000000000001</v>
      </c>
      <c r="AN485" s="764">
        <f t="shared" si="3081"/>
        <v>-1075.7984262806776</v>
      </c>
      <c r="AO485" s="1053">
        <f t="shared" si="3081"/>
        <v>-1146.5070419957583</v>
      </c>
      <c r="AP485" s="764">
        <f t="shared" si="3081"/>
        <v>-1241.6621391226442</v>
      </c>
      <c r="AQ485" s="1053">
        <f t="shared" ref="AQ485:AT485" si="3082">+AQ480+AQ477+AQ483+AQ484</f>
        <v>-1031.8</v>
      </c>
      <c r="AR485" s="764">
        <f t="shared" si="3082"/>
        <v>-1048.4599338687231</v>
      </c>
      <c r="AS485" s="764">
        <f t="shared" si="3082"/>
        <v>-1055.8744712592181</v>
      </c>
      <c r="AT485" s="764">
        <f t="shared" si="3082"/>
        <v>-1025.108387505549</v>
      </c>
      <c r="AU485" s="764">
        <f t="shared" ref="AU485:AX485" si="3083">+AU480+AU477+AU483+AU484</f>
        <v>-794.72155982905986</v>
      </c>
      <c r="AV485" s="764">
        <f t="shared" si="3083"/>
        <v>-834.91150091283453</v>
      </c>
      <c r="AW485" s="764">
        <f t="shared" si="3083"/>
        <v>-923.59522075623204</v>
      </c>
      <c r="AX485" s="764">
        <f t="shared" si="3083"/>
        <v>-956.18757346702046</v>
      </c>
      <c r="AY485" s="764"/>
      <c r="AZ485" s="764"/>
      <c r="BA485" s="72">
        <f t="shared" si="3081"/>
        <v>0</v>
      </c>
      <c r="BB485" s="764">
        <v>-1025.108387505549</v>
      </c>
      <c r="BC485" s="2189">
        <f t="shared" si="3081"/>
        <v>0</v>
      </c>
      <c r="BD485" s="738">
        <f t="shared" si="3081"/>
        <v>0</v>
      </c>
      <c r="BE485" s="765">
        <f t="shared" si="3081"/>
        <v>0</v>
      </c>
      <c r="BF485" s="765">
        <f t="shared" si="3081"/>
        <v>0</v>
      </c>
      <c r="BG485" s="765">
        <f t="shared" si="3081"/>
        <v>0</v>
      </c>
      <c r="BH485" s="765">
        <f t="shared" si="3081"/>
        <v>0</v>
      </c>
      <c r="BI485" s="765"/>
      <c r="BJ485" s="1299">
        <f t="shared" si="3081"/>
        <v>-4917.1000000000004</v>
      </c>
      <c r="BK485" s="765">
        <f t="shared" si="3081"/>
        <v>-5774.6658127782239</v>
      </c>
      <c r="BL485" s="765">
        <f t="shared" si="3081"/>
        <v>-6188.103595134131</v>
      </c>
      <c r="BM485" s="765">
        <f t="shared" si="3081"/>
        <v>-5059.2144592730256</v>
      </c>
      <c r="BN485" s="765">
        <f t="shared" si="3081"/>
        <v>-5158.5459999999994</v>
      </c>
      <c r="BO485" s="2481">
        <f t="shared" si="3081"/>
        <v>-4617.5676073990799</v>
      </c>
      <c r="BP485" s="765">
        <f t="shared" ref="BP485:BQ485" si="3084">+BP480+BP477+BP483+BP484</f>
        <v>-4161.2427926334894</v>
      </c>
      <c r="BQ485" s="765">
        <f t="shared" si="3084"/>
        <v>-3509.415854965147</v>
      </c>
      <c r="BR485" s="764">
        <f t="shared" si="3081"/>
        <v>-3412.6540273462342</v>
      </c>
      <c r="BS485" s="764">
        <f t="shared" si="3081"/>
        <v>-3491.222161088489</v>
      </c>
      <c r="BT485" s="764">
        <f t="shared" si="3081"/>
        <v>-3569.4236870105342</v>
      </c>
      <c r="BU485" s="764">
        <f t="shared" si="3081"/>
        <v>-3649.3150307303495</v>
      </c>
    </row>
    <row r="486" spans="1:73" s="340" customFormat="1" ht="15" customHeight="1">
      <c r="B486" s="340" t="s">
        <v>316</v>
      </c>
      <c r="C486" s="476" t="str">
        <f>IF(ISNUMBER((C485/#REF!-1)),IF(#REF!=0,"NMF",IF(OR(#REF!*C485&lt;0,C485/#REF!-1&gt;10),"NMF",C485/#REF!-1)),"")</f>
        <v/>
      </c>
      <c r="D486" s="476" t="str">
        <f>IF(ISNUMBER((D485/#REF!-1)),IF(#REF!=0,"NMF",IF(OR(#REF!*D485&lt;0,D485/#REF!-1&gt;10),"NMF",D485/#REF!-1)),"")</f>
        <v/>
      </c>
      <c r="E486" s="476" t="str">
        <f>IF(ISNUMBER((E485/#REF!-1)),IF(#REF!=0,"NMF",IF(OR(#REF!*E485&lt;0,E485/#REF!-1&gt;10),"NMF",E485/#REF!-1)),"")</f>
        <v/>
      </c>
      <c r="F486" s="476" t="str">
        <f>IF(ISNUMBER((F485/A485-1)),IF(A485=0,"NMF",IF(OR(A485*F485&lt;0,F485/A485-1&gt;10),"NMF",F485/A485-1)),"")</f>
        <v/>
      </c>
      <c r="G486" s="479"/>
      <c r="H486" s="479"/>
      <c r="I486" s="479"/>
      <c r="J486" s="479"/>
      <c r="K486" s="479"/>
      <c r="L486" s="479"/>
      <c r="M486" s="479"/>
      <c r="N486" s="479"/>
      <c r="O486" s="479"/>
      <c r="P486" s="479"/>
      <c r="Q486" s="479"/>
      <c r="R486" s="479"/>
      <c r="S486" s="1049"/>
      <c r="T486" s="479"/>
      <c r="U486" s="479"/>
      <c r="V486" s="479"/>
      <c r="W486" s="1049">
        <f t="shared" ref="W486:Z486" si="3085">+W485/S485-1</f>
        <v>0.16106702477957358</v>
      </c>
      <c r="X486" s="479">
        <f t="shared" si="3085"/>
        <v>2.2478336677587141E-2</v>
      </c>
      <c r="Y486" s="479">
        <f t="shared" si="3085"/>
        <v>0.38674186163912938</v>
      </c>
      <c r="Z486" s="479">
        <f t="shared" si="3085"/>
        <v>0.14323316756614135</v>
      </c>
      <c r="AA486" s="479">
        <f>+AA485/W485-1</f>
        <v>0.19508042018522587</v>
      </c>
      <c r="AB486" s="479">
        <f>+AB485/X485-1</f>
        <v>0.38048647519590695</v>
      </c>
      <c r="AC486" s="479">
        <f>+AC485/Y485-1</f>
        <v>-8.0854106045752494E-2</v>
      </c>
      <c r="AD486" s="479">
        <f>+AD485/Z485-1</f>
        <v>-9.9834550131525868E-2</v>
      </c>
      <c r="AE486" s="479">
        <f t="shared" ref="AE486:AH486" si="3086">+AE485/AA485-1</f>
        <v>-0.23479309199103005</v>
      </c>
      <c r="AF486" s="479">
        <f t="shared" si="3086"/>
        <v>-0.38629099650583054</v>
      </c>
      <c r="AG486" s="479">
        <f t="shared" si="3086"/>
        <v>-0.17319385892678674</v>
      </c>
      <c r="AH486" s="479">
        <f t="shared" si="3086"/>
        <v>7.7875238676272218E-2</v>
      </c>
      <c r="AI486" s="479">
        <f t="shared" ref="AI486" si="3087">+AI485/AE485-1</f>
        <v>-4.1422296752539389E-2</v>
      </c>
      <c r="AJ486" s="479">
        <f t="shared" ref="AJ486" si="3088">+AJ485/AF485-1</f>
        <v>0.24360419920718313</v>
      </c>
      <c r="AK486" s="479">
        <f t="shared" ref="AK486" si="3089">+AK485/AG485-1</f>
        <v>-0.15729863481228668</v>
      </c>
      <c r="AL486" s="479">
        <f t="shared" ref="AL486" si="3090">+AL485/AH485-1</f>
        <v>5.6137814721118007E-2</v>
      </c>
      <c r="AM486" s="1049">
        <f t="shared" ref="AM486" si="3091">+AM485/AI485-1</f>
        <v>-2.559337781907256E-2</v>
      </c>
      <c r="AN486" s="479">
        <f t="shared" ref="AN486" si="3092">+AN485/AJ485-1</f>
        <v>-0.12791956365055324</v>
      </c>
      <c r="AO486" s="1049">
        <f t="shared" ref="AO486" si="3093">+AO485/AK485-1</f>
        <v>0.16084816016645465</v>
      </c>
      <c r="AP486" s="479">
        <f t="shared" ref="AP486" si="3094">+AP485/AL485-1</f>
        <v>-0.29185460298697152</v>
      </c>
      <c r="AQ486" s="1049">
        <f t="shared" ref="AQ486" si="3095">+AQ485/AM485-1</f>
        <v>-0.10558252427184478</v>
      </c>
      <c r="AR486" s="479">
        <f t="shared" ref="AR486" si="3096">+AR485/AN485-1</f>
        <v>-2.5412281468444875E-2</v>
      </c>
      <c r="AS486" s="479">
        <f t="shared" ref="AS486" si="3097">+AS485/AO485-1</f>
        <v>-7.9051037121214196E-2</v>
      </c>
      <c r="AT486" s="479">
        <f t="shared" ref="AT486" si="3098">+AT485/AP485-1</f>
        <v>-0.17440634194589488</v>
      </c>
      <c r="AU486" s="479">
        <f t="shared" ref="AU486" si="3099">+AU485/AQ485-1</f>
        <v>-0.2297717001075209</v>
      </c>
      <c r="AV486" s="479">
        <f t="shared" ref="AV486" si="3100">+AV485/AR485-1</f>
        <v>-0.20367820081394428</v>
      </c>
      <c r="AW486" s="479">
        <f t="shared" ref="AW486" si="3101">+AW485/AS485-1</f>
        <v>-0.12527933395835589</v>
      </c>
      <c r="AX486" s="479">
        <f t="shared" ref="AX486" si="3102">+AX485/AT485-1</f>
        <v>-6.7232709124775858E-2</v>
      </c>
      <c r="AY486" s="479"/>
      <c r="AZ486" s="479"/>
      <c r="BA486" s="72"/>
      <c r="BB486" s="479">
        <v>-0.17440634194589488</v>
      </c>
      <c r="BC486" s="2189"/>
      <c r="BD486" s="72"/>
      <c r="BE486" s="479"/>
      <c r="BF486" s="479"/>
      <c r="BG486" s="479"/>
      <c r="BH486" s="479"/>
      <c r="BI486" s="479"/>
      <c r="BJ486" s="1296"/>
      <c r="BK486" s="479"/>
      <c r="BL486" s="479">
        <f t="shared" ref="BL486:BR486" si="3103">+BL485/BK485-1</f>
        <v>7.1595101043085307E-2</v>
      </c>
      <c r="BM486" s="479">
        <f t="shared" si="3103"/>
        <v>-0.18242893295270313</v>
      </c>
      <c r="BN486" s="479">
        <f t="shared" si="3103"/>
        <v>1.9633787325403773E-2</v>
      </c>
      <c r="BO486" s="1049">
        <f t="shared" si="3103"/>
        <v>-0.10487032442880606</v>
      </c>
      <c r="BP486" s="479">
        <f t="shared" si="3103"/>
        <v>-9.8823634771342928E-2</v>
      </c>
      <c r="BQ486" s="479">
        <f t="shared" si="3103"/>
        <v>-0.15664237107775836</v>
      </c>
      <c r="BR486" s="479">
        <f t="shared" si="3103"/>
        <v>-2.757206088358366E-2</v>
      </c>
      <c r="BS486" s="479">
        <f t="shared" ref="BS486" si="3104">+BS485/BR485-1</f>
        <v>2.3022589782812242E-2</v>
      </c>
      <c r="BT486" s="479">
        <f t="shared" ref="BT486" si="3105">+BT485/BS485-1</f>
        <v>2.2399469960302953E-2</v>
      </c>
      <c r="BU486" s="479">
        <f t="shared" ref="BU486" si="3106">+BU485/BT485-1</f>
        <v>2.2382140851070043E-2</v>
      </c>
    </row>
    <row r="487" spans="1:73" s="340" customFormat="1" ht="15" customHeight="1">
      <c r="B487" s="340" t="s">
        <v>318</v>
      </c>
      <c r="C487" s="479">
        <f>+C485/C$285</f>
        <v>-0.50985598197763293</v>
      </c>
      <c r="D487" s="479">
        <f>+D485/D$285</f>
        <v>-0.49776421321598413</v>
      </c>
      <c r="E487" s="479">
        <f>+E485/E$285</f>
        <v>-0.47155128111005068</v>
      </c>
      <c r="F487" s="479">
        <f>+F485/F$285</f>
        <v>-0.49373338397265476</v>
      </c>
      <c r="G487" s="479"/>
      <c r="H487" s="479"/>
      <c r="I487" s="479"/>
      <c r="J487" s="479"/>
      <c r="K487" s="479"/>
      <c r="L487" s="479"/>
      <c r="M487" s="479"/>
      <c r="N487" s="479"/>
      <c r="O487" s="479"/>
      <c r="P487" s="479"/>
      <c r="Q487" s="479"/>
      <c r="R487" s="479"/>
      <c r="S487" s="1049">
        <f t="shared" ref="S487:V487" si="3107">+S485/S$470</f>
        <v>-0.5353707368711742</v>
      </c>
      <c r="T487" s="479">
        <f t="shared" si="3107"/>
        <v>-0.54375801320100658</v>
      </c>
      <c r="U487" s="479">
        <f t="shared" si="3107"/>
        <v>-0.55430394258087023</v>
      </c>
      <c r="V487" s="479">
        <f t="shared" si="3107"/>
        <v>-0.58492261997811468</v>
      </c>
      <c r="W487" s="1049">
        <f t="shared" ref="W487:AD487" si="3108">+W485/W$470</f>
        <v>-0.63660295226189012</v>
      </c>
      <c r="X487" s="479">
        <f t="shared" si="3108"/>
        <v>-0.70959996565424543</v>
      </c>
      <c r="Y487" s="479">
        <f t="shared" si="3108"/>
        <v>-0.62759761703043004</v>
      </c>
      <c r="Z487" s="479">
        <f t="shared" si="3108"/>
        <v>-0.59650586783902515</v>
      </c>
      <c r="AA487" s="479">
        <f t="shared" si="3108"/>
        <v>-0.68289386155605913</v>
      </c>
      <c r="AB487" s="479">
        <f t="shared" si="3108"/>
        <v>-0.73336148202609963</v>
      </c>
      <c r="AC487" s="479">
        <f t="shared" si="3108"/>
        <v>-0.69021900753571286</v>
      </c>
      <c r="AD487" s="479">
        <f t="shared" si="3108"/>
        <v>-0.56875760540037956</v>
      </c>
      <c r="AE487" s="479">
        <f t="shared" ref="AE487:AH487" si="3109">+AE485/AE$470</f>
        <v>-0.67049890312602933</v>
      </c>
      <c r="AF487" s="479">
        <f t="shared" si="3109"/>
        <v>-0.60345265830081507</v>
      </c>
      <c r="AG487" s="479">
        <f t="shared" si="3109"/>
        <v>-0.71133770332605006</v>
      </c>
      <c r="AH487" s="479">
        <f t="shared" si="3109"/>
        <v>-0.8049064287792107</v>
      </c>
      <c r="AI487" s="479">
        <f t="shared" ref="AI487:AL487" si="3110">+AI485/AI$470</f>
        <v>-0.73689779658907018</v>
      </c>
      <c r="AJ487" s="479">
        <f t="shared" si="3110"/>
        <v>-0.8167913659537841</v>
      </c>
      <c r="AK487" s="479">
        <f t="shared" si="3110"/>
        <v>-0.67842801071036529</v>
      </c>
      <c r="AL487" s="479">
        <f t="shared" si="3110"/>
        <v>-1.0229274838107463</v>
      </c>
      <c r="AM487" s="1049">
        <f t="shared" ref="AM487:AP487" si="3111">+AM485/AM$470</f>
        <v>-0.82594687477625839</v>
      </c>
      <c r="AN487" s="479">
        <f t="shared" si="3111"/>
        <v>-0.75397124606274324</v>
      </c>
      <c r="AO487" s="1049">
        <f t="shared" si="3111"/>
        <v>-0.66697116698175574</v>
      </c>
      <c r="AP487" s="479">
        <f t="shared" si="3111"/>
        <v>-0.59158111079182107</v>
      </c>
      <c r="AQ487" s="1049">
        <f t="shared" ref="AQ487:AT487" si="3112">+AQ485/AQ$470</f>
        <v>-0.74001290970379396</v>
      </c>
      <c r="AR487" s="479">
        <f t="shared" si="3112"/>
        <v>-0.78859271101309114</v>
      </c>
      <c r="AS487" s="479">
        <f t="shared" si="3112"/>
        <v>-0.73550619740450096</v>
      </c>
      <c r="AT487" s="479">
        <f t="shared" si="3112"/>
        <v>-0.62119310514190129</v>
      </c>
      <c r="AU487" s="479">
        <f t="shared" ref="AU487:AX487" si="3113">+AU485/AU$470</f>
        <v>-0.74015016187278437</v>
      </c>
      <c r="AV487" s="479">
        <f t="shared" si="3113"/>
        <v>-0.78658280334459341</v>
      </c>
      <c r="AW487" s="479">
        <f t="shared" si="3113"/>
        <v>-0.77584697020427273</v>
      </c>
      <c r="AX487" s="479">
        <f t="shared" si="3113"/>
        <v>-0.68945489714123964</v>
      </c>
      <c r="AY487" s="479"/>
      <c r="AZ487" s="479"/>
      <c r="BA487" s="72"/>
      <c r="BB487" s="479">
        <v>-0.62119310514190129</v>
      </c>
      <c r="BC487" s="2189"/>
      <c r="BD487" s="72"/>
      <c r="BE487" s="479"/>
      <c r="BF487" s="479"/>
      <c r="BG487" s="479"/>
      <c r="BH487" s="479"/>
      <c r="BI487" s="479"/>
      <c r="BJ487" s="1296">
        <f t="shared" ref="BJ487" si="3114">+BJ485/BJ$470</f>
        <v>-0.55600031660956384</v>
      </c>
      <c r="BK487" s="479">
        <f>+BK485/BK$470</f>
        <v>-0.63476699820586591</v>
      </c>
      <c r="BL487" s="479">
        <f>+BL485/BL$470</f>
        <v>-0.66329773885866372</v>
      </c>
      <c r="BM487" s="479">
        <f t="shared" ref="BM487:BN487" si="3115">+BM485/BM$470</f>
        <v>-0.70305926337868618</v>
      </c>
      <c r="BN487" s="479">
        <f t="shared" si="3115"/>
        <v>-0.82053787102026365</v>
      </c>
      <c r="BO487" s="1049">
        <f t="shared" ref="BO487:BP487" si="3116">+BO485/BO$470</f>
        <v>-0.6952696293767312</v>
      </c>
      <c r="BP487" s="479">
        <f t="shared" si="3116"/>
        <v>-0.71626602402562989</v>
      </c>
      <c r="BQ487" s="479">
        <f t="shared" ref="BQ487" si="3117">+BQ485/BQ$470</f>
        <v>-0.74470662919319142</v>
      </c>
      <c r="BR487" s="479">
        <f>+BR485/BR$470</f>
        <v>-0.69889077827023816</v>
      </c>
      <c r="BS487" s="479">
        <f t="shared" ref="BS487:BU487" si="3118">+BS485/BS$470</f>
        <v>-0.68976068529102108</v>
      </c>
      <c r="BT487" s="479">
        <f t="shared" si="3118"/>
        <v>-0.68116580608615385</v>
      </c>
      <c r="BU487" s="479">
        <f t="shared" si="3118"/>
        <v>-0.67266662329847071</v>
      </c>
    </row>
    <row r="488" spans="1:73" s="340" customFormat="1" ht="15" customHeight="1">
      <c r="C488" s="476"/>
      <c r="D488" s="476"/>
      <c r="E488" s="476"/>
      <c r="F488" s="476"/>
      <c r="G488" s="476"/>
      <c r="H488" s="476"/>
      <c r="I488" s="476"/>
      <c r="J488" s="476"/>
      <c r="K488" s="476"/>
      <c r="L488" s="476"/>
      <c r="M488" s="476"/>
      <c r="N488" s="476"/>
      <c r="O488" s="476"/>
      <c r="P488" s="476"/>
      <c r="Q488" s="476"/>
      <c r="R488" s="476"/>
      <c r="S488" s="1054"/>
      <c r="T488" s="476"/>
      <c r="U488" s="476"/>
      <c r="V488" s="476"/>
      <c r="W488" s="1054"/>
      <c r="X488" s="476"/>
      <c r="Y488" s="476"/>
      <c r="Z488" s="476"/>
      <c r="AA488" s="476"/>
      <c r="AB488" s="476"/>
      <c r="AC488" s="476"/>
      <c r="AD488" s="476"/>
      <c r="AE488" s="476"/>
      <c r="AF488" s="476"/>
      <c r="AG488" s="476"/>
      <c r="AH488" s="476"/>
      <c r="AI488" s="476"/>
      <c r="AJ488" s="476"/>
      <c r="AK488" s="476"/>
      <c r="AL488" s="476"/>
      <c r="AM488" s="1054"/>
      <c r="AN488" s="476"/>
      <c r="AO488" s="1054"/>
      <c r="AP488" s="476"/>
      <c r="AQ488" s="1054"/>
      <c r="AR488" s="476"/>
      <c r="AS488" s="476"/>
      <c r="AT488" s="476"/>
      <c r="AU488" s="476"/>
      <c r="AV488" s="476"/>
      <c r="AW488" s="476"/>
      <c r="AX488" s="476"/>
      <c r="AY488" s="476"/>
      <c r="AZ488" s="476"/>
      <c r="BA488" s="72"/>
      <c r="BB488" s="476"/>
      <c r="BC488" s="2189"/>
      <c r="BD488" s="72"/>
      <c r="BE488" s="343"/>
      <c r="BF488" s="343"/>
      <c r="BG488" s="343"/>
      <c r="BH488" s="343"/>
      <c r="BI488" s="343"/>
      <c r="BJ488" s="1298"/>
      <c r="BK488" s="343"/>
      <c r="BL488" s="343"/>
      <c r="BM488" s="343"/>
      <c r="BN488" s="343"/>
      <c r="BO488" s="2482"/>
      <c r="BP488" s="343"/>
      <c r="BQ488" s="343"/>
      <c r="BR488" s="476"/>
      <c r="BS488" s="476"/>
      <c r="BT488" s="476"/>
      <c r="BU488" s="476"/>
    </row>
    <row r="489" spans="1:73" s="340" customFormat="1" ht="15" customHeight="1">
      <c r="C489" s="476"/>
      <c r="D489" s="476"/>
      <c r="E489" s="476"/>
      <c r="F489" s="476"/>
      <c r="G489" s="476"/>
      <c r="H489" s="476"/>
      <c r="I489" s="476"/>
      <c r="J489" s="476"/>
      <c r="K489" s="476"/>
      <c r="L489" s="476"/>
      <c r="M489" s="476"/>
      <c r="N489" s="476"/>
      <c r="O489" s="476"/>
      <c r="P489" s="476"/>
      <c r="Q489" s="476"/>
      <c r="R489" s="476"/>
      <c r="S489" s="1054"/>
      <c r="T489" s="476"/>
      <c r="U489" s="476"/>
      <c r="V489" s="476"/>
      <c r="W489" s="1054"/>
      <c r="X489" s="476"/>
      <c r="Y489" s="476"/>
      <c r="Z489" s="476"/>
      <c r="AA489" s="476"/>
      <c r="AB489" s="476"/>
      <c r="AC489" s="476"/>
      <c r="AD489" s="476"/>
      <c r="AE489" s="476"/>
      <c r="AF489" s="476"/>
      <c r="AG489" s="476"/>
      <c r="AH489" s="476"/>
      <c r="AI489" s="476"/>
      <c r="AJ489" s="476"/>
      <c r="AK489" s="476"/>
      <c r="AL489" s="476"/>
      <c r="AM489" s="1054"/>
      <c r="AN489" s="476"/>
      <c r="AO489" s="1054"/>
      <c r="AP489" s="476"/>
      <c r="AQ489" s="1054"/>
      <c r="AR489" s="476"/>
      <c r="AS489" s="476"/>
      <c r="AT489" s="476"/>
      <c r="AU489" s="476"/>
      <c r="AV489" s="476"/>
      <c r="AW489" s="476"/>
      <c r="AX489" s="476"/>
      <c r="AY489" s="476"/>
      <c r="AZ489" s="476"/>
      <c r="BA489" s="72"/>
      <c r="BB489" s="476"/>
      <c r="BC489" s="2189"/>
      <c r="BD489" s="72"/>
      <c r="BE489" s="343"/>
      <c r="BF489" s="343"/>
      <c r="BG489" s="343"/>
      <c r="BH489" s="343"/>
      <c r="BI489" s="343"/>
      <c r="BJ489" s="1298"/>
      <c r="BK489" s="343"/>
      <c r="BL489" s="343"/>
      <c r="BM489" s="343"/>
      <c r="BN489" s="343"/>
      <c r="BO489" s="2482"/>
      <c r="BP489" s="343"/>
      <c r="BQ489" s="343"/>
      <c r="BR489" s="476"/>
      <c r="BS489" s="476"/>
      <c r="BT489" s="476"/>
      <c r="BU489" s="476"/>
    </row>
    <row r="490" spans="1:73" s="488" customFormat="1" ht="15" customHeight="1">
      <c r="A490" s="487"/>
      <c r="B490" s="488" t="s">
        <v>323</v>
      </c>
      <c r="C490" s="489" t="e">
        <f>+C473+C485</f>
        <v>#REF!</v>
      </c>
      <c r="D490" s="489" t="e">
        <f>+D473+D485</f>
        <v>#REF!</v>
      </c>
      <c r="E490" s="489" t="e">
        <f>+E473+E485</f>
        <v>#REF!</v>
      </c>
      <c r="F490" s="489" t="e">
        <f>+F473+F485</f>
        <v>#REF!</v>
      </c>
      <c r="G490" s="489"/>
      <c r="H490" s="489"/>
      <c r="I490" s="489"/>
      <c r="J490" s="489"/>
      <c r="K490" s="489"/>
      <c r="L490" s="489"/>
      <c r="M490" s="489"/>
      <c r="N490" s="489"/>
      <c r="O490" s="489"/>
      <c r="P490" s="489"/>
      <c r="Q490" s="489"/>
      <c r="R490" s="489"/>
      <c r="S490" s="1055">
        <f t="shared" ref="S490:T490" si="3119">+S473+S485</f>
        <v>141.20000000000005</v>
      </c>
      <c r="T490" s="966">
        <f t="shared" si="3119"/>
        <v>144.40000000000009</v>
      </c>
      <c r="U490" s="966">
        <f>+('Avon IS'!U135+'Avon IS'!U147)*MACRO!T3+U483</f>
        <v>118.43535999999997</v>
      </c>
      <c r="V490" s="966">
        <f>+('Avon IS'!V135+'Avon IS'!V147)*MACRO!U3+V483</f>
        <v>68.485199999999907</v>
      </c>
      <c r="W490" s="1055">
        <f t="shared" ref="W490:AD490" si="3120">+W473+W485</f>
        <v>-156.25316322360004</v>
      </c>
      <c r="X490" s="966">
        <f t="shared" si="3120"/>
        <v>-153.33994332950488</v>
      </c>
      <c r="Y490" s="966">
        <f t="shared" si="3120"/>
        <v>-62.995624328875692</v>
      </c>
      <c r="Z490" s="966">
        <f t="shared" si="3120"/>
        <v>-126.5770818962435</v>
      </c>
      <c r="AA490" s="966">
        <f t="shared" si="3120"/>
        <v>-196.71964178774579</v>
      </c>
      <c r="AB490" s="966">
        <f t="shared" si="3120"/>
        <v>-254.62870638552363</v>
      </c>
      <c r="AC490" s="966">
        <f t="shared" si="3120"/>
        <v>-158.00277577609336</v>
      </c>
      <c r="AD490" s="966">
        <f t="shared" si="3120"/>
        <v>52.347528815231954</v>
      </c>
      <c r="AE490" s="966">
        <f t="shared" ref="AE490:AH490" si="3121">+AE473+AE485</f>
        <v>-137.65897955814603</v>
      </c>
      <c r="AF490" s="966">
        <f t="shared" si="3121"/>
        <v>-26.455479714879743</v>
      </c>
      <c r="AG490" s="966">
        <f t="shared" si="3121"/>
        <v>-190</v>
      </c>
      <c r="AH490" s="966">
        <f t="shared" si="3121"/>
        <v>-399.79999999999973</v>
      </c>
      <c r="AI490" s="966">
        <f t="shared" ref="AI490:AL490" si="3122">+AI473+AI485</f>
        <v>-148.50000000000023</v>
      </c>
      <c r="AJ490" s="966">
        <f t="shared" si="3122"/>
        <v>-276.90000000000009</v>
      </c>
      <c r="AK490" s="966">
        <f t="shared" si="3122"/>
        <v>-49.313999999999965</v>
      </c>
      <c r="AL490" s="966">
        <f t="shared" si="3122"/>
        <v>-684.40000000000009</v>
      </c>
      <c r="AM490" s="1055">
        <f t="shared" ref="AM490:AP490" si="3123">+AM473+AM485</f>
        <v>-276.70000000000016</v>
      </c>
      <c r="AN490" s="966">
        <f t="shared" si="3123"/>
        <v>-204.33517019435271</v>
      </c>
      <c r="AO490" s="1055">
        <f t="shared" si="3123"/>
        <v>-72.914881521948928</v>
      </c>
      <c r="AP490" s="966">
        <f t="shared" si="3123"/>
        <v>88.299741045240125</v>
      </c>
      <c r="AQ490" s="1055">
        <f t="shared" ref="AQ490:AT490" si="3124">+AQ473+AQ485</f>
        <v>-151.5</v>
      </c>
      <c r="AR490" s="966">
        <f t="shared" si="3124"/>
        <v>-223.13466966511919</v>
      </c>
      <c r="AS490" s="966">
        <f t="shared" si="3124"/>
        <v>-159.28090508727621</v>
      </c>
      <c r="AT490" s="966">
        <f t="shared" si="3124"/>
        <v>20.558157027483048</v>
      </c>
      <c r="AU490" s="966">
        <f t="shared" ref="AU490:AX490" si="3125">+AU473+AU485</f>
        <v>-116.81532051282056</v>
      </c>
      <c r="AV490" s="966">
        <f t="shared" si="3125"/>
        <v>-176.00763542422976</v>
      </c>
      <c r="AW490" s="966">
        <f t="shared" si="3125"/>
        <v>-180.10497815346002</v>
      </c>
      <c r="AX490" s="966">
        <f t="shared" si="3125"/>
        <v>-77.393159621106179</v>
      </c>
      <c r="AY490" s="764"/>
      <c r="AZ490" s="764"/>
      <c r="BA490" s="85"/>
      <c r="BB490" s="966">
        <v>20.558157027483048</v>
      </c>
      <c r="BC490" s="2198">
        <f>+AT490/BB490-1</f>
        <v>0</v>
      </c>
      <c r="BD490" s="85"/>
      <c r="BE490" s="489"/>
      <c r="BF490" s="489"/>
      <c r="BG490" s="489"/>
      <c r="BH490" s="476"/>
      <c r="BI490" s="764"/>
      <c r="BJ490" s="2146">
        <f>+SUM(S490:V490)</f>
        <v>472.52055999999999</v>
      </c>
      <c r="BK490" s="966">
        <f>+SUM(W490:Z490)</f>
        <v>-499.16581277822411</v>
      </c>
      <c r="BL490" s="966">
        <f>+SUM(AA490:AD490)</f>
        <v>-557.00359513413082</v>
      </c>
      <c r="BM490" s="966">
        <f>+SUM(AE490:AH490)</f>
        <v>-753.9144592730255</v>
      </c>
      <c r="BN490" s="966">
        <f>+SUM(AI490:AL490)</f>
        <v>-1159.1140000000005</v>
      </c>
      <c r="BO490" s="1055">
        <f>+SUM(AM490:AP490)</f>
        <v>-465.65031067106167</v>
      </c>
      <c r="BP490" s="966">
        <f>+SUM(AQ490:AT490)</f>
        <v>-513.35741772491235</v>
      </c>
      <c r="BQ490" s="966">
        <f>+SUM(AU490:AX490)</f>
        <v>-550.32109371161653</v>
      </c>
      <c r="BR490" s="966">
        <f t="shared" ref="BR490" si="3126">+BR473+BR485</f>
        <v>-346.51240207847786</v>
      </c>
      <c r="BS490" s="966">
        <f t="shared" ref="BS490:BU490" si="3127">+BS473+BS485</f>
        <v>-312.97031580717794</v>
      </c>
      <c r="BT490" s="966">
        <f t="shared" si="3127"/>
        <v>-278.9795515907922</v>
      </c>
      <c r="BU490" s="966">
        <f t="shared" si="3127"/>
        <v>-242.71821733029037</v>
      </c>
    </row>
    <row r="491" spans="1:73" s="340" customFormat="1" ht="15" customHeight="1">
      <c r="B491" s="340" t="s">
        <v>316</v>
      </c>
      <c r="C491" s="476" t="str">
        <f>IF(ISNUMBER((C490/#REF!-1)),IF(#REF!=0,"NMF",IF(OR(#REF!*C490&lt;0,C490/#REF!-1&gt;10),"NMF",C490/#REF!-1)),"")</f>
        <v/>
      </c>
      <c r="D491" s="476" t="str">
        <f>IF(ISNUMBER((D490/#REF!-1)),IF(#REF!=0,"NMF",IF(OR(#REF!*D490&lt;0,D490/#REF!-1&gt;10),"NMF",D490/#REF!-1)),"")</f>
        <v/>
      </c>
      <c r="E491" s="476" t="str">
        <f>IF(ISNUMBER((E490/#REF!-1)),IF(#REF!=0,"NMF",IF(OR(#REF!*E490&lt;0,E490/#REF!-1&gt;10),"NMF",E490/#REF!-1)),"")</f>
        <v/>
      </c>
      <c r="F491" s="476" t="str">
        <f>IF(ISNUMBER((F490/A490-1)),IF(A490=0,"NMF",IF(OR(A490*F490&lt;0,F490/A490-1&gt;10),"NMF",F490/A490-1)),"")</f>
        <v/>
      </c>
      <c r="G491" s="479"/>
      <c r="H491" s="479"/>
      <c r="I491" s="479"/>
      <c r="J491" s="479"/>
      <c r="K491" s="479"/>
      <c r="L491" s="479"/>
      <c r="M491" s="479"/>
      <c r="N491" s="479"/>
      <c r="O491" s="479"/>
      <c r="P491" s="479"/>
      <c r="Q491" s="479"/>
      <c r="R491" s="479"/>
      <c r="S491" s="1061"/>
      <c r="T491" s="1060"/>
      <c r="U491" s="1060"/>
      <c r="V491" s="1060"/>
      <c r="W491" s="1061">
        <f t="shared" ref="W491:Z491" si="3128">+W490/S490-1</f>
        <v>-2.1066088046997167</v>
      </c>
      <c r="X491" s="1060">
        <f t="shared" si="3128"/>
        <v>-2.061910964885767</v>
      </c>
      <c r="Y491" s="1060">
        <f t="shared" si="3128"/>
        <v>-1.5318987870588288</v>
      </c>
      <c r="Z491" s="1060">
        <f t="shared" si="3128"/>
        <v>-2.8482399393773203</v>
      </c>
      <c r="AA491" s="1060">
        <f>+AA490/W490-1</f>
        <v>0.25898021985153519</v>
      </c>
      <c r="AB491" s="1060">
        <f>+AB490/X490-1</f>
        <v>0.66055041404550519</v>
      </c>
      <c r="AC491" s="1060">
        <f>+AC490/Y490-1</f>
        <v>1.5081547720080084</v>
      </c>
      <c r="AD491" s="1060">
        <f>+AD490/Z490-1</f>
        <v>-1.4135624556279607</v>
      </c>
      <c r="AE491" s="1060">
        <f t="shared" ref="AE491:AH491" si="3129">+AE490/AA490-1</f>
        <v>-0.30022758120576654</v>
      </c>
      <c r="AF491" s="1060">
        <f t="shared" si="3129"/>
        <v>-0.89610173931126014</v>
      </c>
      <c r="AG491" s="1060">
        <f t="shared" si="3129"/>
        <v>0.20251051962055455</v>
      </c>
      <c r="AH491" s="1060">
        <f t="shared" si="3129"/>
        <v>-8.637418786494214</v>
      </c>
      <c r="AI491" s="1060">
        <f t="shared" ref="AI491" si="3130">+AI490/AE490-1</f>
        <v>7.8752729946505617E-2</v>
      </c>
      <c r="AJ491" s="1060">
        <f t="shared" ref="AJ491" si="3131">+AJ490/AF490-1</f>
        <v>9.4666406727170092</v>
      </c>
      <c r="AK491" s="1060">
        <f t="shared" ref="AK491" si="3132">+AK490/AG490-1</f>
        <v>-0.74045263157894747</v>
      </c>
      <c r="AL491" s="1060">
        <f t="shared" ref="AL491" si="3133">+AL490/AH490-1</f>
        <v>0.71185592796398334</v>
      </c>
      <c r="AM491" s="1061">
        <f t="shared" ref="AM491" si="3134">+AM490/AI490-1</f>
        <v>0.86329966329966146</v>
      </c>
      <c r="AN491" s="1060">
        <f t="shared" ref="AN491" si="3135">+AN490/AJ490-1</f>
        <v>-0.26206150164553033</v>
      </c>
      <c r="AO491" s="1049">
        <f t="shared" ref="AO491" si="3136">+AO490/AK490-1</f>
        <v>0.47858380017741364</v>
      </c>
      <c r="AP491" s="479">
        <f t="shared" ref="AP491" si="3137">+AP490/AL490-1</f>
        <v>-1.1290177396920515</v>
      </c>
      <c r="AQ491" s="1061">
        <f t="shared" ref="AQ491" si="3138">+AQ490/AM490-1</f>
        <v>-0.45247560534875353</v>
      </c>
      <c r="AR491" s="479">
        <f t="shared" ref="AR491" si="3139">+AR490/AN490-1</f>
        <v>9.2003248647236857E-2</v>
      </c>
      <c r="AS491" s="479">
        <f t="shared" ref="AS491" si="3140">+AS490/AO490-1</f>
        <v>1.1844773215372952</v>
      </c>
      <c r="AT491" s="479">
        <f t="shared" ref="AT491" si="3141">+AT490/AP490-1</f>
        <v>-0.76717760681823366</v>
      </c>
      <c r="AU491" s="479">
        <f t="shared" ref="AU491" si="3142">+AU490/AQ490-1</f>
        <v>-0.22894177879326361</v>
      </c>
      <c r="AV491" s="479">
        <f t="shared" ref="AV491" si="3143">+AV490/AR490-1</f>
        <v>-0.2112044457798411</v>
      </c>
      <c r="AW491" s="479">
        <f t="shared" ref="AW491" si="3144">+AW490/AS490-1</f>
        <v>0.13073803827755426</v>
      </c>
      <c r="AX491" s="479">
        <f t="shared" ref="AX491" si="3145">+AX490/AT490-1</f>
        <v>-4.7645961900983433</v>
      </c>
      <c r="AY491" s="479"/>
      <c r="AZ491" s="479"/>
      <c r="BA491" s="72"/>
      <c r="BB491" s="479">
        <v>-0.76717760681823366</v>
      </c>
      <c r="BC491" s="2189"/>
      <c r="BD491" s="72"/>
      <c r="BE491" s="479"/>
      <c r="BF491" s="479"/>
      <c r="BG491" s="479"/>
      <c r="BH491" s="479"/>
      <c r="BI491" s="479"/>
      <c r="BJ491" s="1296"/>
      <c r="BK491" s="479"/>
      <c r="BL491" s="479">
        <f t="shared" ref="BL491:BR491" si="3146">+BL490/BK490-1</f>
        <v>0.11586887738564666</v>
      </c>
      <c r="BM491" s="479">
        <f t="shared" si="3146"/>
        <v>0.35351812063524823</v>
      </c>
      <c r="BN491" s="479">
        <f t="shared" si="3146"/>
        <v>0.53746089591874302</v>
      </c>
      <c r="BO491" s="1049">
        <f t="shared" si="3146"/>
        <v>-0.59827048015030315</v>
      </c>
      <c r="BP491" s="479">
        <f t="shared" si="3146"/>
        <v>0.10245264732047232</v>
      </c>
      <c r="BQ491" s="479">
        <f t="shared" si="3146"/>
        <v>7.2003782765074353E-2</v>
      </c>
      <c r="BR491" s="479">
        <f t="shared" si="3146"/>
        <v>-0.3703450475767881</v>
      </c>
      <c r="BS491" s="479">
        <f t="shared" ref="BS491" si="3147">+BS490/BR490-1</f>
        <v>-9.6799093106351042E-2</v>
      </c>
      <c r="BT491" s="479">
        <f t="shared" ref="BT491" si="3148">+BT490/BS490-1</f>
        <v>-0.10860699082186298</v>
      </c>
      <c r="BU491" s="479">
        <f t="shared" ref="BU491" si="3149">+BU490/BT490-1</f>
        <v>-0.12997846635616517</v>
      </c>
    </row>
    <row r="492" spans="1:73" s="341" customFormat="1" ht="15" customHeight="1">
      <c r="B492" s="341" t="s">
        <v>324</v>
      </c>
      <c r="C492" s="676" t="e">
        <f>+C490/C$285</f>
        <v>#REF!</v>
      </c>
      <c r="D492" s="676" t="e">
        <f>+D490/D$285</f>
        <v>#REF!</v>
      </c>
      <c r="E492" s="676" t="e">
        <f>+E490/E$285</f>
        <v>#REF!</v>
      </c>
      <c r="F492" s="676" t="e">
        <f>+F490/F$285</f>
        <v>#REF!</v>
      </c>
      <c r="G492" s="676"/>
      <c r="H492" s="676"/>
      <c r="I492" s="676"/>
      <c r="J492" s="676"/>
      <c r="K492" s="676"/>
      <c r="L492" s="676"/>
      <c r="M492" s="676"/>
      <c r="N492" s="676"/>
      <c r="O492" s="676"/>
      <c r="P492" s="676"/>
      <c r="Q492" s="676"/>
      <c r="R492" s="676"/>
      <c r="S492" s="1056">
        <f t="shared" ref="S492:V492" si="3150">+S490/S$470</f>
        <v>6.4988263451005682E-2</v>
      </c>
      <c r="T492" s="676">
        <f t="shared" si="3150"/>
        <v>6.8569257799515684E-2</v>
      </c>
      <c r="U492" s="676">
        <f t="shared" si="3150"/>
        <v>5.9031730050341416E-2</v>
      </c>
      <c r="V492" s="676">
        <f t="shared" si="3150"/>
        <v>2.6764577145536931E-2</v>
      </c>
      <c r="W492" s="1056">
        <f t="shared" ref="W492:AD492" si="3151">+W490/W$470</f>
        <v>-7.3652209862644369E-2</v>
      </c>
      <c r="X492" s="676">
        <f t="shared" si="3151"/>
        <v>-9.2933298987578711E-2</v>
      </c>
      <c r="Y492" s="676">
        <f t="shared" si="3151"/>
        <v>-2.5636114568378176E-2</v>
      </c>
      <c r="Z492" s="676">
        <f t="shared" si="3151"/>
        <v>-4.4126575525969498E-2</v>
      </c>
      <c r="AA492" s="676">
        <f t="shared" si="3151"/>
        <v>-8.3232342622274497E-2</v>
      </c>
      <c r="AB492" s="676">
        <f t="shared" si="3151"/>
        <v>-0.11553026605513776</v>
      </c>
      <c r="AC492" s="676">
        <f t="shared" si="3151"/>
        <v>-7.6935665275402132E-2</v>
      </c>
      <c r="AD492" s="676">
        <f t="shared" si="3151"/>
        <v>1.9329983684218441E-2</v>
      </c>
      <c r="AE492" s="676">
        <f t="shared" ref="AE492:AH492" si="3152">+AE490/AE$470</f>
        <v>-7.4733430813325744E-2</v>
      </c>
      <c r="AF492" s="676">
        <f t="shared" si="3152"/>
        <v>-1.6094098865360593E-2</v>
      </c>
      <c r="AG492" s="676">
        <f t="shared" si="3152"/>
        <v>-0.11531925224569071</v>
      </c>
      <c r="AH492" s="676">
        <f t="shared" si="3152"/>
        <v>-0.1938330262775137</v>
      </c>
      <c r="AI492" s="676">
        <f t="shared" ref="AI492:AL492" si="3153">+AI490/AI$470</f>
        <v>-9.2431221212498596E-2</v>
      </c>
      <c r="AJ492" s="676">
        <f t="shared" si="3153"/>
        <v>-0.18334105806793358</v>
      </c>
      <c r="AK492" s="676">
        <f t="shared" si="3153"/>
        <v>-3.387448429920329E-2</v>
      </c>
      <c r="AL492" s="676">
        <f t="shared" si="3153"/>
        <v>-0.39927658829706558</v>
      </c>
      <c r="AM492" s="1056">
        <f t="shared" ref="AM492:AP492" si="3154">+AM490/AM$470</f>
        <v>-0.19810983031431242</v>
      </c>
      <c r="AN492" s="676">
        <f t="shared" si="3154"/>
        <v>-0.1432079087701543</v>
      </c>
      <c r="AO492" s="1056">
        <f t="shared" si="3154"/>
        <v>-4.2417640570593773E-2</v>
      </c>
      <c r="AP492" s="676">
        <f t="shared" si="3154"/>
        <v>4.2069784721859592E-2</v>
      </c>
      <c r="AQ492" s="1056">
        <f t="shared" ref="AQ492:AT492" si="3155">+AQ490/AQ$470</f>
        <v>-0.10865667359965575</v>
      </c>
      <c r="AR492" s="676">
        <f t="shared" si="3155"/>
        <v>-0.16782937372050216</v>
      </c>
      <c r="AS492" s="676">
        <f t="shared" si="3155"/>
        <v>-0.11095267099333896</v>
      </c>
      <c r="AT492" s="676">
        <f t="shared" si="3155"/>
        <v>1.2457790371779458E-2</v>
      </c>
      <c r="AU492" s="676">
        <f t="shared" ref="AU492:AX492" si="3156">+AU490/AU$470</f>
        <v>-0.10879392576864604</v>
      </c>
      <c r="AV492" s="676">
        <f t="shared" si="3156"/>
        <v>-0.16581946605200443</v>
      </c>
      <c r="AW492" s="676">
        <f t="shared" si="3156"/>
        <v>-0.15129344379311074</v>
      </c>
      <c r="AX492" s="676">
        <f t="shared" si="3156"/>
        <v>-5.5804001627559004E-2</v>
      </c>
      <c r="AY492" s="676"/>
      <c r="AZ492" s="676"/>
      <c r="BA492" s="85"/>
      <c r="BB492" s="676">
        <v>1.2457790371779458E-2</v>
      </c>
      <c r="BC492" s="2197"/>
      <c r="BD492" s="85"/>
      <c r="BE492" s="676"/>
      <c r="BF492" s="676"/>
      <c r="BG492" s="676"/>
      <c r="BH492" s="676"/>
      <c r="BI492" s="676"/>
      <c r="BJ492" s="1300">
        <f t="shared" ref="BJ492" si="3157">+BJ490/BJ$470</f>
        <v>5.3430188721915031E-2</v>
      </c>
      <c r="BK492" s="676">
        <f>+BK490/BK$470</f>
        <v>-5.4869666030385296E-2</v>
      </c>
      <c r="BL492" s="676">
        <f>+BL490/BL$470</f>
        <v>-5.9704757606050922E-2</v>
      </c>
      <c r="BM492" s="676">
        <f t="shared" ref="BM492:BN492" si="3158">+BM490/BM$470</f>
        <v>-0.10476854631365001</v>
      </c>
      <c r="BN492" s="676">
        <f t="shared" si="3158"/>
        <v>-0.18437306439252116</v>
      </c>
      <c r="BO492" s="1056">
        <f t="shared" ref="BO492:BP492" si="3159">+BO490/BO$470</f>
        <v>-7.0113216837508888E-2</v>
      </c>
      <c r="BP492" s="676">
        <f t="shared" si="3159"/>
        <v>-8.8363139288295173E-2</v>
      </c>
      <c r="BQ492" s="676">
        <f t="shared" ref="BQ492" si="3160">+BQ490/BQ$470</f>
        <v>-0.11677948228679171</v>
      </c>
      <c r="BR492" s="676">
        <f>+BR490/BR$470</f>
        <v>-7.0963631363838528E-2</v>
      </c>
      <c r="BS492" s="676">
        <f t="shared" ref="BS492:BU492" si="3161">+BS490/BS$470</f>
        <v>-6.1833538384621509E-2</v>
      </c>
      <c r="BT492" s="676">
        <f t="shared" si="3161"/>
        <v>-5.3238659179754268E-2</v>
      </c>
      <c r="BU492" s="676">
        <f t="shared" si="3161"/>
        <v>-4.4739476392071126E-2</v>
      </c>
    </row>
    <row r="493" spans="1:73" s="340" customFormat="1" ht="15" customHeight="1">
      <c r="C493" s="476"/>
      <c r="D493" s="476"/>
      <c r="E493" s="476"/>
      <c r="F493" s="476"/>
      <c r="G493" s="476"/>
      <c r="H493" s="476"/>
      <c r="I493" s="476"/>
      <c r="J493" s="476"/>
      <c r="K493" s="476"/>
      <c r="L493" s="476"/>
      <c r="M493" s="476"/>
      <c r="N493" s="476"/>
      <c r="O493" s="476"/>
      <c r="P493" s="476"/>
      <c r="Q493" s="476"/>
      <c r="R493" s="476"/>
      <c r="S493" s="1054"/>
      <c r="T493" s="476"/>
      <c r="U493" s="476"/>
      <c r="V493" s="476"/>
      <c r="W493" s="1054"/>
      <c r="X493" s="476"/>
      <c r="Y493" s="476"/>
      <c r="Z493" s="476"/>
      <c r="AA493" s="476"/>
      <c r="AB493" s="476"/>
      <c r="AC493" s="476"/>
      <c r="AD493" s="476"/>
      <c r="AE493" s="476"/>
      <c r="AF493" s="476"/>
      <c r="AG493" s="476"/>
      <c r="AH493" s="476"/>
      <c r="AI493" s="476"/>
      <c r="AJ493" s="476"/>
      <c r="AK493" s="476"/>
      <c r="AL493" s="476"/>
      <c r="AM493" s="1054"/>
      <c r="AN493" s="476"/>
      <c r="AO493" s="1054"/>
      <c r="AP493" s="476"/>
      <c r="AQ493" s="1054"/>
      <c r="AR493" s="476"/>
      <c r="AS493" s="476"/>
      <c r="AT493" s="476"/>
      <c r="AU493" s="476"/>
      <c r="AV493" s="476"/>
      <c r="AW493" s="476"/>
      <c r="AX493" s="476"/>
      <c r="AY493" s="476"/>
      <c r="AZ493" s="476"/>
      <c r="BA493" s="72"/>
      <c r="BB493" s="476"/>
      <c r="BC493" s="2189"/>
      <c r="BD493" s="72"/>
      <c r="BE493" s="343"/>
      <c r="BF493" s="343"/>
      <c r="BG493" s="343"/>
      <c r="BH493" s="343"/>
      <c r="BI493" s="343"/>
      <c r="BJ493" s="1298"/>
      <c r="BK493" s="343"/>
      <c r="BL493" s="343"/>
      <c r="BM493" s="343"/>
      <c r="BN493" s="343"/>
      <c r="BO493" s="2482"/>
      <c r="BP493" s="343"/>
      <c r="BQ493" s="343"/>
      <c r="BR493" s="476"/>
      <c r="BS493" s="476"/>
      <c r="BT493" s="476"/>
      <c r="BU493" s="476"/>
    </row>
    <row r="494" spans="1:73" s="341" customFormat="1" ht="15" customHeight="1">
      <c r="B494" s="341" t="s">
        <v>325</v>
      </c>
      <c r="C494" s="823">
        <v>45.800000000000068</v>
      </c>
      <c r="D494" s="823">
        <v>43.400000000000034</v>
      </c>
      <c r="E494" s="823">
        <v>50.799999999999898</v>
      </c>
      <c r="F494" s="823">
        <v>53.199999999999932</v>
      </c>
      <c r="G494" s="823"/>
      <c r="H494" s="823"/>
      <c r="I494" s="823"/>
      <c r="J494" s="823"/>
      <c r="K494" s="823"/>
      <c r="L494" s="823"/>
      <c r="M494" s="823"/>
      <c r="N494" s="823"/>
      <c r="O494" s="823"/>
      <c r="P494" s="823"/>
      <c r="Q494" s="823"/>
      <c r="R494" s="823"/>
      <c r="S494" s="1048">
        <f>97.6-T494</f>
        <v>47.599999999999994</v>
      </c>
      <c r="T494" s="823">
        <v>50</v>
      </c>
      <c r="U494" s="823">
        <v>50.9</v>
      </c>
      <c r="V494" s="823">
        <v>55.9</v>
      </c>
      <c r="W494" s="1048">
        <v>183.9</v>
      </c>
      <c r="X494" s="823">
        <v>206.9</v>
      </c>
      <c r="Y494" s="823">
        <v>199</v>
      </c>
      <c r="Z494" s="823">
        <v>224.9</v>
      </c>
      <c r="AA494" s="823">
        <v>219</v>
      </c>
      <c r="AB494" s="823">
        <v>221.6</v>
      </c>
      <c r="AC494" s="823">
        <v>194.7</v>
      </c>
      <c r="AD494" s="823">
        <v>195.7</v>
      </c>
      <c r="AE494" s="823">
        <v>178.4</v>
      </c>
      <c r="AF494" s="823">
        <v>168.6</v>
      </c>
      <c r="AG494" s="823">
        <v>160.9</v>
      </c>
      <c r="AH494" s="823">
        <v>176</v>
      </c>
      <c r="AI494" s="823">
        <v>189.1</v>
      </c>
      <c r="AJ494" s="823">
        <v>169.5</v>
      </c>
      <c r="AK494" s="823">
        <v>153.061815</v>
      </c>
      <c r="AL494" s="823">
        <v>154</v>
      </c>
      <c r="AM494" s="1048">
        <v>165.6</v>
      </c>
      <c r="AN494" s="823">
        <v>165.00867167887844</v>
      </c>
      <c r="AO494" s="2175">
        <f>+AO89-AO228</f>
        <v>9.9999999999994316E-2</v>
      </c>
      <c r="AP494" s="678">
        <f>+AP89-AP228</f>
        <v>0.39999999999997726</v>
      </c>
      <c r="AQ494" s="1048">
        <v>111.5</v>
      </c>
      <c r="AR494" s="678">
        <f t="shared" ref="AR494:AX494" si="3162">+AR89-AR228</f>
        <v>9.2593031314692098E-2</v>
      </c>
      <c r="AS494" s="678">
        <f t="shared" si="3162"/>
        <v>0</v>
      </c>
      <c r="AT494" s="678">
        <f t="shared" si="3162"/>
        <v>0</v>
      </c>
      <c r="AU494" s="678">
        <f t="shared" si="3162"/>
        <v>0</v>
      </c>
      <c r="AV494" s="678">
        <f t="shared" si="3162"/>
        <v>0</v>
      </c>
      <c r="AW494" s="678">
        <f t="shared" si="3162"/>
        <v>0</v>
      </c>
      <c r="AX494" s="678">
        <f t="shared" si="3162"/>
        <v>0</v>
      </c>
      <c r="AY494" s="678"/>
      <c r="AZ494" s="678"/>
      <c r="BA494" s="85"/>
      <c r="BB494" s="678">
        <v>0</v>
      </c>
      <c r="BC494" s="2197" t="e">
        <f>+AT494/BB494-1</f>
        <v>#DIV/0!</v>
      </c>
      <c r="BD494" s="85"/>
      <c r="BE494" s="342"/>
      <c r="BF494" s="342"/>
      <c r="BG494" s="342"/>
      <c r="BH494" s="342"/>
      <c r="BI494" s="342"/>
      <c r="BJ494" s="1301">
        <f>+SUM(S494:V494)</f>
        <v>204.4</v>
      </c>
      <c r="BK494" s="342">
        <f>+SUM(W494:Z494)</f>
        <v>814.69999999999993</v>
      </c>
      <c r="BL494" s="342">
        <f>+SUM(AA494:AD494)</f>
        <v>831</v>
      </c>
      <c r="BM494" s="342">
        <f>+SUM(AE494:AH494)</f>
        <v>683.9</v>
      </c>
      <c r="BN494" s="342">
        <f>+SUM(AI494:AL494)</f>
        <v>665.66181500000005</v>
      </c>
      <c r="BO494" s="1112">
        <f>+SUM(AM494:AP494)</f>
        <v>331.10867167887841</v>
      </c>
      <c r="BP494" s="342">
        <f>+SUM(AQ494:AT494)</f>
        <v>111.59259303131469</v>
      </c>
      <c r="BQ494" s="342">
        <f>+SUM(AU494:AX494)</f>
        <v>0</v>
      </c>
      <c r="BR494" s="678">
        <f>+BR89-BR228</f>
        <v>0</v>
      </c>
      <c r="BS494" s="678">
        <f>+BS89-BS228</f>
        <v>0</v>
      </c>
      <c r="BT494" s="678">
        <f>+BT89-BT228</f>
        <v>0</v>
      </c>
      <c r="BU494" s="678">
        <f>+BU89-BU228</f>
        <v>0</v>
      </c>
    </row>
    <row r="495" spans="1:73" s="340" customFormat="1" ht="15" customHeight="1">
      <c r="B495" s="340" t="s">
        <v>318</v>
      </c>
      <c r="C495" s="479" t="e">
        <f>+C494/#REF!</f>
        <v>#REF!</v>
      </c>
      <c r="D495" s="479" t="e">
        <f>+D494/#REF!</f>
        <v>#REF!</v>
      </c>
      <c r="E495" s="479" t="e">
        <f>+E494/#REF!</f>
        <v>#REF!</v>
      </c>
      <c r="F495" s="479" t="e">
        <f>+F494/#REF!</f>
        <v>#REF!</v>
      </c>
      <c r="G495" s="479"/>
      <c r="H495" s="479"/>
      <c r="I495" s="479"/>
      <c r="J495" s="479"/>
      <c r="K495" s="479"/>
      <c r="L495" s="479"/>
      <c r="M495" s="479"/>
      <c r="N495" s="479"/>
      <c r="O495" s="479"/>
      <c r="P495" s="479"/>
      <c r="Q495" s="479"/>
      <c r="R495" s="479"/>
      <c r="S495" s="1049">
        <f>+S494/S$470</f>
        <v>2.1908224789432502E-2</v>
      </c>
      <c r="T495" s="479">
        <f>+T494/T$470</f>
        <v>2.3742817797616219E-2</v>
      </c>
      <c r="U495" s="479">
        <f>+U494/U$470</f>
        <v>2.537008423466082E-2</v>
      </c>
      <c r="V495" s="479">
        <f>+V494/V$470</f>
        <v>2.1846177895888694E-2</v>
      </c>
      <c r="W495" s="1049">
        <f t="shared" ref="W495:AD495" si="3163">+W494/W$470</f>
        <v>8.6683950035352342E-2</v>
      </c>
      <c r="X495" s="479">
        <f t="shared" si="3163"/>
        <v>0.12539393939393939</v>
      </c>
      <c r="Y495" s="479">
        <f t="shared" si="3163"/>
        <v>8.0983192935335527E-2</v>
      </c>
      <c r="Z495" s="479">
        <f t="shared" si="3163"/>
        <v>7.84033466968799E-2</v>
      </c>
      <c r="AA495" s="479">
        <f t="shared" si="3163"/>
        <v>9.2659191876454411E-2</v>
      </c>
      <c r="AB495" s="479">
        <f t="shared" ref="AB495" si="3164">+AB494/AB$470</f>
        <v>0.10054446460980036</v>
      </c>
      <c r="AC495" s="479">
        <f t="shared" si="3163"/>
        <v>9.4804499196572037E-2</v>
      </c>
      <c r="AD495" s="479">
        <f t="shared" si="3163"/>
        <v>7.2264687419223803E-2</v>
      </c>
      <c r="AE495" s="479">
        <f t="shared" ref="AE495" si="3165">+AE494/AE$470</f>
        <v>9.6851248642779594E-2</v>
      </c>
      <c r="AF495" s="479">
        <f t="shared" ref="AF495:AH495" si="3166">+AF494/AF$470</f>
        <v>0.10256722228981628</v>
      </c>
      <c r="AG495" s="479">
        <f t="shared" ref="AG495" si="3167">+AG494/AG$470</f>
        <v>9.7657198349113877E-2</v>
      </c>
      <c r="AH495" s="479">
        <f t="shared" si="3166"/>
        <v>8.532919616018618E-2</v>
      </c>
      <c r="AI495" s="479">
        <f>+AI494/AI$470</f>
        <v>0.11770197933524212</v>
      </c>
      <c r="AJ495" s="479">
        <f>+AJ494/AJ$470</f>
        <v>0.11222935840561478</v>
      </c>
      <c r="AK495" s="479">
        <f>+AK494/AK$470</f>
        <v>0.10514032625674377</v>
      </c>
      <c r="AL495" s="479">
        <f t="shared" ref="AL495" si="3168">+AL494/AL$470</f>
        <v>8.9843066332185986E-2</v>
      </c>
      <c r="AM495" s="1049">
        <f t="shared" ref="AM495:AP495" si="3169">+AM494/AM$470</f>
        <v>0.11856518937495525</v>
      </c>
      <c r="AN495" s="479">
        <f t="shared" si="3169"/>
        <v>0.11564600835772447</v>
      </c>
      <c r="AO495" s="1049">
        <f t="shared" si="3169"/>
        <v>5.8174188430687844E-5</v>
      </c>
      <c r="AP495" s="479">
        <f t="shared" si="3169"/>
        <v>1.9057716013143395E-4</v>
      </c>
      <c r="AQ495" s="1049">
        <f t="shared" ref="AQ495:AT495" si="3170">+AQ494/AQ$470</f>
        <v>7.996844294628129E-2</v>
      </c>
      <c r="AR495" s="479">
        <f t="shared" si="3170"/>
        <v>6.9643280803246836E-5</v>
      </c>
      <c r="AS495" s="479">
        <f t="shared" si="3170"/>
        <v>0</v>
      </c>
      <c r="AT495" s="479">
        <f t="shared" si="3170"/>
        <v>0</v>
      </c>
      <c r="AU495" s="479">
        <f t="shared" ref="AU495:AX495" si="3171">+AU494/AU$470</f>
        <v>0</v>
      </c>
      <c r="AV495" s="479">
        <f t="shared" si="3171"/>
        <v>0</v>
      </c>
      <c r="AW495" s="479">
        <f t="shared" si="3171"/>
        <v>0</v>
      </c>
      <c r="AX495" s="479">
        <f t="shared" si="3171"/>
        <v>0</v>
      </c>
      <c r="AY495" s="479"/>
      <c r="AZ495" s="479"/>
      <c r="BA495" s="72"/>
      <c r="BB495" s="479">
        <v>0</v>
      </c>
      <c r="BC495" s="2189"/>
      <c r="BD495" s="72"/>
      <c r="BE495" s="479"/>
      <c r="BF495" s="479"/>
      <c r="BG495" s="479"/>
      <c r="BH495" s="479"/>
      <c r="BI495" s="479"/>
      <c r="BJ495" s="1296">
        <f t="shared" ref="BJ495" si="3172">+BJ494/BJ$470</f>
        <v>2.311249816253378E-2</v>
      </c>
      <c r="BK495" s="479">
        <f>+BK494/BK$470</f>
        <v>8.9554043507414291E-2</v>
      </c>
      <c r="BL495" s="479">
        <f>+BL494/BL$470</f>
        <v>8.9074207068054412E-2</v>
      </c>
      <c r="BM495" s="479">
        <f t="shared" ref="BM495:BN495" si="3173">+BM494/BM$470</f>
        <v>9.5038910505836571E-2</v>
      </c>
      <c r="BN495" s="479">
        <f t="shared" si="3173"/>
        <v>0.10588269029675895</v>
      </c>
      <c r="BO495" s="1049">
        <f t="shared" ref="BO495:BP495" si="3174">+BO494/BO$470</f>
        <v>4.9855210148458444E-2</v>
      </c>
      <c r="BP495" s="479">
        <f t="shared" si="3174"/>
        <v>1.9208199786551122E-2</v>
      </c>
      <c r="BQ495" s="479">
        <f t="shared" ref="BQ495" si="3175">+BQ494/BQ$470</f>
        <v>0</v>
      </c>
      <c r="BR495" s="479">
        <f>+BR494/BR$470</f>
        <v>0</v>
      </c>
      <c r="BS495" s="479">
        <f t="shared" ref="BS495:BU495" si="3176">+BS494/BS$470</f>
        <v>0</v>
      </c>
      <c r="BT495" s="479">
        <f t="shared" si="3176"/>
        <v>0</v>
      </c>
      <c r="BU495" s="479">
        <f t="shared" si="3176"/>
        <v>0</v>
      </c>
    </row>
    <row r="496" spans="1:73" s="340" customFormat="1" ht="15" customHeight="1">
      <c r="B496" s="340" t="s">
        <v>326</v>
      </c>
      <c r="C496" s="479">
        <f>+C494/C$89</f>
        <v>0.80116013946354947</v>
      </c>
      <c r="D496" s="479">
        <f>+D494/D$89</f>
        <v>0.81979944721035558</v>
      </c>
      <c r="E496" s="479">
        <f>+E494/E$89</f>
        <v>0.81260698386913299</v>
      </c>
      <c r="F496" s="479">
        <f>+F494/F$89</f>
        <v>0.79638043552198678</v>
      </c>
      <c r="G496" s="479"/>
      <c r="H496" s="479"/>
      <c r="I496" s="479"/>
      <c r="J496" s="479"/>
      <c r="K496" s="479"/>
      <c r="L496" s="479"/>
      <c r="M496" s="479"/>
      <c r="N496" s="479"/>
      <c r="O496" s="479"/>
      <c r="P496" s="479"/>
      <c r="Q496" s="479"/>
      <c r="R496" s="479"/>
      <c r="S496" s="1049">
        <f t="shared" ref="S496:V496" si="3177">+S494/S$89</f>
        <v>0.18009837306091558</v>
      </c>
      <c r="T496" s="479">
        <f t="shared" si="3177"/>
        <v>0.18355359765051396</v>
      </c>
      <c r="U496" s="479">
        <f t="shared" si="3177"/>
        <v>0.17998585572842998</v>
      </c>
      <c r="V496" s="479">
        <f t="shared" si="3177"/>
        <v>0.18770987239758224</v>
      </c>
      <c r="W496" s="1049">
        <f t="shared" ref="W496:AD496" si="3178">+W494/W$89</f>
        <v>0.29386385426653888</v>
      </c>
      <c r="X496" s="479">
        <f t="shared" si="3178"/>
        <v>0.29393379741440545</v>
      </c>
      <c r="Y496" s="479">
        <f t="shared" si="3178"/>
        <v>0.27984812262691605</v>
      </c>
      <c r="Z496" s="479">
        <f t="shared" si="3178"/>
        <v>0.33171091445427731</v>
      </c>
      <c r="AA496" s="479">
        <f t="shared" si="3178"/>
        <v>0.31447443997702473</v>
      </c>
      <c r="AB496" s="479">
        <f t="shared" si="3178"/>
        <v>0.31706968092717125</v>
      </c>
      <c r="AC496" s="479">
        <f t="shared" si="3178"/>
        <v>0.29304635761589404</v>
      </c>
      <c r="AD496" s="479">
        <f t="shared" si="3178"/>
        <v>0.26738625495286239</v>
      </c>
      <c r="AE496" s="479">
        <f t="shared" ref="AE496:AF496" si="3179">+AE494/AE$89</f>
        <v>0.27475743107962425</v>
      </c>
      <c r="AF496" s="479">
        <f t="shared" si="3179"/>
        <v>0.26774654597427344</v>
      </c>
      <c r="AG496" s="479">
        <f t="shared" ref="AG496:AK496" si="3180">+AG494/AG$89</f>
        <v>0.25855696609352408</v>
      </c>
      <c r="AH496" s="479">
        <f t="shared" si="3180"/>
        <v>0.2548508543295685</v>
      </c>
      <c r="AI496" s="479">
        <f t="shared" si="3180"/>
        <v>0.31333885666942835</v>
      </c>
      <c r="AJ496" s="479">
        <f t="shared" si="3180"/>
        <v>0.28836338890779178</v>
      </c>
      <c r="AK496" s="479">
        <f t="shared" si="3180"/>
        <v>0.28387577246455614</v>
      </c>
      <c r="AL496" s="479">
        <f t="shared" ref="AL496:AP496" si="3181">+AL494/AL$89</f>
        <v>0.42261251372118552</v>
      </c>
      <c r="AM496" s="1049">
        <f t="shared" si="3181"/>
        <v>0.74561008554705077</v>
      </c>
      <c r="AN496" s="479">
        <f t="shared" si="3181"/>
        <v>0.69506601381161937</v>
      </c>
      <c r="AO496" s="1049">
        <f t="shared" si="3181"/>
        <v>4.387889425186236E-4</v>
      </c>
      <c r="AP496" s="479">
        <f t="shared" si="3181"/>
        <v>1.5290519877674974E-3</v>
      </c>
      <c r="AQ496" s="1049">
        <f t="shared" ref="AQ496:AT496" si="3182">+AQ494/AQ$89</f>
        <v>0.51029748283752863</v>
      </c>
      <c r="AR496" s="479">
        <f t="shared" si="3182"/>
        <v>4.3966301668894636E-4</v>
      </c>
      <c r="AS496" s="479">
        <f t="shared" si="3182"/>
        <v>0</v>
      </c>
      <c r="AT496" s="479">
        <f t="shared" si="3182"/>
        <v>0</v>
      </c>
      <c r="AU496" s="479">
        <f t="shared" ref="AU496:AX496" si="3183">+AU494/AU$89</f>
        <v>0</v>
      </c>
      <c r="AV496" s="479">
        <f t="shared" si="3183"/>
        <v>0</v>
      </c>
      <c r="AW496" s="479">
        <f t="shared" si="3183"/>
        <v>0</v>
      </c>
      <c r="AX496" s="479">
        <f t="shared" si="3183"/>
        <v>0</v>
      </c>
      <c r="AY496" s="479"/>
      <c r="AZ496" s="479"/>
      <c r="BA496" s="72"/>
      <c r="BB496" s="479">
        <v>0</v>
      </c>
      <c r="BC496" s="2189"/>
      <c r="BD496" s="72"/>
      <c r="BE496" s="479"/>
      <c r="BF496" s="479"/>
      <c r="BG496" s="479"/>
      <c r="BH496" s="479"/>
      <c r="BI496" s="479"/>
      <c r="BJ496" s="1296">
        <f t="shared" ref="BJ496:BO496" si="3184">+BJ494/BJ$89</f>
        <v>0.18294101852680569</v>
      </c>
      <c r="BK496" s="479">
        <f t="shared" si="3184"/>
        <v>0.29965425923201411</v>
      </c>
      <c r="BL496" s="479">
        <f t="shared" si="3184"/>
        <v>0.29767875053732629</v>
      </c>
      <c r="BM496" s="479">
        <f t="shared" si="3184"/>
        <v>0.26386048844477022</v>
      </c>
      <c r="BN496" s="479">
        <f t="shared" si="3184"/>
        <v>0.31775564183661631</v>
      </c>
      <c r="BO496" s="1049">
        <f t="shared" si="3184"/>
        <v>0.34890270988290667</v>
      </c>
      <c r="BP496" s="479">
        <f t="shared" ref="BP496:BQ496" si="3185">+BP494/BP$89</f>
        <v>0.12272362590048906</v>
      </c>
      <c r="BQ496" s="479">
        <f t="shared" si="3185"/>
        <v>0</v>
      </c>
      <c r="BR496" s="479">
        <f>+BR494/BR$89</f>
        <v>0</v>
      </c>
      <c r="BS496" s="479">
        <f>+BS494/BS$89</f>
        <v>0</v>
      </c>
      <c r="BT496" s="479">
        <f>+BT494/BT$89</f>
        <v>0</v>
      </c>
      <c r="BU496" s="479">
        <f>+BU494/BU$89</f>
        <v>0</v>
      </c>
    </row>
    <row r="497" spans="1:73" s="340" customFormat="1" ht="15" customHeight="1">
      <c r="C497" s="476"/>
      <c r="D497" s="476"/>
      <c r="E497" s="476"/>
      <c r="F497" s="476"/>
      <c r="G497" s="476"/>
      <c r="H497" s="476"/>
      <c r="I497" s="476"/>
      <c r="J497" s="476"/>
      <c r="K497" s="476"/>
      <c r="L497" s="476"/>
      <c r="M497" s="476"/>
      <c r="N497" s="476"/>
      <c r="O497" s="476"/>
      <c r="P497" s="476"/>
      <c r="Q497" s="476"/>
      <c r="R497" s="476"/>
      <c r="S497" s="1054"/>
      <c r="T497" s="476"/>
      <c r="U497" s="476"/>
      <c r="V497" s="476"/>
      <c r="W497" s="1054"/>
      <c r="X497" s="476"/>
      <c r="Y497" s="476"/>
      <c r="Z497" s="476"/>
      <c r="AA497" s="476"/>
      <c r="AB497" s="476"/>
      <c r="AC497" s="476"/>
      <c r="AD497" s="476"/>
      <c r="AE497" s="476"/>
      <c r="AF497" s="476"/>
      <c r="AG497" s="476"/>
      <c r="AH497" s="476"/>
      <c r="AI497" s="476"/>
      <c r="AJ497" s="476"/>
      <c r="AK497" s="476"/>
      <c r="AL497" s="476"/>
      <c r="AM497" s="1054"/>
      <c r="AN497" s="476"/>
      <c r="AO497" s="1054"/>
      <c r="AP497" s="476"/>
      <c r="AQ497" s="1054"/>
      <c r="AR497" s="476"/>
      <c r="AS497" s="476"/>
      <c r="AT497" s="476"/>
      <c r="AU497" s="476"/>
      <c r="AV497" s="476"/>
      <c r="AW497" s="476"/>
      <c r="AX497" s="476"/>
      <c r="AY497" s="476"/>
      <c r="AZ497" s="476"/>
      <c r="BA497" s="72"/>
      <c r="BB497" s="476"/>
      <c r="BC497" s="2189"/>
      <c r="BD497" s="72"/>
      <c r="BE497" s="343"/>
      <c r="BF497" s="343"/>
      <c r="BG497" s="343"/>
      <c r="BH497" s="343"/>
      <c r="BI497" s="343"/>
      <c r="BJ497" s="1298"/>
      <c r="BK497" s="477">
        <f>+BK498+100.9</f>
        <v>416.43418722177591</v>
      </c>
      <c r="BL497" s="477">
        <f>+BL498+289.4</f>
        <v>563.39640486586916</v>
      </c>
      <c r="BM497" s="343"/>
      <c r="BN497" s="343"/>
      <c r="BO497" s="2482"/>
      <c r="BP497" s="343"/>
      <c r="BQ497" s="343"/>
      <c r="BR497" s="476"/>
      <c r="BS497" s="476"/>
      <c r="BT497" s="476"/>
      <c r="BU497" s="476"/>
    </row>
    <row r="498" spans="1:73" s="488" customFormat="1" ht="15" customHeight="1">
      <c r="A498" s="487"/>
      <c r="B498" s="488" t="s">
        <v>114</v>
      </c>
      <c r="C498" s="489" t="e">
        <f>C490+C494</f>
        <v>#REF!</v>
      </c>
      <c r="D498" s="489" t="e">
        <f>D490+D494</f>
        <v>#REF!</v>
      </c>
      <c r="E498" s="489" t="e">
        <f>E490+E494</f>
        <v>#REF!</v>
      </c>
      <c r="F498" s="489" t="e">
        <f>F490+F494</f>
        <v>#REF!</v>
      </c>
      <c r="G498" s="489"/>
      <c r="H498" s="489"/>
      <c r="I498" s="489"/>
      <c r="J498" s="489"/>
      <c r="K498" s="489"/>
      <c r="L498" s="489"/>
      <c r="M498" s="489"/>
      <c r="N498" s="489"/>
      <c r="O498" s="489"/>
      <c r="P498" s="489"/>
      <c r="Q498" s="489"/>
      <c r="R498" s="489"/>
      <c r="S498" s="1055">
        <f t="shared" ref="S498:T498" si="3186">S490+S494</f>
        <v>188.80000000000004</v>
      </c>
      <c r="T498" s="966">
        <f t="shared" si="3186"/>
        <v>194.40000000000009</v>
      </c>
      <c r="U498" s="966">
        <f t="shared" ref="U498:V498" si="3187">U490+U494</f>
        <v>169.33535999999998</v>
      </c>
      <c r="V498" s="966">
        <f t="shared" si="3187"/>
        <v>124.38519999999991</v>
      </c>
      <c r="W498" s="1055">
        <f>W490+W494</f>
        <v>27.646836776399965</v>
      </c>
      <c r="X498" s="966">
        <f t="shared" ref="X498:AD498" si="3188">X490+X494</f>
        <v>53.560056670495129</v>
      </c>
      <c r="Y498" s="966">
        <f t="shared" si="3188"/>
        <v>136.00437567112431</v>
      </c>
      <c r="Z498" s="966">
        <f t="shared" si="3188"/>
        <v>98.322918103756507</v>
      </c>
      <c r="AA498" s="966">
        <f t="shared" si="3188"/>
        <v>22.280358212254214</v>
      </c>
      <c r="AB498" s="966">
        <f t="shared" si="3188"/>
        <v>-33.028706385523634</v>
      </c>
      <c r="AC498" s="966">
        <f t="shared" si="3188"/>
        <v>36.69722422390663</v>
      </c>
      <c r="AD498" s="966">
        <f t="shared" si="3188"/>
        <v>248.04752881523194</v>
      </c>
      <c r="AE498" s="966">
        <f t="shared" ref="AE498:AG498" si="3189">AE490+AE494</f>
        <v>40.741020441853976</v>
      </c>
      <c r="AF498" s="966">
        <f t="shared" si="3189"/>
        <v>142.14452028512025</v>
      </c>
      <c r="AG498" s="966">
        <f t="shared" si="3189"/>
        <v>-29.099999999999994</v>
      </c>
      <c r="AH498" s="966">
        <f>AH490+AH494</f>
        <v>-223.79999999999973</v>
      </c>
      <c r="AI498" s="966">
        <f t="shared" ref="AI498:AK498" si="3190">AI490+AI494</f>
        <v>40.599999999999767</v>
      </c>
      <c r="AJ498" s="966">
        <f t="shared" si="3190"/>
        <v>-107.40000000000009</v>
      </c>
      <c r="AK498" s="966">
        <f t="shared" si="3190"/>
        <v>103.74781500000003</v>
      </c>
      <c r="AL498" s="966">
        <f t="shared" ref="AL498" si="3191">AL490+AL494</f>
        <v>-530.40000000000009</v>
      </c>
      <c r="AM498" s="1055">
        <f t="shared" ref="AM498:AP498" si="3192">AM490+AM494</f>
        <v>-111.10000000000016</v>
      </c>
      <c r="AN498" s="966">
        <f t="shared" si="3192"/>
        <v>-39.32649851547427</v>
      </c>
      <c r="AO498" s="1055">
        <f t="shared" si="3192"/>
        <v>-72.814881521948934</v>
      </c>
      <c r="AP498" s="966">
        <f t="shared" si="3192"/>
        <v>88.699741045240103</v>
      </c>
      <c r="AQ498" s="1055">
        <f t="shared" ref="AQ498:AT498" si="3193">AQ490+AQ494</f>
        <v>-40</v>
      </c>
      <c r="AR498" s="966">
        <f t="shared" si="3193"/>
        <v>-223.0420766338045</v>
      </c>
      <c r="AS498" s="966">
        <f t="shared" si="3193"/>
        <v>-159.28090508727621</v>
      </c>
      <c r="AT498" s="966">
        <f t="shared" si="3193"/>
        <v>20.558157027483048</v>
      </c>
      <c r="AU498" s="966">
        <f t="shared" ref="AU498:AX498" si="3194">AU490+AU494</f>
        <v>-116.81532051282056</v>
      </c>
      <c r="AV498" s="966">
        <f t="shared" si="3194"/>
        <v>-176.00763542422976</v>
      </c>
      <c r="AW498" s="966">
        <f t="shared" si="3194"/>
        <v>-180.10497815346002</v>
      </c>
      <c r="AX498" s="966">
        <f t="shared" si="3194"/>
        <v>-77.393159621106179</v>
      </c>
      <c r="AY498" s="764"/>
      <c r="AZ498" s="764"/>
      <c r="BA498" s="85"/>
      <c r="BB498" s="966">
        <v>20.558157027483048</v>
      </c>
      <c r="BC498" s="2198">
        <f>+AT498/BB498-1</f>
        <v>0</v>
      </c>
      <c r="BD498" s="85"/>
      <c r="BE498" s="489"/>
      <c r="BF498" s="489"/>
      <c r="BG498" s="489"/>
      <c r="BH498" s="476"/>
      <c r="BI498" s="476"/>
      <c r="BJ498" s="2147">
        <f>+SUM(S498:V498)</f>
        <v>676.92056000000002</v>
      </c>
      <c r="BK498" s="489">
        <f>+SUM(W498:Z498)</f>
        <v>315.53418722177594</v>
      </c>
      <c r="BL498" s="489">
        <f>+SUM(AA498:AD498)</f>
        <v>273.99640486586918</v>
      </c>
      <c r="BM498" s="489">
        <f>+SUM(AE498:AH498)</f>
        <v>-70.014459273025494</v>
      </c>
      <c r="BN498" s="489">
        <f>+SUM(AI498:AL498)</f>
        <v>-493.45218500000038</v>
      </c>
      <c r="BO498" s="2483">
        <f>+SUM(AM498:AP498)</f>
        <v>-134.54163899218327</v>
      </c>
      <c r="BP498" s="489">
        <f>+SUM(AQ498:AT498)</f>
        <v>-401.76482469359769</v>
      </c>
      <c r="BQ498" s="489">
        <f>+SUM(AU498:AX498)</f>
        <v>-550.32109371161653</v>
      </c>
      <c r="BR498" s="966">
        <f t="shared" ref="BR498" si="3195">BR490+BR494</f>
        <v>-346.51240207847786</v>
      </c>
      <c r="BS498" s="966">
        <f t="shared" ref="BS498:BU498" si="3196">BS490+BS494</f>
        <v>-312.97031580717794</v>
      </c>
      <c r="BT498" s="966">
        <f t="shared" si="3196"/>
        <v>-278.9795515907922</v>
      </c>
      <c r="BU498" s="966">
        <f t="shared" si="3196"/>
        <v>-242.71821733029037</v>
      </c>
    </row>
    <row r="499" spans="1:73" s="340" customFormat="1" ht="15" customHeight="1">
      <c r="B499" s="340" t="s">
        <v>316</v>
      </c>
      <c r="C499" s="476" t="str">
        <f>IF(ISNUMBER((C498/#REF!-1)),IF(#REF!=0,"NMF",IF(OR(#REF!*C498&lt;0,C498/#REF!-1&gt;10),"NMF",C498/#REF!-1)),"")</f>
        <v/>
      </c>
      <c r="D499" s="476" t="str">
        <f>IF(ISNUMBER((D498/#REF!-1)),IF(#REF!=0,"NMF",IF(OR(#REF!*D498&lt;0,D498/#REF!-1&gt;10),"NMF",D498/#REF!-1)),"")</f>
        <v/>
      </c>
      <c r="E499" s="476" t="str">
        <f>IF(ISNUMBER((E498/#REF!-1)),IF(#REF!=0,"NMF",IF(OR(#REF!*E498&lt;0,E498/#REF!-1&gt;10),"NMF",E498/#REF!-1)),"")</f>
        <v/>
      </c>
      <c r="F499" s="476" t="str">
        <f>IF(ISNUMBER((F498/A498-1)),IF(A498=0,"NMF",IF(OR(A498*F498&lt;0,F498/A498-1&gt;10),"NMF",F498/A498-1)),"")</f>
        <v/>
      </c>
      <c r="G499" s="479"/>
      <c r="H499" s="479"/>
      <c r="I499" s="479"/>
      <c r="J499" s="479"/>
      <c r="K499" s="479"/>
      <c r="L499" s="479"/>
      <c r="M499" s="479"/>
      <c r="N499" s="479"/>
      <c r="O499" s="479"/>
      <c r="P499" s="479"/>
      <c r="Q499" s="479"/>
      <c r="R499" s="479"/>
      <c r="S499" s="1049"/>
      <c r="T499" s="479"/>
      <c r="U499" s="479"/>
      <c r="V499" s="479"/>
      <c r="W499" s="1049">
        <f t="shared" ref="W499:Z499" si="3197">+W498/S498-1</f>
        <v>-0.85356548317584768</v>
      </c>
      <c r="X499" s="479">
        <f t="shared" si="3197"/>
        <v>-0.72448530519292642</v>
      </c>
      <c r="Y499" s="479">
        <f t="shared" si="3197"/>
        <v>-0.19683416581673008</v>
      </c>
      <c r="Z499" s="479">
        <f t="shared" si="3197"/>
        <v>-0.20952880162787391</v>
      </c>
      <c r="AA499" s="479">
        <f>+AA498/W498-1</f>
        <v>-0.19410823044778536</v>
      </c>
      <c r="AB499" s="479">
        <f>+AB498/X498-1</f>
        <v>-1.6166667557638772</v>
      </c>
      <c r="AC499" s="479">
        <f>+AC498/Y498-1</f>
        <v>-0.73017615026853888</v>
      </c>
      <c r="AD499" s="479">
        <f>+AD498/Z498-1</f>
        <v>1.5227844494350404</v>
      </c>
      <c r="AE499" s="479">
        <f t="shared" ref="AE499:AH499" si="3198">+AE498/AA498-1</f>
        <v>0.82856218260648906</v>
      </c>
      <c r="AF499" s="479">
        <f t="shared" si="3198"/>
        <v>-5.3036659875792678</v>
      </c>
      <c r="AG499" s="479">
        <f t="shared" si="3198"/>
        <v>-1.7929755074238727</v>
      </c>
      <c r="AH499" s="479">
        <f t="shared" si="3198"/>
        <v>-1.9022464407081678</v>
      </c>
      <c r="AI499" s="479">
        <f t="shared" ref="AI499" si="3199">+AI498/AE498-1</f>
        <v>-3.461387081736822E-3</v>
      </c>
      <c r="AJ499" s="479">
        <f t="shared" ref="AJ499" si="3200">+AJ498/AF498-1</f>
        <v>-1.7555690489128393</v>
      </c>
      <c r="AK499" s="479">
        <f t="shared" ref="AK499:AL499" si="3201">+AK498/AG498-1</f>
        <v>-4.5652170103092802</v>
      </c>
      <c r="AL499" s="479">
        <f t="shared" si="3201"/>
        <v>1.3699731903485288</v>
      </c>
      <c r="AM499" s="1049">
        <f t="shared" ref="AM499" si="3202">+AM498/AI498-1</f>
        <v>-3.736453201970463</v>
      </c>
      <c r="AN499" s="479">
        <f t="shared" ref="AN499" si="3203">+AN498/AJ498-1</f>
        <v>-0.63383148495834041</v>
      </c>
      <c r="AO499" s="1049">
        <f t="shared" ref="AO499" si="3204">+AO498/AK498-1</f>
        <v>-1.7018449643681548</v>
      </c>
      <c r="AP499" s="479">
        <f t="shared" ref="AP499" si="3205">+AP498/AL498-1</f>
        <v>-1.1672317893009805</v>
      </c>
      <c r="AQ499" s="1049">
        <f t="shared" ref="AQ499" si="3206">+AQ498/AM498-1</f>
        <v>-0.63996399639964052</v>
      </c>
      <c r="AR499" s="479">
        <f t="shared" ref="AR499" si="3207">+AR498/AN498-1</f>
        <v>4.6715467955033283</v>
      </c>
      <c r="AS499" s="479">
        <f t="shared" ref="AS499" si="3208">+AS498/AO498-1</f>
        <v>1.1874773639405487</v>
      </c>
      <c r="AT499" s="479">
        <f t="shared" ref="AT499" si="3209">+AT498/AP498-1</f>
        <v>-0.76822754175801211</v>
      </c>
      <c r="AU499" s="479">
        <f t="shared" ref="AU499" si="3210">+AU498/AQ498-1</f>
        <v>1.9203830128205142</v>
      </c>
      <c r="AV499" s="479">
        <f t="shared" ref="AV499" si="3211">+AV498/AR498-1</f>
        <v>-0.21087698751476813</v>
      </c>
      <c r="AW499" s="479">
        <f t="shared" ref="AW499" si="3212">+AW498/AS498-1</f>
        <v>0.13073803827755426</v>
      </c>
      <c r="AX499" s="479">
        <f t="shared" ref="AX499" si="3213">+AX498/AT498-1</f>
        <v>-4.7645961900983433</v>
      </c>
      <c r="AY499" s="479"/>
      <c r="AZ499" s="479"/>
      <c r="BA499" s="72"/>
      <c r="BB499" s="479">
        <v>-0.76822754175801211</v>
      </c>
      <c r="BC499" s="2189"/>
      <c r="BD499" s="72"/>
      <c r="BE499" s="479"/>
      <c r="BF499" s="479"/>
      <c r="BG499" s="479"/>
      <c r="BH499" s="479"/>
      <c r="BI499" s="479"/>
      <c r="BJ499" s="1296"/>
      <c r="BK499" s="479"/>
      <c r="BL499" s="479">
        <f t="shared" ref="BL499:BR499" si="3214">+BL498/BK498-1</f>
        <v>-0.13164273171677454</v>
      </c>
      <c r="BM499" s="479">
        <f t="shared" si="3214"/>
        <v>-1.2555305764223439</v>
      </c>
      <c r="BN499" s="479">
        <f t="shared" si="3214"/>
        <v>6.0478611150270352</v>
      </c>
      <c r="BO499" s="1049">
        <f t="shared" si="3214"/>
        <v>-0.7273461480524539</v>
      </c>
      <c r="BP499" s="479">
        <f t="shared" si="3214"/>
        <v>1.986174597716472</v>
      </c>
      <c r="BQ499" s="479">
        <f t="shared" si="3214"/>
        <v>0.3697592718110998</v>
      </c>
      <c r="BR499" s="479">
        <f t="shared" si="3214"/>
        <v>-0.3703450475767881</v>
      </c>
      <c r="BS499" s="479">
        <f t="shared" ref="BS499" si="3215">+BS498/BR498-1</f>
        <v>-9.6799093106351042E-2</v>
      </c>
      <c r="BT499" s="479">
        <f t="shared" ref="BT499" si="3216">+BT498/BS498-1</f>
        <v>-0.10860699082186298</v>
      </c>
      <c r="BU499" s="479">
        <f t="shared" ref="BU499" si="3217">+BU498/BT498-1</f>
        <v>-0.12997846635616517</v>
      </c>
    </row>
    <row r="500" spans="1:73" s="481" customFormat="1" ht="15" customHeight="1">
      <c r="B500" s="481" t="s">
        <v>30</v>
      </c>
      <c r="C500" s="482" t="e">
        <f>+C498/C$285</f>
        <v>#REF!</v>
      </c>
      <c r="D500" s="482" t="e">
        <f>+D498/D$285</f>
        <v>#REF!</v>
      </c>
      <c r="E500" s="482" t="e">
        <f>+E498/E$285</f>
        <v>#REF!</v>
      </c>
      <c r="F500" s="482" t="e">
        <f>+F498/F$285</f>
        <v>#REF!</v>
      </c>
      <c r="G500" s="482"/>
      <c r="H500" s="482"/>
      <c r="I500" s="482"/>
      <c r="J500" s="482"/>
      <c r="K500" s="482"/>
      <c r="L500" s="482"/>
      <c r="M500" s="482"/>
      <c r="N500" s="482"/>
      <c r="O500" s="482"/>
      <c r="P500" s="482"/>
      <c r="Q500" s="482"/>
      <c r="R500" s="482"/>
      <c r="S500" s="1050">
        <f t="shared" ref="S500:T500" si="3218">+S498/S$470</f>
        <v>8.6896488240438191E-2</v>
      </c>
      <c r="T500" s="482">
        <f t="shared" si="3218"/>
        <v>9.2312075597131907E-2</v>
      </c>
      <c r="U500" s="482">
        <f t="shared" ref="U500:V500" si="3219">+U498/U$470</f>
        <v>8.4401814285002236E-2</v>
      </c>
      <c r="V500" s="482">
        <f t="shared" si="3219"/>
        <v>4.8610755041425632E-2</v>
      </c>
      <c r="W500" s="1050">
        <f t="shared" ref="W500:AD500" si="3220">+W498/W$470</f>
        <v>1.3031740172707973E-2</v>
      </c>
      <c r="X500" s="482">
        <f t="shared" si="3220"/>
        <v>3.2460640406360687E-2</v>
      </c>
      <c r="Y500" s="482">
        <f t="shared" si="3220"/>
        <v>5.5347078366957347E-2</v>
      </c>
      <c r="Z500" s="482">
        <f t="shared" si="3220"/>
        <v>3.4276771170910408E-2</v>
      </c>
      <c r="AA500" s="482">
        <f t="shared" si="3220"/>
        <v>9.4268492541799091E-3</v>
      </c>
      <c r="AB500" s="482">
        <f t="shared" si="3220"/>
        <v>-1.4985801445337402E-2</v>
      </c>
      <c r="AC500" s="482">
        <f t="shared" si="3220"/>
        <v>1.7868833921169905E-2</v>
      </c>
      <c r="AD500" s="482">
        <f t="shared" si="3220"/>
        <v>9.1594671103442243E-2</v>
      </c>
      <c r="AE500" s="482">
        <f t="shared" ref="AE500:AH500" si="3221">+AE498/AE$470</f>
        <v>2.211781782945384E-2</v>
      </c>
      <c r="AF500" s="482">
        <f t="shared" si="3221"/>
        <v>8.6473123424455692E-2</v>
      </c>
      <c r="AG500" s="482">
        <f t="shared" si="3221"/>
        <v>-1.7662053896576838E-2</v>
      </c>
      <c r="AH500" s="482">
        <f t="shared" si="3221"/>
        <v>-0.10850383011732752</v>
      </c>
      <c r="AI500" s="482">
        <f>+AI498/AI$470</f>
        <v>2.5270758122743538E-2</v>
      </c>
      <c r="AJ500" s="482">
        <f>+AJ498/AJ$470</f>
        <v>-7.1111699662318811E-2</v>
      </c>
      <c r="AK500" s="482">
        <f>+AK498/AK$470</f>
        <v>7.1265841957540488E-2</v>
      </c>
      <c r="AL500" s="482">
        <f t="shared" ref="AL500" si="3222">+AL498/AL$470</f>
        <v>-0.30943352196487961</v>
      </c>
      <c r="AM500" s="1050">
        <f t="shared" ref="AM500:AP500" si="3223">+AM498/AM$470</f>
        <v>-7.9544640939357175E-2</v>
      </c>
      <c r="AN500" s="482">
        <f t="shared" si="3223"/>
        <v>-2.756190041242982E-2</v>
      </c>
      <c r="AO500" s="1050">
        <f t="shared" si="3223"/>
        <v>-4.2359466382163084E-2</v>
      </c>
      <c r="AP500" s="482">
        <f t="shared" si="3223"/>
        <v>4.2260361881991025E-2</v>
      </c>
      <c r="AQ500" s="1050">
        <f t="shared" ref="AQ500:AT500" si="3224">+AQ498/AQ$470</f>
        <v>-2.8688230653374454E-2</v>
      </c>
      <c r="AR500" s="482">
        <f t="shared" si="3224"/>
        <v>-0.16775973043969891</v>
      </c>
      <c r="AS500" s="482">
        <f t="shared" si="3224"/>
        <v>-0.11095267099333896</v>
      </c>
      <c r="AT500" s="482">
        <f t="shared" si="3224"/>
        <v>1.2457790371779458E-2</v>
      </c>
      <c r="AU500" s="482">
        <f t="shared" ref="AU500:AX500" si="3225">+AU498/AU$470</f>
        <v>-0.10879392576864604</v>
      </c>
      <c r="AV500" s="482">
        <f t="shared" si="3225"/>
        <v>-0.16581946605200443</v>
      </c>
      <c r="AW500" s="482">
        <f t="shared" si="3225"/>
        <v>-0.15129344379311074</v>
      </c>
      <c r="AX500" s="482">
        <f t="shared" si="3225"/>
        <v>-5.5804001627559004E-2</v>
      </c>
      <c r="AY500" s="482"/>
      <c r="AZ500" s="482"/>
      <c r="BA500" s="2257"/>
      <c r="BB500" s="482">
        <v>1.2457790371779458E-2</v>
      </c>
      <c r="BC500" s="2200">
        <f>+AT500-BB500</f>
        <v>0</v>
      </c>
      <c r="BD500" s="2257"/>
      <c r="BE500" s="482"/>
      <c r="BF500" s="482"/>
      <c r="BG500" s="482"/>
      <c r="BH500" s="482"/>
      <c r="BI500" s="482"/>
      <c r="BJ500" s="1297">
        <f t="shared" ref="BJ500" si="3226">+BJ498/BJ$470</f>
        <v>7.6542686884448818E-2</v>
      </c>
      <c r="BK500" s="482">
        <f>+BK498/BK$470</f>
        <v>3.4684377477029002E-2</v>
      </c>
      <c r="BL500" s="482">
        <f>+BL498/BL$470</f>
        <v>2.9369449462003493E-2</v>
      </c>
      <c r="BM500" s="482">
        <f t="shared" ref="BM500:BN500" si="3227">+BM498/BM$470</f>
        <v>-9.729635807813438E-3</v>
      </c>
      <c r="BN500" s="482">
        <f t="shared" si="3227"/>
        <v>-7.8490374095762191E-2</v>
      </c>
      <c r="BO500" s="1050">
        <f t="shared" ref="BO500:BP500" si="3228">+BO498/BO$470</f>
        <v>-2.0258006689050447E-2</v>
      </c>
      <c r="BP500" s="482">
        <f t="shared" si="3228"/>
        <v>-6.9154939501744048E-2</v>
      </c>
      <c r="BQ500" s="482">
        <f t="shared" ref="BQ500" si="3229">+BQ498/BQ$470</f>
        <v>-0.11677948228679171</v>
      </c>
      <c r="BR500" s="482">
        <f>+BR498/BR$470</f>
        <v>-7.0963631363838528E-2</v>
      </c>
      <c r="BS500" s="482">
        <f t="shared" ref="BS500:BU500" si="3230">+BS498/BS$470</f>
        <v>-6.1833538384621509E-2</v>
      </c>
      <c r="BT500" s="482">
        <f t="shared" si="3230"/>
        <v>-5.3238659179754268E-2</v>
      </c>
      <c r="BU500" s="482">
        <f t="shared" si="3230"/>
        <v>-4.4739476392071126E-2</v>
      </c>
    </row>
    <row r="501" spans="1:73" s="340" customFormat="1" ht="15" customHeight="1">
      <c r="B501" s="1669" t="s">
        <v>365</v>
      </c>
      <c r="C501" s="641"/>
      <c r="D501" s="641"/>
      <c r="E501" s="641"/>
      <c r="F501" s="641"/>
      <c r="G501" s="641"/>
      <c r="H501" s="641"/>
      <c r="I501" s="641"/>
      <c r="J501" s="641"/>
      <c r="K501" s="641"/>
      <c r="L501" s="641"/>
      <c r="M501" s="641"/>
      <c r="N501" s="641"/>
      <c r="O501" s="641"/>
      <c r="P501" s="641"/>
      <c r="Q501" s="641"/>
      <c r="R501" s="641"/>
      <c r="S501" s="1057">
        <f t="shared" ref="S501" si="3231">+S500-O500</f>
        <v>8.6896488240438191E-2</v>
      </c>
      <c r="T501" s="641">
        <f t="shared" ref="T501:U501" si="3232">+T500-P500</f>
        <v>9.2312075597131907E-2</v>
      </c>
      <c r="U501" s="641">
        <f t="shared" si="3232"/>
        <v>8.4401814285002236E-2</v>
      </c>
      <c r="V501" s="641">
        <f t="shared" ref="V501" si="3233">+V500-R500</f>
        <v>4.8610755041425632E-2</v>
      </c>
      <c r="W501" s="1057">
        <f t="shared" ref="W501:AD501" si="3234">+W500-S500</f>
        <v>-7.3864748067730218E-2</v>
      </c>
      <c r="X501" s="641">
        <f t="shared" si="3234"/>
        <v>-5.985143519077122E-2</v>
      </c>
      <c r="Y501" s="641">
        <f t="shared" si="3234"/>
        <v>-2.9054735918044888E-2</v>
      </c>
      <c r="Z501" s="641">
        <f t="shared" si="3234"/>
        <v>-1.4333983870515224E-2</v>
      </c>
      <c r="AA501" s="641">
        <f t="shared" si="3234"/>
        <v>-3.6048909185280639E-3</v>
      </c>
      <c r="AB501" s="641">
        <f t="shared" si="3234"/>
        <v>-4.7446441851698093E-2</v>
      </c>
      <c r="AC501" s="641">
        <f t="shared" si="3234"/>
        <v>-3.7478244445787443E-2</v>
      </c>
      <c r="AD501" s="641">
        <f t="shared" si="3234"/>
        <v>5.7317899932531835E-2</v>
      </c>
      <c r="AE501" s="641">
        <f t="shared" ref="AE501" si="3235">+AE500-AA500</f>
        <v>1.2690968575273931E-2</v>
      </c>
      <c r="AF501" s="641">
        <f t="shared" ref="AF501" si="3236">+AF500-AB500</f>
        <v>0.10145892486979309</v>
      </c>
      <c r="AG501" s="641">
        <f t="shared" ref="AG501" si="3237">+AG500-AC500</f>
        <v>-3.5530887817746742E-2</v>
      </c>
      <c r="AH501" s="641">
        <f t="shared" ref="AH501" si="3238">+AH500-AD500</f>
        <v>-0.20009850122076978</v>
      </c>
      <c r="AI501" s="641">
        <f t="shared" ref="AI501" si="3239">+AI500-AE500</f>
        <v>3.152940293289698E-3</v>
      </c>
      <c r="AJ501" s="641">
        <f t="shared" ref="AJ501" si="3240">+AJ500-AF500</f>
        <v>-0.15758482308677452</v>
      </c>
      <c r="AK501" s="641">
        <f t="shared" ref="AK501" si="3241">+AK500-AG500</f>
        <v>8.8927895854117325E-2</v>
      </c>
      <c r="AL501" s="641">
        <f t="shared" ref="AL501" si="3242">+AL500-AH500</f>
        <v>-0.20092969184755211</v>
      </c>
      <c r="AM501" s="1057">
        <f t="shared" ref="AM501" si="3243">+AM500-AI500</f>
        <v>-0.10481539906210072</v>
      </c>
      <c r="AN501" s="641">
        <f t="shared" ref="AN501" si="3244">+AN500-AJ500</f>
        <v>4.3549799249888992E-2</v>
      </c>
      <c r="AO501" s="1057">
        <f t="shared" ref="AO501" si="3245">+AO500-AK500</f>
        <v>-0.11362530833970358</v>
      </c>
      <c r="AP501" s="641">
        <f t="shared" ref="AP501" si="3246">+AP500-AL500</f>
        <v>0.35169388384687061</v>
      </c>
      <c r="AQ501" s="1057">
        <f t="shared" ref="AQ501" si="3247">+AQ500-AM500</f>
        <v>5.0856410285982721E-2</v>
      </c>
      <c r="AR501" s="641">
        <f t="shared" ref="AR501" si="3248">+AR500-AN500</f>
        <v>-0.1401978300272691</v>
      </c>
      <c r="AS501" s="641">
        <f t="shared" ref="AS501" si="3249">+AS500-AO500</f>
        <v>-6.8593204611175879E-2</v>
      </c>
      <c r="AT501" s="641">
        <f t="shared" ref="AT501" si="3250">+AT500-AP500</f>
        <v>-2.9802571510211567E-2</v>
      </c>
      <c r="AU501" s="641">
        <f t="shared" ref="AU501" si="3251">+AU500-AQ500</f>
        <v>-8.0105695115271575E-2</v>
      </c>
      <c r="AV501" s="641">
        <f t="shared" ref="AV501" si="3252">+AV500-AR500</f>
        <v>1.9402643876944847E-3</v>
      </c>
      <c r="AW501" s="641">
        <f t="shared" ref="AW501" si="3253">+AW500-AS500</f>
        <v>-4.0340772799771787E-2</v>
      </c>
      <c r="AX501" s="641">
        <f t="shared" ref="AX501" si="3254">+AX500-AT500</f>
        <v>-6.8261791999338461E-2</v>
      </c>
      <c r="AY501" s="641"/>
      <c r="AZ501" s="641"/>
      <c r="BA501" s="72"/>
      <c r="BB501" s="641">
        <v>-2.9802571510211567E-2</v>
      </c>
      <c r="BC501" s="2189"/>
      <c r="BD501" s="72"/>
      <c r="BE501" s="343"/>
      <c r="BF501" s="641"/>
      <c r="BG501" s="641"/>
      <c r="BH501" s="641"/>
      <c r="BI501" s="641"/>
      <c r="BJ501" s="1302">
        <f>+BJ500-BH500</f>
        <v>7.6542686884448818E-2</v>
      </c>
      <c r="BK501" s="641">
        <f>+BK500-BJ500</f>
        <v>-4.1858309407419816E-2</v>
      </c>
      <c r="BL501" s="641">
        <f t="shared" ref="BL501:BR501" si="3255">+BL500-BK500</f>
        <v>-5.3149280150255086E-3</v>
      </c>
      <c r="BM501" s="641">
        <f t="shared" si="3255"/>
        <v>-3.9099085269816931E-2</v>
      </c>
      <c r="BN501" s="641">
        <f t="shared" si="3255"/>
        <v>-6.876073828794875E-2</v>
      </c>
      <c r="BO501" s="1057">
        <f t="shared" si="3255"/>
        <v>5.8232367406711741E-2</v>
      </c>
      <c r="BP501" s="641">
        <f t="shared" si="3255"/>
        <v>-4.8896932812693597E-2</v>
      </c>
      <c r="BQ501" s="641">
        <f t="shared" si="3255"/>
        <v>-4.7624542785047658E-2</v>
      </c>
      <c r="BR501" s="641">
        <f t="shared" si="3255"/>
        <v>4.5815850922953177E-2</v>
      </c>
      <c r="BS501" s="641">
        <f t="shared" ref="BS501" si="3256">+BS500-BR500</f>
        <v>9.1300929792170193E-3</v>
      </c>
      <c r="BT501" s="641">
        <f t="shared" ref="BT501" si="3257">+BT500-BS500</f>
        <v>8.5948792048672409E-3</v>
      </c>
      <c r="BU501" s="641">
        <f t="shared" ref="BU501" si="3258">+BU500-BT500</f>
        <v>8.4991827876831419E-3</v>
      </c>
    </row>
    <row r="502" spans="1:73" s="340" customFormat="1" ht="15" customHeight="1">
      <c r="B502" s="1669"/>
      <c r="C502" s="641"/>
      <c r="D502" s="641"/>
      <c r="E502" s="641"/>
      <c r="F502" s="641"/>
      <c r="G502" s="641"/>
      <c r="H502" s="641"/>
      <c r="I502" s="641"/>
      <c r="J502" s="641"/>
      <c r="K502" s="641"/>
      <c r="L502" s="641"/>
      <c r="M502" s="641"/>
      <c r="N502" s="641"/>
      <c r="O502" s="641"/>
      <c r="P502" s="641"/>
      <c r="Q502" s="641"/>
      <c r="R502" s="641"/>
      <c r="S502" s="1057"/>
      <c r="T502" s="641"/>
      <c r="U502" s="641"/>
      <c r="V502" s="641"/>
      <c r="W502" s="1057"/>
      <c r="X502" s="641"/>
      <c r="Y502" s="641"/>
      <c r="Z502" s="641"/>
      <c r="AA502" s="641"/>
      <c r="AB502" s="641"/>
      <c r="AC502" s="641"/>
      <c r="AD502" s="641"/>
      <c r="AE502" s="641"/>
      <c r="AF502" s="641"/>
      <c r="AG502" s="641"/>
      <c r="AH502" s="641"/>
      <c r="AI502" s="641"/>
      <c r="AJ502" s="641"/>
      <c r="AK502" s="641"/>
      <c r="AL502" s="641"/>
      <c r="AM502" s="1057"/>
      <c r="AN502" s="641"/>
      <c r="AO502" s="1057"/>
      <c r="AP502" s="641"/>
      <c r="AQ502" s="1057"/>
      <c r="AR502" s="641"/>
      <c r="AS502" s="641"/>
      <c r="AT502" s="641"/>
      <c r="AU502" s="641"/>
      <c r="AV502" s="641"/>
      <c r="AW502" s="641"/>
      <c r="AX502" s="641"/>
      <c r="AY502" s="641"/>
      <c r="AZ502" s="641"/>
      <c r="BA502" s="72"/>
      <c r="BB502" s="641"/>
      <c r="BC502" s="2189"/>
      <c r="BD502" s="72"/>
      <c r="BE502" s="343"/>
      <c r="BF502" s="641"/>
      <c r="BG502" s="641"/>
      <c r="BH502" s="641"/>
      <c r="BI502" s="641"/>
      <c r="BJ502" s="1302"/>
      <c r="BK502" s="641"/>
      <c r="BL502" s="641"/>
      <c r="BM502" s="641"/>
      <c r="BN502" s="641"/>
      <c r="BO502" s="1057"/>
      <c r="BP502" s="641"/>
      <c r="BQ502" s="641"/>
      <c r="BR502" s="641"/>
      <c r="BS502" s="641"/>
      <c r="BT502" s="641"/>
      <c r="BU502" s="641"/>
    </row>
    <row r="503" spans="1:73" s="340" customFormat="1" ht="15" customHeight="1">
      <c r="B503" s="488" t="s">
        <v>366</v>
      </c>
      <c r="C503" s="641"/>
      <c r="D503" s="641"/>
      <c r="E503" s="641"/>
      <c r="F503" s="641"/>
      <c r="G503" s="641"/>
      <c r="H503" s="641"/>
      <c r="I503" s="641"/>
      <c r="J503" s="641"/>
      <c r="K503" s="641"/>
      <c r="L503" s="641"/>
      <c r="M503" s="641"/>
      <c r="N503" s="641"/>
      <c r="O503" s="641"/>
      <c r="P503" s="641"/>
      <c r="Q503" s="641"/>
      <c r="R503" s="641"/>
      <c r="S503" s="1057"/>
      <c r="T503" s="641"/>
      <c r="U503" s="641"/>
      <c r="V503" s="641"/>
      <c r="W503" s="1057"/>
      <c r="X503" s="641"/>
      <c r="Y503" s="641"/>
      <c r="Z503" s="641"/>
      <c r="AA503" s="966">
        <f t="shared" ref="AA503:AG503" si="3259">+AA498-AA483</f>
        <v>22.337444457203574</v>
      </c>
      <c r="AB503" s="966">
        <f t="shared" si="3259"/>
        <v>-34.325679965523953</v>
      </c>
      <c r="AC503" s="966">
        <f t="shared" si="3259"/>
        <v>44.10710154132623</v>
      </c>
      <c r="AD503" s="966">
        <f t="shared" si="3259"/>
        <v>243.00133718084422</v>
      </c>
      <c r="AE503" s="966">
        <f t="shared" si="3259"/>
        <v>40.778051615761555</v>
      </c>
      <c r="AF503" s="966">
        <f t="shared" si="3259"/>
        <v>31.0679280181363</v>
      </c>
      <c r="AG503" s="966">
        <f t="shared" si="3259"/>
        <v>-9.4999999999999929</v>
      </c>
      <c r="AH503" s="966">
        <f t="shared" ref="AH503" si="3260">+AH498-AH483</f>
        <v>93.10000000000025</v>
      </c>
      <c r="AI503" s="966">
        <f t="shared" ref="AI503:AK503" si="3261">+AI498-AI483</f>
        <v>39.999999999999766</v>
      </c>
      <c r="AJ503" s="966">
        <f t="shared" si="3261"/>
        <v>-61.000000000000092</v>
      </c>
      <c r="AK503" s="966">
        <f t="shared" si="3261"/>
        <v>104.91581500000004</v>
      </c>
      <c r="AL503" s="966">
        <f>+AL498-AL483</f>
        <v>133.59999999999991</v>
      </c>
      <c r="AM503" s="1055">
        <f>+AM498-AM483</f>
        <v>28.799999999999841</v>
      </c>
      <c r="AN503" s="966">
        <f t="shared" ref="AN503:AP503" si="3262">+AN498-AN483</f>
        <v>-40.39117155833307</v>
      </c>
      <c r="AO503" s="1055">
        <f t="shared" si="3262"/>
        <v>-72.814881521948934</v>
      </c>
      <c r="AP503" s="966">
        <f t="shared" si="3262"/>
        <v>88.699741045240103</v>
      </c>
      <c r="AQ503" s="1055">
        <f t="shared" ref="AQ503:AT503" si="3263">+AQ498-AQ483</f>
        <v>-47.9</v>
      </c>
      <c r="AR503" s="966">
        <f t="shared" si="3263"/>
        <v>-223.0420766338045</v>
      </c>
      <c r="AS503" s="966">
        <f t="shared" si="3263"/>
        <v>-159.28090508727621</v>
      </c>
      <c r="AT503" s="966">
        <f t="shared" si="3263"/>
        <v>20.558157027483048</v>
      </c>
      <c r="AU503" s="966">
        <f t="shared" ref="AU503:AX503" si="3264">+AU498-AU483</f>
        <v>-116.81532051282056</v>
      </c>
      <c r="AV503" s="966">
        <f t="shared" si="3264"/>
        <v>-176.00763542422976</v>
      </c>
      <c r="AW503" s="966">
        <f t="shared" si="3264"/>
        <v>-180.10497815346002</v>
      </c>
      <c r="AX503" s="966">
        <f t="shared" si="3264"/>
        <v>-77.393159621106179</v>
      </c>
      <c r="AY503" s="764"/>
      <c r="AZ503" s="764"/>
      <c r="BA503" s="72"/>
      <c r="BB503" s="966">
        <v>20.558157027483048</v>
      </c>
      <c r="BC503" s="2189"/>
      <c r="BD503" s="72"/>
      <c r="BE503" s="343"/>
      <c r="BF503" s="641"/>
      <c r="BG503" s="641"/>
      <c r="BH503" s="641"/>
      <c r="BI503" s="641"/>
      <c r="BJ503" s="1302"/>
      <c r="BK503" s="966">
        <f t="shared" ref="BK503:BU503" si="3265">+BK498-BK483</f>
        <v>329.10512310770531</v>
      </c>
      <c r="BL503" s="966">
        <f t="shared" si="3265"/>
        <v>275.12020321385012</v>
      </c>
      <c r="BM503" s="966">
        <f t="shared" si="3265"/>
        <v>155.44597963389811</v>
      </c>
      <c r="BN503" s="966">
        <f t="shared" si="3265"/>
        <v>217.51581499999958</v>
      </c>
      <c r="BO503" s="1055">
        <f t="shared" si="3265"/>
        <v>4.2936879649579396</v>
      </c>
      <c r="BP503" s="966">
        <f t="shared" ref="BP503:BQ503" si="3266">+BP498-BP483</f>
        <v>-409.66482469359767</v>
      </c>
      <c r="BQ503" s="966">
        <f t="shared" si="3266"/>
        <v>-550.32109371161653</v>
      </c>
      <c r="BR503" s="966">
        <f t="shared" si="3265"/>
        <v>-346.51240207847786</v>
      </c>
      <c r="BS503" s="966">
        <f t="shared" si="3265"/>
        <v>-312.97031580717794</v>
      </c>
      <c r="BT503" s="966">
        <f t="shared" si="3265"/>
        <v>-278.9795515907922</v>
      </c>
      <c r="BU503" s="966">
        <f t="shared" si="3265"/>
        <v>-242.71821733029037</v>
      </c>
    </row>
    <row r="504" spans="1:73" s="340" customFormat="1" ht="15" customHeight="1">
      <c r="B504" s="340" t="s">
        <v>316</v>
      </c>
      <c r="C504" s="641"/>
      <c r="D504" s="641"/>
      <c r="E504" s="641"/>
      <c r="F504" s="641"/>
      <c r="G504" s="641"/>
      <c r="H504" s="641"/>
      <c r="I504" s="641"/>
      <c r="J504" s="641"/>
      <c r="K504" s="641"/>
      <c r="L504" s="641"/>
      <c r="M504" s="641"/>
      <c r="N504" s="641"/>
      <c r="O504" s="641"/>
      <c r="P504" s="641"/>
      <c r="Q504" s="641"/>
      <c r="R504" s="641"/>
      <c r="S504" s="1057"/>
      <c r="T504" s="641"/>
      <c r="U504" s="641"/>
      <c r="V504" s="641"/>
      <c r="W504" s="1057"/>
      <c r="X504" s="641"/>
      <c r="Y504" s="641"/>
      <c r="Z504" s="641"/>
      <c r="AA504" s="479"/>
      <c r="AB504" s="479"/>
      <c r="AC504" s="479"/>
      <c r="AD504" s="479"/>
      <c r="AE504" s="479">
        <f t="shared" ref="AE504" si="3267">+AE503/AA503-1</f>
        <v>0.82554686118586385</v>
      </c>
      <c r="AF504" s="479">
        <f t="shared" ref="AF504" si="3268">+AF503/AB503-1</f>
        <v>-1.9050928648562919</v>
      </c>
      <c r="AG504" s="479">
        <f t="shared" ref="AG504" si="3269">+AG503/AC503-1</f>
        <v>-1.2153848171387764</v>
      </c>
      <c r="AH504" s="479">
        <f t="shared" ref="AH504" si="3270">+AH503/AD503-1</f>
        <v>-0.61687453624704036</v>
      </c>
      <c r="AI504" s="479">
        <f t="shared" ref="AI504" si="3271">+AI503/AE503-1</f>
        <v>-1.9080156724826325E-2</v>
      </c>
      <c r="AJ504" s="479">
        <f t="shared" ref="AJ504" si="3272">+AJ503/AF503-1</f>
        <v>-2.9634395948255889</v>
      </c>
      <c r="AK504" s="479">
        <f t="shared" ref="AK504" si="3273">+AK503/AG503-1</f>
        <v>-12.043770000000013</v>
      </c>
      <c r="AL504" s="479">
        <f t="shared" ref="AL504" si="3274">+AL503/AH503-1</f>
        <v>0.43501611170783616</v>
      </c>
      <c r="AM504" s="1049">
        <f t="shared" ref="AM504" si="3275">+AM503/AI503-1</f>
        <v>-0.2799999999999998</v>
      </c>
      <c r="AN504" s="479">
        <f t="shared" ref="AN504" si="3276">+AN503/AJ503-1</f>
        <v>-0.33784964658470473</v>
      </c>
      <c r="AO504" s="1049">
        <f t="shared" ref="AO504" si="3277">+AO503/AK503-1</f>
        <v>-1.6940315101393333</v>
      </c>
      <c r="AP504" s="479">
        <f t="shared" ref="AP504" si="3278">+AP503/AL503-1</f>
        <v>-0.33607978259550775</v>
      </c>
      <c r="AQ504" s="1049">
        <f t="shared" ref="AQ504" si="3279">+AQ503/AM503-1</f>
        <v>-2.6631944444444535</v>
      </c>
      <c r="AR504" s="479">
        <f t="shared" ref="AR504" si="3280">+AR503/AN503-1</f>
        <v>4.5220501913812123</v>
      </c>
      <c r="AS504" s="479">
        <f t="shared" ref="AS504" si="3281">+AS503/AO503-1</f>
        <v>1.1874773639405487</v>
      </c>
      <c r="AT504" s="479">
        <f t="shared" ref="AT504" si="3282">+AT503/AP503-1</f>
        <v>-0.76822754175801211</v>
      </c>
      <c r="AU504" s="479">
        <f t="shared" ref="AU504" si="3283">+AU503/AQ503-1</f>
        <v>1.4387332048605548</v>
      </c>
      <c r="AV504" s="479">
        <f t="shared" ref="AV504" si="3284">+AV503/AR503-1</f>
        <v>-0.21087698751476813</v>
      </c>
      <c r="AW504" s="479">
        <f t="shared" ref="AW504" si="3285">+AW503/AS503-1</f>
        <v>0.13073803827755426</v>
      </c>
      <c r="AX504" s="479">
        <f t="shared" ref="AX504" si="3286">+AX503/AT503-1</f>
        <v>-4.7645961900983433</v>
      </c>
      <c r="AY504" s="479"/>
      <c r="AZ504" s="479"/>
      <c r="BA504" s="72"/>
      <c r="BB504" s="479">
        <v>-0.76822754175801211</v>
      </c>
      <c r="BC504" s="2189"/>
      <c r="BD504" s="72"/>
      <c r="BE504" s="343"/>
      <c r="BF504" s="641"/>
      <c r="BG504" s="641"/>
      <c r="BH504" s="641"/>
      <c r="BI504" s="641"/>
      <c r="BJ504" s="1302"/>
      <c r="BK504" s="479"/>
      <c r="BL504" s="479">
        <f t="shared" ref="BL504:BN504" si="3287">+BL503/BK503-1</f>
        <v>-0.16403548928099698</v>
      </c>
      <c r="BM504" s="479">
        <f t="shared" si="3287"/>
        <v>-0.43498886007629756</v>
      </c>
      <c r="BN504" s="479">
        <f t="shared" si="3287"/>
        <v>0.39930164493341391</v>
      </c>
      <c r="BO504" s="1049">
        <f>+BO503/BN503-1</f>
        <v>-0.98026034123101369</v>
      </c>
      <c r="BP504" s="479">
        <f>+BP503/BO503-1</f>
        <v>-96.410944632445052</v>
      </c>
      <c r="BQ504" s="479">
        <f>+BQ503/BP503-1</f>
        <v>0.34334475536975995</v>
      </c>
      <c r="BR504" s="479">
        <f t="shared" ref="BR504:BU504" si="3288">+BR503/BQ503-1</f>
        <v>-0.3703450475767881</v>
      </c>
      <c r="BS504" s="479">
        <f t="shared" si="3288"/>
        <v>-9.6799093106351042E-2</v>
      </c>
      <c r="BT504" s="479">
        <f t="shared" si="3288"/>
        <v>-0.10860699082186298</v>
      </c>
      <c r="BU504" s="479">
        <f t="shared" si="3288"/>
        <v>-0.12997846635616517</v>
      </c>
    </row>
    <row r="505" spans="1:73" s="340" customFormat="1" ht="15" customHeight="1">
      <c r="B505" s="481" t="s">
        <v>30</v>
      </c>
      <c r="C505" s="641"/>
      <c r="D505" s="641"/>
      <c r="E505" s="641"/>
      <c r="F505" s="641"/>
      <c r="G505" s="641"/>
      <c r="H505" s="641"/>
      <c r="I505" s="641"/>
      <c r="J505" s="641"/>
      <c r="K505" s="641"/>
      <c r="L505" s="641"/>
      <c r="M505" s="641"/>
      <c r="N505" s="641"/>
      <c r="O505" s="641"/>
      <c r="P505" s="641"/>
      <c r="Q505" s="641"/>
      <c r="R505" s="641"/>
      <c r="S505" s="1057"/>
      <c r="T505" s="641"/>
      <c r="U505" s="641"/>
      <c r="V505" s="641"/>
      <c r="W505" s="1057"/>
      <c r="X505" s="641"/>
      <c r="Y505" s="641"/>
      <c r="Z505" s="641"/>
      <c r="AA505" s="482">
        <f t="shared" ref="AA505:AG505" si="3289">+AA503/AA$470</f>
        <v>9.451002520500771E-3</v>
      </c>
      <c r="AB505" s="482">
        <f t="shared" si="3289"/>
        <v>-1.5574264957134281E-2</v>
      </c>
      <c r="AC505" s="482">
        <f t="shared" si="3289"/>
        <v>2.1476896110106752E-2</v>
      </c>
      <c r="AD505" s="482">
        <f t="shared" si="3289"/>
        <v>8.9731301348120171E-2</v>
      </c>
      <c r="AE505" s="482">
        <f t="shared" si="3289"/>
        <v>2.2137921615505731E-2</v>
      </c>
      <c r="AF505" s="482">
        <f t="shared" si="3289"/>
        <v>1.8900065712456685E-2</v>
      </c>
      <c r="AG505" s="482">
        <f t="shared" si="3289"/>
        <v>-5.7659626122845307E-3</v>
      </c>
      <c r="AH505" s="482">
        <f>+AH503/AH$470</f>
        <v>4.5137205468825881E-2</v>
      </c>
      <c r="AI505" s="482">
        <f t="shared" ref="AI505:AK505" si="3290">+AI503/AI$470</f>
        <v>2.4897298643097081E-2</v>
      </c>
      <c r="AJ505" s="482">
        <f t="shared" si="3290"/>
        <v>-4.0389326623849628E-2</v>
      </c>
      <c r="AK505" s="482">
        <f t="shared" si="3290"/>
        <v>7.2068157682516551E-2</v>
      </c>
      <c r="AL505" s="482">
        <f t="shared" ref="AL505:AP505" si="3291">+AL503/AL$470</f>
        <v>7.7941777025844414E-2</v>
      </c>
      <c r="AM505" s="1050">
        <f t="shared" si="3291"/>
        <v>2.0620032934774712E-2</v>
      </c>
      <c r="AN505" s="482">
        <f t="shared" si="3291"/>
        <v>-2.8308074455041989E-2</v>
      </c>
      <c r="AO505" s="1050">
        <f t="shared" si="3291"/>
        <v>-4.2359466382163084E-2</v>
      </c>
      <c r="AP505" s="482">
        <f t="shared" si="3291"/>
        <v>4.2260361881991025E-2</v>
      </c>
      <c r="AQ505" s="1050">
        <f t="shared" ref="AQ505:AT505" si="3292">+AQ503/AQ$470</f>
        <v>-3.4354156207415908E-2</v>
      </c>
      <c r="AR505" s="482">
        <f t="shared" si="3292"/>
        <v>-0.16775973043969891</v>
      </c>
      <c r="AS505" s="482">
        <f t="shared" si="3292"/>
        <v>-0.11095267099333896</v>
      </c>
      <c r="AT505" s="482">
        <f t="shared" si="3292"/>
        <v>1.2457790371779458E-2</v>
      </c>
      <c r="AU505" s="482">
        <f t="shared" ref="AU505:AX505" si="3293">+AU503/AU$470</f>
        <v>-0.10879392576864604</v>
      </c>
      <c r="AV505" s="482">
        <f t="shared" si="3293"/>
        <v>-0.16581946605200443</v>
      </c>
      <c r="AW505" s="482">
        <f t="shared" si="3293"/>
        <v>-0.15129344379311074</v>
      </c>
      <c r="AX505" s="482">
        <f t="shared" si="3293"/>
        <v>-5.5804001627559004E-2</v>
      </c>
      <c r="AY505" s="482"/>
      <c r="AZ505" s="482"/>
      <c r="BA505" s="72"/>
      <c r="BB505" s="482">
        <v>1.2457790371779458E-2</v>
      </c>
      <c r="BC505" s="2189"/>
      <c r="BD505" s="72"/>
      <c r="BE505" s="343"/>
      <c r="BF505" s="641"/>
      <c r="BG505" s="641"/>
      <c r="BH505" s="641"/>
      <c r="BI505" s="641"/>
      <c r="BJ505" s="1302"/>
      <c r="BK505" s="482">
        <f>+BK503/BK$470</f>
        <v>3.6176131721247548E-2</v>
      </c>
      <c r="BL505" s="482">
        <f>+BL503/BL$470</f>
        <v>2.9489908483364254E-2</v>
      </c>
      <c r="BM505" s="482">
        <f>+BM503/BM$470</f>
        <v>2.1601720349346595E-2</v>
      </c>
      <c r="BN505" s="482">
        <f>+BN503/BN$470</f>
        <v>3.4598889639316427E-2</v>
      </c>
      <c r="BO505" s="1050">
        <f>+BO503/BO$470</f>
        <v>6.465028980349116E-4</v>
      </c>
      <c r="BP505" s="482">
        <f t="shared" ref="BP505:BQ505" si="3294">+BP503/BP$470</f>
        <v>-7.05147499890868E-2</v>
      </c>
      <c r="BQ505" s="482">
        <f t="shared" si="3294"/>
        <v>-0.11677948228679171</v>
      </c>
      <c r="BR505" s="482">
        <f>+BR503/BR$470</f>
        <v>-7.0963631363838528E-2</v>
      </c>
      <c r="BS505" s="482">
        <f>+BS503/BS$470</f>
        <v>-6.1833538384621509E-2</v>
      </c>
      <c r="BT505" s="482">
        <f>+BT503/BT$470</f>
        <v>-5.3238659179754268E-2</v>
      </c>
      <c r="BU505" s="482">
        <f>+BU503/BU$470</f>
        <v>-4.4739476392071126E-2</v>
      </c>
    </row>
    <row r="506" spans="1:73" s="340" customFormat="1" ht="15" customHeight="1">
      <c r="B506" s="1669" t="s">
        <v>365</v>
      </c>
      <c r="C506" s="641"/>
      <c r="D506" s="641"/>
      <c r="E506" s="641"/>
      <c r="F506" s="641"/>
      <c r="G506" s="641"/>
      <c r="H506" s="641"/>
      <c r="I506" s="641"/>
      <c r="J506" s="641"/>
      <c r="K506" s="641"/>
      <c r="L506" s="641"/>
      <c r="M506" s="641"/>
      <c r="N506" s="641"/>
      <c r="O506" s="641"/>
      <c r="P506" s="641"/>
      <c r="Q506" s="641"/>
      <c r="R506" s="641"/>
      <c r="S506" s="1057">
        <f t="shared" ref="S506" si="3295">+S505-O505</f>
        <v>0</v>
      </c>
      <c r="T506" s="641">
        <f t="shared" ref="T506" si="3296">+T505-P505</f>
        <v>0</v>
      </c>
      <c r="U506" s="641">
        <f t="shared" ref="U506" si="3297">+U505-Q505</f>
        <v>0</v>
      </c>
      <c r="V506" s="641">
        <f t="shared" ref="V506" si="3298">+V505-R505</f>
        <v>0</v>
      </c>
      <c r="W506" s="1057">
        <f t="shared" ref="W506" si="3299">+W505-S505</f>
        <v>0</v>
      </c>
      <c r="X506" s="641">
        <f t="shared" ref="X506" si="3300">+X505-T505</f>
        <v>0</v>
      </c>
      <c r="Y506" s="641">
        <f t="shared" ref="Y506" si="3301">+Y505-U505</f>
        <v>0</v>
      </c>
      <c r="Z506" s="641">
        <f t="shared" ref="Z506" si="3302">+Z505-V505</f>
        <v>0</v>
      </c>
      <c r="AA506" s="641">
        <f t="shared" ref="AA506" si="3303">+AA505-W505</f>
        <v>9.451002520500771E-3</v>
      </c>
      <c r="AB506" s="641">
        <f t="shared" ref="AB506" si="3304">+AB505-X505</f>
        <v>-1.5574264957134281E-2</v>
      </c>
      <c r="AC506" s="641">
        <f t="shared" ref="AC506" si="3305">+AC505-Y505</f>
        <v>2.1476896110106752E-2</v>
      </c>
      <c r="AD506" s="641">
        <f t="shared" ref="AD506" si="3306">+AD505-Z505</f>
        <v>8.9731301348120171E-2</v>
      </c>
      <c r="AE506" s="641">
        <f t="shared" ref="AE506" si="3307">+AE505-AA505</f>
        <v>1.268691909500496E-2</v>
      </c>
      <c r="AF506" s="641">
        <f t="shared" ref="AF506" si="3308">+AF505-AB505</f>
        <v>3.4474330669590963E-2</v>
      </c>
      <c r="AG506" s="641">
        <f t="shared" ref="AG506" si="3309">+AG505-AC505</f>
        <v>-2.7242858722391284E-2</v>
      </c>
      <c r="AH506" s="641">
        <f t="shared" ref="AH506" si="3310">+AH505-AD505</f>
        <v>-4.459409587929429E-2</v>
      </c>
      <c r="AI506" s="641">
        <f t="shared" ref="AI506" si="3311">+AI505-AE505</f>
        <v>2.7593770275913497E-3</v>
      </c>
      <c r="AJ506" s="641">
        <f t="shared" ref="AJ506" si="3312">+AJ505-AF505</f>
        <v>-5.9289392336306312E-2</v>
      </c>
      <c r="AK506" s="641">
        <f t="shared" ref="AK506" si="3313">+AK505-AG505</f>
        <v>7.7834120294801079E-2</v>
      </c>
      <c r="AL506" s="641">
        <f t="shared" ref="AL506" si="3314">+AL505-AH505</f>
        <v>3.2804571557018533E-2</v>
      </c>
      <c r="AM506" s="1057">
        <f t="shared" ref="AM506" si="3315">+AM505-AI505</f>
        <v>-4.2772657083223684E-3</v>
      </c>
      <c r="AN506" s="641">
        <f t="shared" ref="AN506" si="3316">+AN505-AJ505</f>
        <v>1.2081252168807639E-2</v>
      </c>
      <c r="AO506" s="1057">
        <f t="shared" ref="AO506" si="3317">+AO505-AK505</f>
        <v>-0.11442762406467963</v>
      </c>
      <c r="AP506" s="641">
        <f t="shared" ref="AP506" si="3318">+AP505-AL505</f>
        <v>-3.5681415143853389E-2</v>
      </c>
      <c r="AQ506" s="1057">
        <f t="shared" ref="AQ506" si="3319">+AQ505-AM505</f>
        <v>-5.497418914219062E-2</v>
      </c>
      <c r="AR506" s="641">
        <f t="shared" ref="AR506" si="3320">+AR505-AN505</f>
        <v>-0.13945165598465692</v>
      </c>
      <c r="AS506" s="641">
        <f t="shared" ref="AS506" si="3321">+AS505-AO505</f>
        <v>-6.8593204611175879E-2</v>
      </c>
      <c r="AT506" s="641">
        <f t="shared" ref="AT506" si="3322">+AT505-AP505</f>
        <v>-2.9802571510211567E-2</v>
      </c>
      <c r="AU506" s="641">
        <f t="shared" ref="AU506" si="3323">+AU505-AQ505</f>
        <v>-7.4439769561230135E-2</v>
      </c>
      <c r="AV506" s="641">
        <f t="shared" ref="AV506" si="3324">+AV505-AR505</f>
        <v>1.9402643876944847E-3</v>
      </c>
      <c r="AW506" s="641">
        <f t="shared" ref="AW506" si="3325">+AW505-AS505</f>
        <v>-4.0340772799771787E-2</v>
      </c>
      <c r="AX506" s="641">
        <f t="shared" ref="AX506" si="3326">+AX505-AT505</f>
        <v>-6.8261791999338461E-2</v>
      </c>
      <c r="AY506" s="641"/>
      <c r="AZ506" s="641"/>
      <c r="BA506" s="72"/>
      <c r="BB506" s="641">
        <v>-2.9802571510211567E-2</v>
      </c>
      <c r="BC506" s="2189"/>
      <c r="BD506" s="72"/>
      <c r="BE506" s="343"/>
      <c r="BF506" s="641"/>
      <c r="BG506" s="641"/>
      <c r="BH506" s="641"/>
      <c r="BI506" s="641"/>
      <c r="BJ506" s="1302">
        <f t="shared" ref="BJ506" si="3327">+BJ505-BH505</f>
        <v>0</v>
      </c>
      <c r="BK506" s="641">
        <f>+BK505-BJ505</f>
        <v>3.6176131721247548E-2</v>
      </c>
      <c r="BL506" s="641">
        <f t="shared" ref="BL506" si="3328">+BL505-BK505</f>
        <v>-6.6862232378832945E-3</v>
      </c>
      <c r="BM506" s="641">
        <f t="shared" ref="BM506" si="3329">+BM505-BL505</f>
        <v>-7.8881881340176589E-3</v>
      </c>
      <c r="BN506" s="641">
        <f t="shared" ref="BN506" si="3330">+BN505-BM505</f>
        <v>1.2997169289969832E-2</v>
      </c>
      <c r="BO506" s="1057">
        <f t="shared" ref="BO506:BQ506" si="3331">+BO505-BN505</f>
        <v>-3.3952386741281516E-2</v>
      </c>
      <c r="BP506" s="641">
        <f t="shared" si="3331"/>
        <v>-7.1161252887121718E-2</v>
      </c>
      <c r="BQ506" s="641">
        <f t="shared" si="3331"/>
        <v>-4.6264732297704905E-2</v>
      </c>
      <c r="BR506" s="641">
        <f t="shared" ref="BR506" si="3332">+BR505-BQ505</f>
        <v>4.5815850922953177E-2</v>
      </c>
      <c r="BS506" s="641">
        <f t="shared" ref="BS506" si="3333">+BS505-BR505</f>
        <v>9.1300929792170193E-3</v>
      </c>
      <c r="BT506" s="641">
        <f t="shared" ref="BT506" si="3334">+BT505-BS505</f>
        <v>8.5948792048672409E-3</v>
      </c>
      <c r="BU506" s="641">
        <f t="shared" ref="BU506" si="3335">+BU505-BT505</f>
        <v>8.4991827876831419E-3</v>
      </c>
    </row>
    <row r="507" spans="1:73" s="357" customFormat="1" ht="15.75" hidden="1" customHeight="1" thickBot="1">
      <c r="S507" s="1890"/>
      <c r="T507" s="358"/>
      <c r="U507" s="359"/>
      <c r="W507" s="1890"/>
      <c r="AM507" s="1890"/>
      <c r="BA507" s="85"/>
      <c r="BC507" s="2197"/>
      <c r="BD507" s="85"/>
      <c r="BJ507" s="2076"/>
      <c r="BK507" s="482">
        <f>+BK497/BK$470</f>
        <v>4.5775580361401287E-2</v>
      </c>
      <c r="BL507" s="482">
        <f>+BL497/BL$470</f>
        <v>6.0389997627460709E-2</v>
      </c>
      <c r="BO507" s="1890"/>
    </row>
    <row r="508" spans="1:73" s="357" customFormat="1" ht="15.75" hidden="1" customHeight="1" thickBot="1">
      <c r="B508" s="384" t="s">
        <v>367</v>
      </c>
      <c r="S508" s="1890"/>
      <c r="T508" s="358"/>
      <c r="U508" s="359"/>
      <c r="W508" s="1890"/>
      <c r="AK508" s="357" t="s">
        <v>368</v>
      </c>
      <c r="AM508" s="1890"/>
      <c r="BA508" s="85"/>
      <c r="BC508" s="2197"/>
      <c r="BD508" s="85"/>
      <c r="BJ508" s="2076"/>
      <c r="BO508" s="1890"/>
    </row>
    <row r="509" spans="1:73" s="357" customFormat="1" ht="15" hidden="1" customHeight="1">
      <c r="B509" s="403" t="s">
        <v>369</v>
      </c>
      <c r="C509" s="406"/>
      <c r="D509" s="406"/>
      <c r="E509" s="406"/>
      <c r="F509" s="406"/>
      <c r="G509" s="406">
        <f>+MACRO!G4*MACRO!G46</f>
        <v>4.6842926400000007</v>
      </c>
      <c r="H509" s="406">
        <f>+MACRO!H4*MACRO!H46</f>
        <v>4.3129154999999999</v>
      </c>
      <c r="I509" s="406">
        <f>+MACRO!I4*MACRO!I46</f>
        <v>4.2752381699999997</v>
      </c>
      <c r="J509" s="406">
        <f>+MACRO!J4*MACRO!J46</f>
        <v>4.4921500000000005</v>
      </c>
      <c r="K509" s="406">
        <f>+MACRO!K4*MACRO!K46</f>
        <v>4.07879112</v>
      </c>
      <c r="L509" s="406">
        <f>+MACRO!L4*MACRO!L46</f>
        <v>4.3033286399999993</v>
      </c>
      <c r="M509" s="406">
        <f>+MACRO!M4*MACRO!M46</f>
        <v>4.0303513500000001</v>
      </c>
      <c r="N509" s="406">
        <f>+MACRO!N4*MACRO!N46</f>
        <v>4.2405044500000004</v>
      </c>
      <c r="O509" s="406">
        <f>+MACRO!O4*MACRO!O46</f>
        <v>4.29819</v>
      </c>
      <c r="P509" s="406">
        <f>+MACRO!P4*MACRO!P46</f>
        <v>5.2766918</v>
      </c>
      <c r="Q509" s="406">
        <f>+MACRO!Q4*MACRO!Q46</f>
        <v>5.6054459899999998</v>
      </c>
      <c r="R509" s="406">
        <f>+MACRO!R4*MACRO!R46</f>
        <v>5.5119761399999998</v>
      </c>
      <c r="S509" s="1891">
        <f>+MACRO!S4*MACRO!S46</f>
        <v>5.5117496999999993</v>
      </c>
      <c r="T509" s="406">
        <f>+MACRO!T4*MACRO!T46</f>
        <v>5.4812028599999998</v>
      </c>
      <c r="U509" s="406">
        <f>+MACRO!U4*MACRO!U46</f>
        <v>6.1556856</v>
      </c>
      <c r="V509" s="406">
        <f>+MACRO!V4*MACRO!V46</f>
        <v>5.7333198100000002</v>
      </c>
      <c r="W509" s="1891">
        <f>+MACRO!W4*MACRO!W46</f>
        <v>8.4820363499999996</v>
      </c>
      <c r="X509" s="406">
        <f>+MACRO!X4*MACRO!X46</f>
        <v>7.9200891000000011</v>
      </c>
      <c r="Y509" s="406">
        <f>+MACRO!Y4*MACRO!Y46</f>
        <v>7.8540000000000001</v>
      </c>
      <c r="Z509" s="406">
        <f>+MACRO!Z4*MACRO!Z46</f>
        <v>6.7515500000000008</v>
      </c>
      <c r="AA509" s="406">
        <f>+MACRO!AA4*MACRO!AA46</f>
        <v>7.4137435200000006</v>
      </c>
      <c r="AB509" s="406">
        <f>+MACRO!AB4*MACRO!AB46</f>
        <v>6.6281491000000008</v>
      </c>
      <c r="AC509" s="406">
        <f>+MACRO!AC4*MACRO!AC46</f>
        <v>7.5271246999999999</v>
      </c>
      <c r="AD509" s="406">
        <f>+MACRO!AD4*MACRO!AD46</f>
        <v>7.7438651400000005</v>
      </c>
      <c r="AE509" s="406">
        <f>+MACRO!AE4*MACRO!AE46</f>
        <v>6.5886292642857143</v>
      </c>
      <c r="AF509" s="406">
        <f>+MACRO!AF4*MACRO!AF46</f>
        <v>7.340558611484691</v>
      </c>
      <c r="AG509" s="406">
        <f>+MACRO!AG4*MACRO!AG46</f>
        <v>7.6012783988085424</v>
      </c>
      <c r="AH509" s="406">
        <f>+MACRO!AH4*MACRO!AH46</f>
        <v>7.456607774754402</v>
      </c>
      <c r="AI509" s="406">
        <f>+MACRO!AI4*MACRO!AI46</f>
        <v>7.1791644116937325</v>
      </c>
      <c r="AJ509" s="406">
        <f>+MACRO!AJ4*MACRO!AJ46</f>
        <v>6.8211099662497352</v>
      </c>
      <c r="AK509" s="406">
        <f>+MACRO!AK4*MACRO!AK46</f>
        <v>7.2060307226480518</v>
      </c>
      <c r="AL509" s="406">
        <f>+MACRO!AL4*MACRO!AL46</f>
        <v>6.9831742887522195</v>
      </c>
      <c r="AM509" s="1891">
        <f>+MACRO!AM4*MACRO!AM46</f>
        <v>7.2522386160620576</v>
      </c>
      <c r="AN509" s="406">
        <f>+MACRO!AN4*MACRO!AN46</f>
        <v>8.1309396315332165</v>
      </c>
      <c r="AO509" s="406">
        <f>+MACRO!AO4*MACRO!AO46</f>
        <v>7.9610999261392017</v>
      </c>
      <c r="AP509" s="406">
        <f>+MACRO!AP4*MACRO!AP46</f>
        <v>9.0631907773455112</v>
      </c>
      <c r="AQ509" s="406">
        <f>+MACRO!AQ4*MACRO!AQ46</f>
        <v>8.4835288493885841</v>
      </c>
      <c r="AR509" s="406">
        <f>+MACRO!AR4*MACRO!AR46</f>
        <v>8.1107699687280572</v>
      </c>
      <c r="AS509" s="406">
        <f>+MACRO!AS4*MACRO!AS46</f>
        <v>7.9303290612967094</v>
      </c>
      <c r="AT509" s="406">
        <f>+MACRO!AT4*MACRO!AT46</f>
        <v>8.2000179196242655</v>
      </c>
      <c r="AU509" s="406">
        <f>+MACRO!AU4*MACRO!AU46</f>
        <v>7.9771693695100998</v>
      </c>
      <c r="AV509" s="406">
        <f>+MACRO!AV4*MACRO!AV46</f>
        <v>8.0373950340229516</v>
      </c>
      <c r="AW509" s="406">
        <f>+MACRO!AW4*MACRO!AW46</f>
        <v>8.0859590144596556</v>
      </c>
      <c r="AX509" s="406">
        <f>+MACRO!AX4*MACRO!AX46</f>
        <v>8.1795115692426137</v>
      </c>
      <c r="AY509" s="406"/>
      <c r="AZ509" s="406"/>
      <c r="BA509" s="85"/>
      <c r="BB509" s="406">
        <v>8.2000179196242655</v>
      </c>
      <c r="BC509" s="2197"/>
      <c r="BD509" s="85"/>
      <c r="BE509" s="406">
        <f>+MACRO!BD4*MACRO!BD46</f>
        <v>0</v>
      </c>
      <c r="BF509" s="406">
        <f>+MACRO!BE4*MACRO!BE46</f>
        <v>13.116066092219999</v>
      </c>
      <c r="BG509" s="406">
        <f>+MACRO!BF4*MACRO!BF46</f>
        <v>4.2405044500000004</v>
      </c>
      <c r="BH509" s="406">
        <f>+MACRO!BG4*MACRO!BG46</f>
        <v>5.5119761399999998</v>
      </c>
      <c r="BI509" s="406"/>
      <c r="BJ509" s="2077">
        <f>+MACRO!BH4*MACRO!BH46</f>
        <v>5.7333198100000002</v>
      </c>
      <c r="BK509" s="406">
        <f>+MACRO!BI4*MACRO!BI46</f>
        <v>6.7515500000000008</v>
      </c>
      <c r="BL509" s="406">
        <f>+MACRO!BJ4*MACRO!BJ46</f>
        <v>7.7438651400000005</v>
      </c>
      <c r="BM509" s="406">
        <f>+MACRO!BK4*MACRO!BK46</f>
        <v>7.456607774754402</v>
      </c>
      <c r="BN509" s="406">
        <f>+MACRO!BL4*MACRO!BL46</f>
        <v>6.9831742887522195</v>
      </c>
      <c r="BO509" s="1891">
        <f>+MACRO!BM4*MACRO!BM46</f>
        <v>9.0631907773455112</v>
      </c>
      <c r="BP509" s="406">
        <f>+MACRO!BN4*MACRO!BN46</f>
        <v>8.2000179196242655</v>
      </c>
      <c r="BQ509" s="406">
        <f>+MACRO!BO4*MACRO!BO46</f>
        <v>8.1783048633667601</v>
      </c>
      <c r="BR509" s="406">
        <f>+MACRO!BP4*MACRO!BP46</f>
        <v>8.487853702445193</v>
      </c>
      <c r="BS509" s="406">
        <f>+MACRO!BQ4*MACRO!BQ46</f>
        <v>8.7874749381415107</v>
      </c>
      <c r="BT509" s="406">
        <f>+MACRO!BR4*MACRO!BR46</f>
        <v>9.0976728034579057</v>
      </c>
      <c r="BU509" s="406">
        <f>+MACRO!BS4*MACRO!BS46</f>
        <v>9.4188206534199708</v>
      </c>
    </row>
    <row r="510" spans="1:73" s="357" customFormat="1" ht="15" hidden="1" customHeight="1">
      <c r="B510" s="404" t="s">
        <v>370</v>
      </c>
      <c r="C510" s="406"/>
      <c r="D510" s="406"/>
      <c r="E510" s="406"/>
      <c r="F510" s="406"/>
      <c r="G510" s="406">
        <f>+MACRO!G3*MACRO!G47</f>
        <v>5.0833858200000002</v>
      </c>
      <c r="H510" s="406">
        <f>+MACRO!H3*MACRO!H47</f>
        <v>4.6312896300000004</v>
      </c>
      <c r="I510" s="406">
        <f>+MACRO!I3*MACRO!I47</f>
        <v>4.3071315500000003</v>
      </c>
      <c r="J510" s="406">
        <f>+MACRO!J3*MACRO!J47</f>
        <v>4.4355357000000009</v>
      </c>
      <c r="K510" s="406">
        <f>+MACRO!K3*MACRO!K47</f>
        <v>4.2265908500000009</v>
      </c>
      <c r="L510" s="406">
        <f>+MACRO!L3*MACRO!L47</f>
        <v>4.1949459999999998</v>
      </c>
      <c r="M510" s="406">
        <f>+MACRO!M3*MACRO!M47</f>
        <v>4.0735983349999998</v>
      </c>
      <c r="N510" s="406">
        <f>+MACRO!N3*MACRO!N47</f>
        <v>4.1543362400000001</v>
      </c>
      <c r="O510" s="406">
        <f>+MACRO!O3*MACRO!O47</f>
        <v>4.1855811250000006</v>
      </c>
      <c r="P510" s="406">
        <f>+MACRO!P3*MACRO!P47</f>
        <v>4.80186928</v>
      </c>
      <c r="Q510" s="406">
        <f>+MACRO!Q3*MACRO!Q47</f>
        <v>5.4193424499999994</v>
      </c>
      <c r="R510" s="406">
        <f>+MACRO!R3*MACRO!R47</f>
        <v>5.3446255200000001</v>
      </c>
      <c r="S510" s="1891">
        <f>+MACRO!S3*MACRO!S47</f>
        <v>5.3208401099999998</v>
      </c>
      <c r="T510" s="406">
        <f>+MACRO!T3*MACRO!T47</f>
        <v>5.5480836</v>
      </c>
      <c r="U510" s="406">
        <f>+MACRO!U3*MACRO!U47</f>
        <v>5.7691165199999999</v>
      </c>
      <c r="V510" s="406">
        <f>+MACRO!V3*MACRO!V47</f>
        <v>5.9813592649999991</v>
      </c>
      <c r="W510" s="1891">
        <f>+MACRO!W3*MACRO!W47</f>
        <v>6.831001979999999</v>
      </c>
      <c r="X510" s="406">
        <f>+MACRO!X3*MACRO!X47</f>
        <v>8.2897847999999996</v>
      </c>
      <c r="Y510" s="406">
        <f>+MACRO!Y3*MACRO!Y47</f>
        <v>7.6640949000000012</v>
      </c>
      <c r="Z510" s="406">
        <f>+MACRO!Z3*MACRO!Z47</f>
        <v>7.3919720000000009</v>
      </c>
      <c r="AA510" s="406">
        <f>+MACRO!AA3*MACRO!AA47</f>
        <v>7.0991600198360629</v>
      </c>
      <c r="AB510" s="406">
        <f>+MACRO!AB3*MACRO!AB47</f>
        <v>6.8755545485714284</v>
      </c>
      <c r="AC510" s="406">
        <f>+MACRO!AC3*MACRO!AC47</f>
        <v>7.1265969867187522</v>
      </c>
      <c r="AD510" s="406">
        <f>+MACRO!AD3*MACRO!AD47</f>
        <v>7.6650562712500019</v>
      </c>
      <c r="AE510" s="406">
        <f>+MACRO!AE3*MACRO!AE47</f>
        <v>7.2610971938775499</v>
      </c>
      <c r="AF510" s="406">
        <f>+MACRO!AF3*MACRO!AF47</f>
        <v>6.864646150984691</v>
      </c>
      <c r="AG510" s="406">
        <f>+MACRO!AG3*MACRO!AG47</f>
        <v>7.3506492783482109</v>
      </c>
      <c r="AH510" s="406">
        <f>+MACRO!AH3*MACRO!AH47</f>
        <v>7.4059765653735843</v>
      </c>
      <c r="AI510" s="406">
        <f>+MACRO!AI3*MACRO!AI47</f>
        <v>7.3390656946773616</v>
      </c>
      <c r="AJ510" s="406">
        <f>+MACRO!AJ3*MACRO!AJ47</f>
        <v>7.0248591604966588</v>
      </c>
      <c r="AK510" s="406">
        <f>+MACRO!AK3*MACRO!AK47</f>
        <v>6.9774255855024085</v>
      </c>
      <c r="AL510" s="406">
        <f>+MACRO!AL3*MACRO!AL47</f>
        <v>7.1139445947218007</v>
      </c>
      <c r="AM510" s="1891">
        <f>+MACRO!AM3*MACRO!AM47</f>
        <v>7.1433108971445209</v>
      </c>
      <c r="AN510" s="406">
        <f>+MACRO!AN3*MACRO!AN47</f>
        <v>7.4726259690401431</v>
      </c>
      <c r="AO510" s="406">
        <f>+MACRO!AO3*MACRO!AO47</f>
        <v>8.0816167130670884</v>
      </c>
      <c r="AP510" s="406">
        <f>+MACRO!AP3*MACRO!AP47</f>
        <v>8.5446518374178346</v>
      </c>
      <c r="AQ510" s="406">
        <f>+MACRO!AQ3*MACRO!AQ47</f>
        <v>8.6095981619460122</v>
      </c>
      <c r="AR510" s="406">
        <f>+MACRO!AR3*MACRO!AR47</f>
        <v>8.3568291902683676</v>
      </c>
      <c r="AS510" s="406">
        <f>+MACRO!AS3*MACRO!AS47</f>
        <v>8.1002767527543469</v>
      </c>
      <c r="AT510" s="406">
        <f>+MACRO!AT3*MACRO!AT47</f>
        <v>8.0629452880949071</v>
      </c>
      <c r="AU510" s="406">
        <f>+MACRO!AU3*MACRO!AU47</f>
        <v>7.9573256646108215</v>
      </c>
      <c r="AV510" s="406">
        <f>+MACRO!AV3*MACRO!AV47</f>
        <v>8.0072569034858461</v>
      </c>
      <c r="AW510" s="406">
        <f>+MACRO!AW3*MACRO!AW47</f>
        <v>8.061666605080525</v>
      </c>
      <c r="AX510" s="406">
        <f>+MACRO!AX3*MACRO!AX47</f>
        <v>8.1326692187669174</v>
      </c>
      <c r="AY510" s="406"/>
      <c r="AZ510" s="406"/>
      <c r="BA510" s="85"/>
      <c r="BB510" s="406">
        <v>8.0629452880949071</v>
      </c>
      <c r="BC510" s="2197"/>
      <c r="BD510" s="85"/>
      <c r="BE510" s="406">
        <f>+MACRO!BD3*MACRO!BD47</f>
        <v>0</v>
      </c>
      <c r="BF510" s="406">
        <f>+MACRO!BE3*MACRO!BE47</f>
        <v>4.6176667450000002</v>
      </c>
      <c r="BG510" s="406">
        <f>+MACRO!BF3*MACRO!BF47</f>
        <v>4.1631109646875011</v>
      </c>
      <c r="BH510" s="406">
        <f>+MACRO!BG3*MACRO!BG47</f>
        <v>4.9278238424999996</v>
      </c>
      <c r="BI510" s="406"/>
      <c r="BJ510" s="2077">
        <f>+MACRO!BH3*MACRO!BH47</f>
        <v>5.6528543837500012</v>
      </c>
      <c r="BK510" s="406">
        <f>+MACRO!BI3*MACRO!BI47</f>
        <v>7.5585566062499998</v>
      </c>
      <c r="BL510" s="406">
        <f>+MACRO!BJ3*MACRO!BJ47</f>
        <v>7.1908996538565537</v>
      </c>
      <c r="BM510" s="406">
        <f>+MACRO!BK3*MACRO!BK47</f>
        <v>7.2201596222436919</v>
      </c>
      <c r="BN510" s="406">
        <f>+MACRO!BL3*MACRO!BL47</f>
        <v>7.1144969969655794</v>
      </c>
      <c r="BO510" s="1891">
        <f>+MACRO!BM3*MACRO!BM47</f>
        <v>7.8077939281771744</v>
      </c>
      <c r="BP510" s="406">
        <f>+MACRO!BN3*MACRO!BN47</f>
        <v>8.283852952471312</v>
      </c>
      <c r="BQ510" s="406">
        <f>+MACRO!BO3*MACRO!BO47</f>
        <v>8.0392687950709334</v>
      </c>
      <c r="BR510" s="406">
        <f>+MACRO!BP3*MACRO!BP47</f>
        <v>8.3323636812304311</v>
      </c>
      <c r="BS510" s="406">
        <f>+MACRO!BQ3*MACRO!BQ47</f>
        <v>8.6370277312656683</v>
      </c>
      <c r="BT510" s="406">
        <f>+MACRO!BR3*MACRO!BR47</f>
        <v>8.9419148101793482</v>
      </c>
      <c r="BU510" s="406">
        <f>+MACRO!BS3*MACRO!BS47</f>
        <v>9.2575644029786801</v>
      </c>
    </row>
    <row r="511" spans="1:73" s="357" customFormat="1" ht="15" hidden="1" customHeight="1">
      <c r="B511" s="404" t="s">
        <v>371</v>
      </c>
      <c r="C511" s="375"/>
      <c r="D511" s="375"/>
      <c r="E511" s="375"/>
      <c r="F511" s="375"/>
      <c r="G511" s="375"/>
      <c r="H511" s="375">
        <f t="shared" ref="H511:S511" si="3336">+(H510^-1)/(G510^-1)-1</f>
        <v>9.7617775202713863E-2</v>
      </c>
      <c r="I511" s="375">
        <f t="shared" si="3336"/>
        <v>7.5260779996376037E-2</v>
      </c>
      <c r="J511" s="375">
        <f t="shared" si="3336"/>
        <v>-2.8948961001486362E-2</v>
      </c>
      <c r="K511" s="375">
        <f t="shared" si="3336"/>
        <v>4.9435788183755713E-2</v>
      </c>
      <c r="L511" s="375">
        <f t="shared" si="3336"/>
        <v>7.5435655190796425E-3</v>
      </c>
      <c r="M511" s="375">
        <f t="shared" si="3336"/>
        <v>2.9788814463466151E-2</v>
      </c>
      <c r="N511" s="375">
        <f t="shared" si="3336"/>
        <v>-1.9434610088277293E-2</v>
      </c>
      <c r="O511" s="375">
        <f t="shared" si="3336"/>
        <v>-7.464885774971175E-3</v>
      </c>
      <c r="P511" s="375">
        <f t="shared" si="3336"/>
        <v>-0.12834338443298887</v>
      </c>
      <c r="Q511" s="375">
        <f t="shared" si="3336"/>
        <v>-0.11393876207250919</v>
      </c>
      <c r="R511" s="375">
        <f t="shared" si="3336"/>
        <v>1.3979825101010812E-2</v>
      </c>
      <c r="S511" s="1888">
        <f t="shared" si="3336"/>
        <v>4.4702358101869066E-3</v>
      </c>
      <c r="T511" s="375">
        <f>+(T510^-1)/(S510^-1)-1</f>
        <v>-4.0958915975959798E-2</v>
      </c>
      <c r="U511" s="375">
        <f t="shared" ref="U511:Z511" si="3337">+(U510^-1)/(T510^-1)-1</f>
        <v>-3.8313131522606181E-2</v>
      </c>
      <c r="V511" s="375">
        <f t="shared" si="3337"/>
        <v>-3.5484032240286956E-2</v>
      </c>
      <c r="W511" s="1888">
        <f t="shared" si="3337"/>
        <v>-0.12438039360662001</v>
      </c>
      <c r="X511" s="375">
        <f t="shared" si="3337"/>
        <v>-0.17597354517574448</v>
      </c>
      <c r="Y511" s="375">
        <f t="shared" si="3337"/>
        <v>8.1639111749516324E-2</v>
      </c>
      <c r="Z511" s="375">
        <f t="shared" si="3337"/>
        <v>3.6813302323114749E-2</v>
      </c>
      <c r="AA511" s="375">
        <f>+(AA510^-1)/(Z510^-1)-1</f>
        <v>4.1246003660402097E-2</v>
      </c>
      <c r="AB511" s="375">
        <f>+(AB510^-1)/(AA510^-1)-1</f>
        <v>3.2521808922466144E-2</v>
      </c>
      <c r="AC511" s="375">
        <f>+(AC510^-1)/(AB510^-1)-1</f>
        <v>-3.5226130874970174E-2</v>
      </c>
      <c r="AD511" s="375">
        <f>+(AD510^-1)/(AC510^-1)-1</f>
        <v>-7.0248575545478475E-2</v>
      </c>
      <c r="AE511" s="375">
        <f t="shared" ref="AE511:AH511" si="3338">+(AE510^-1)/(AD510^-1)-1</f>
        <v>5.5633338404155186E-2</v>
      </c>
      <c r="AF511" s="375">
        <f t="shared" si="3338"/>
        <v>5.7752582459911661E-2</v>
      </c>
      <c r="AG511" s="375">
        <f t="shared" si="3338"/>
        <v>-6.6117033878227871E-2</v>
      </c>
      <c r="AH511" s="375">
        <f t="shared" si="3338"/>
        <v>-7.4706268021497158E-3</v>
      </c>
      <c r="AI511" s="375">
        <f t="shared" ref="AI511" si="3339">+(AI510^-1)/(AH510^-1)-1</f>
        <v>9.1170829475948345E-3</v>
      </c>
      <c r="AJ511" s="375">
        <f t="shared" ref="AJ511" si="3340">+(AJ510^-1)/(AI510^-1)-1</f>
        <v>4.4727805497881024E-2</v>
      </c>
      <c r="AK511" s="375">
        <f t="shared" ref="AK511" si="3341">+(AK510^-1)/(AJ510^-1)-1</f>
        <v>6.7981484593411245E-3</v>
      </c>
      <c r="AL511" s="375">
        <f t="shared" ref="AL511" si="3342">+(AL510^-1)/(AK510^-1)-1</f>
        <v>-1.919033911519108E-2</v>
      </c>
      <c r="AM511" s="1888">
        <f t="shared" ref="AM511" si="3343">+(AM510^-1)/(AL510^-1)-1</f>
        <v>-4.111021184092567E-3</v>
      </c>
      <c r="AN511" s="375">
        <f t="shared" ref="AN511" si="3344">+(AN510^-1)/(AM510^-1)-1</f>
        <v>-4.4069524322508213E-2</v>
      </c>
      <c r="AO511" s="375">
        <f t="shared" ref="AO511" si="3345">+(AO510^-1)/(AN510^-1)-1</f>
        <v>-7.5355063924557819E-2</v>
      </c>
      <c r="AP511" s="375">
        <f t="shared" ref="AP511" si="3346">+(AP510^-1)/(AO510^-1)-1</f>
        <v>-5.4190051644125714E-2</v>
      </c>
      <c r="AQ511" s="375">
        <f t="shared" ref="AQ511" si="3347">+(AQ510^-1)/(AP510^-1)-1</f>
        <v>-7.5434791852699856E-3</v>
      </c>
      <c r="AR511" s="375">
        <f t="shared" ref="AR511" si="3348">+(AR510^-1)/(AQ510^-1)-1</f>
        <v>3.0246995112930941E-2</v>
      </c>
      <c r="AS511" s="375">
        <f t="shared" ref="AS511" si="3349">+(AS510^-1)/(AR510^-1)-1</f>
        <v>3.1672058294401451E-2</v>
      </c>
      <c r="AT511" s="375">
        <f t="shared" ref="AT511" si="3350">+(AT510^-1)/(AS510^-1)-1</f>
        <v>4.6300034696453718E-3</v>
      </c>
      <c r="AU511" s="375">
        <f t="shared" ref="AU511" si="3351">+(AU510^-1)/(AT510^-1)-1</f>
        <v>1.3273256359710883E-2</v>
      </c>
      <c r="AV511" s="375">
        <f t="shared" ref="AV511" si="3352">+(AV510^-1)/(AU510^-1)-1</f>
        <v>-6.235748331402835E-3</v>
      </c>
      <c r="AW511" s="375">
        <f t="shared" ref="AW511" si="3353">+(AW510^-1)/(AV510^-1)-1</f>
        <v>-6.7491877622909424E-3</v>
      </c>
      <c r="AX511" s="375">
        <f t="shared" ref="AX511" si="3354">+(AX510^-1)/(AW510^-1)-1</f>
        <v>-8.7305424303434354E-3</v>
      </c>
      <c r="AY511" s="375"/>
      <c r="AZ511" s="375"/>
      <c r="BA511" s="85"/>
      <c r="BB511" s="375">
        <v>4.6300034696453718E-3</v>
      </c>
      <c r="BC511" s="2197"/>
      <c r="BD511" s="85"/>
      <c r="BJ511" s="2076"/>
      <c r="BK511" s="375"/>
      <c r="BL511" s="375"/>
      <c r="BM511" s="375"/>
      <c r="BN511" s="375"/>
      <c r="BO511" s="1888"/>
      <c r="BP511" s="375"/>
      <c r="BQ511" s="375"/>
      <c r="BR511" s="375"/>
      <c r="BS511" s="375"/>
      <c r="BT511" s="375"/>
      <c r="BU511" s="375"/>
    </row>
    <row r="512" spans="1:73" s="491" customFormat="1" ht="15" hidden="1" customHeight="1">
      <c r="B512" s="405" t="s">
        <v>372</v>
      </c>
      <c r="C512" s="492"/>
      <c r="D512" s="492"/>
      <c r="E512" s="492"/>
      <c r="F512" s="492"/>
      <c r="G512" s="493"/>
      <c r="H512" s="493"/>
      <c r="I512" s="493"/>
      <c r="J512" s="493"/>
      <c r="K512" s="493">
        <f t="shared" ref="K512:S512" si="3355">+(1/K510)/(1/G510)-1</f>
        <v>0.20271537993794664</v>
      </c>
      <c r="L512" s="493">
        <f t="shared" si="3355"/>
        <v>0.10401650700628817</v>
      </c>
      <c r="M512" s="493">
        <f t="shared" si="3355"/>
        <v>5.7328483516281725E-2</v>
      </c>
      <c r="N512" s="493">
        <f t="shared" si="3355"/>
        <v>6.7688180194100278E-2</v>
      </c>
      <c r="O512" s="493">
        <f t="shared" si="3355"/>
        <v>9.7978569224363987E-3</v>
      </c>
      <c r="P512" s="493">
        <f t="shared" si="3355"/>
        <v>-0.12639312830273475</v>
      </c>
      <c r="Q512" s="493">
        <f t="shared" si="3355"/>
        <v>-0.24832239841200654</v>
      </c>
      <c r="R512" s="493">
        <f t="shared" si="3355"/>
        <v>-0.22270770431826259</v>
      </c>
      <c r="S512" s="1892">
        <f t="shared" si="3355"/>
        <v>-0.21336085308528452</v>
      </c>
      <c r="T512" s="493">
        <f t="shared" ref="T512:AD512" si="3356">+(1/T510)/(1/P510)-1</f>
        <v>-0.13449947293512299</v>
      </c>
      <c r="U512" s="493">
        <f t="shared" si="3356"/>
        <v>-6.0628706109059571E-2</v>
      </c>
      <c r="V512" s="493">
        <f t="shared" si="3356"/>
        <v>-0.10645301791615402</v>
      </c>
      <c r="W512" s="1892">
        <f t="shared" si="3356"/>
        <v>-0.22107472292080932</v>
      </c>
      <c r="X512" s="493">
        <f t="shared" si="3356"/>
        <v>-0.33073249380369918</v>
      </c>
      <c r="Y512" s="493">
        <f t="shared" si="3356"/>
        <v>-0.24725403387163192</v>
      </c>
      <c r="Z512" s="493">
        <f t="shared" si="3356"/>
        <v>-0.19083036772866591</v>
      </c>
      <c r="AA512" s="493">
        <f t="shared" si="3356"/>
        <v>-3.7773206842329432E-2</v>
      </c>
      <c r="AB512" s="493">
        <f t="shared" si="3356"/>
        <v>0.20568962713304528</v>
      </c>
      <c r="AC512" s="493">
        <f t="shared" si="3356"/>
        <v>7.5421398780222804E-2</v>
      </c>
      <c r="AD512" s="493">
        <f t="shared" si="3356"/>
        <v>-3.5627171097788346E-2</v>
      </c>
      <c r="AE512" s="493">
        <f t="shared" ref="AE512" si="3357">+(1/AE510)/(1/AA510)-1</f>
        <v>-2.2302025398865388E-2</v>
      </c>
      <c r="AF512" s="493">
        <f t="shared" ref="AF512" si="3358">+(1/AF510)/(1/AB510)-1</f>
        <v>1.5890691736781815E-3</v>
      </c>
      <c r="AG512" s="493">
        <f t="shared" ref="AG512" si="3359">+(1/AG510)/(1/AC510)-1</f>
        <v>-3.0480612411942776E-2</v>
      </c>
      <c r="AH512" s="493">
        <f t="shared" ref="AH512" si="3360">+(1/AH510)/(1/AD510)-1</f>
        <v>3.498251764497029E-2</v>
      </c>
      <c r="AI512" s="493">
        <f t="shared" ref="AI512" si="3361">+(1/AI510)/(1/AE510)-1</f>
        <v>-1.0623763847264489E-2</v>
      </c>
      <c r="AJ512" s="493">
        <f t="shared" ref="AJ512" si="3362">+(1/AJ510)/(1/AF510)-1</f>
        <v>-2.280657958424348E-2</v>
      </c>
      <c r="AK512" s="493">
        <f t="shared" ref="AK512" si="3363">+(1/AK510)/(1/AG510)-1</f>
        <v>5.3490171736303438E-2</v>
      </c>
      <c r="AL512" s="493">
        <f t="shared" ref="AL512" si="3364">+(1/AL510)/(1/AH510)-1</f>
        <v>4.1050638891460656E-2</v>
      </c>
      <c r="AM512" s="1892">
        <f t="shared" ref="AM512" si="3365">+(1/AM510)/(1/AI510)-1</f>
        <v>2.7403930803444609E-2</v>
      </c>
      <c r="AN512" s="493">
        <f t="shared" ref="AN512" si="3366">+(1/AN510)/(1/AJ510)-1</f>
        <v>-5.9920944845711199E-2</v>
      </c>
      <c r="AO512" s="493">
        <f t="shared" ref="AO512" si="3367">+(1/AO510)/(1/AK510)-1</f>
        <v>-0.1366299797142474</v>
      </c>
      <c r="AP512" s="493">
        <f t="shared" ref="AP512" si="3368">+(1/AP510)/(1/AL510)-1</f>
        <v>-0.16743891616868833</v>
      </c>
      <c r="AQ512" s="493">
        <f t="shared" ref="AQ512" si="3369">+(1/AQ510)/(1/AM510)-1</f>
        <v>-0.17030844381128107</v>
      </c>
      <c r="AR512" s="493">
        <f t="shared" ref="AR512" si="3370">+(1/AR510)/(1/AN510)-1</f>
        <v>-0.10580606604451004</v>
      </c>
      <c r="AS512" s="493">
        <f t="shared" ref="AS512" si="3371">+(1/AS510)/(1/AO510)-1</f>
        <v>-2.3036298952271439E-3</v>
      </c>
      <c r="AT512" s="493">
        <f t="shared" ref="AT512" si="3372">+(1/AT510)/(1/AP510)-1</f>
        <v>5.9743249161590573E-2</v>
      </c>
      <c r="AU512" s="493">
        <f t="shared" ref="AU512" si="3373">+(1/AU510)/(1/AQ510)-1</f>
        <v>8.1971321123136764E-2</v>
      </c>
      <c r="AV512" s="493">
        <f t="shared" ref="AV512" si="3374">+(1/AV510)/(1/AR510)-1</f>
        <v>4.36569340781785E-2</v>
      </c>
      <c r="AW512" s="493">
        <f t="shared" ref="AW512" si="3375">+(1/AW510)/(1/AS510)-1</f>
        <v>4.7893505853355833E-3</v>
      </c>
      <c r="AX512" s="493">
        <f t="shared" ref="AX512" si="3376">+(1/AX510)/(1/AT510)-1</f>
        <v>-8.573314467421822E-3</v>
      </c>
      <c r="AY512" s="375"/>
      <c r="AZ512" s="375"/>
      <c r="BA512" s="85"/>
      <c r="BB512" s="493">
        <v>5.9743249161590573E-2</v>
      </c>
      <c r="BC512" s="2212"/>
      <c r="BD512" s="85"/>
      <c r="BF512" s="493" t="e">
        <f t="shared" ref="BF512:BQ512" si="3377">+(1/BF510)/(1/BE510)-1</f>
        <v>#DIV/0!</v>
      </c>
      <c r="BG512" s="493">
        <f t="shared" si="3377"/>
        <v>0.10918656364630897</v>
      </c>
      <c r="BH512" s="375">
        <f t="shared" si="3377"/>
        <v>-0.1551826733774927</v>
      </c>
      <c r="BI512" s="375"/>
      <c r="BJ512" s="2075">
        <f>+(1/BJ510)/(1/BH510)-1</f>
        <v>-0.12825919297235266</v>
      </c>
      <c r="BK512" s="493">
        <f>+(1/BK510)/(1/BJ510)-1</f>
        <v>-0.25212515057758733</v>
      </c>
      <c r="BL512" s="493">
        <f t="shared" si="3377"/>
        <v>5.1128088290909091E-2</v>
      </c>
      <c r="BM512" s="493">
        <f t="shared" si="3377"/>
        <v>-4.0525376055391416E-3</v>
      </c>
      <c r="BN512" s="493">
        <f t="shared" si="3377"/>
        <v>1.4851735171605318E-2</v>
      </c>
      <c r="BO512" s="1892">
        <f t="shared" si="3377"/>
        <v>-8.8795495576489247E-2</v>
      </c>
      <c r="BP512" s="493">
        <f t="shared" si="3377"/>
        <v>-5.7468309375544258E-2</v>
      </c>
      <c r="BQ512" s="493">
        <f t="shared" si="3377"/>
        <v>3.0423682008286379E-2</v>
      </c>
      <c r="BR512" s="493">
        <f t="shared" ref="BR512" si="3378">+(1/BR510)/(1/BQ510)-1</f>
        <v>-3.5175479296436163E-2</v>
      </c>
      <c r="BS512" s="493">
        <f t="shared" ref="BS512" si="3379">+(1/BS510)/(1/BR510)-1</f>
        <v>-3.5274177589168398E-2</v>
      </c>
      <c r="BT512" s="493">
        <f t="shared" ref="BT512" si="3380">+(1/BT510)/(1/BS510)-1</f>
        <v>-3.4096397179561699E-2</v>
      </c>
      <c r="BU512" s="493">
        <f t="shared" ref="BU512" si="3381">+(1/BU510)/(1/BT510)-1</f>
        <v>-3.4096397179561588E-2</v>
      </c>
    </row>
    <row r="513" spans="2:73" s="357" customFormat="1" ht="15" hidden="1" customHeight="1">
      <c r="B513" s="360"/>
      <c r="C513" s="360"/>
      <c r="D513" s="360"/>
      <c r="E513" s="360"/>
      <c r="F513" s="360"/>
      <c r="G513" s="375"/>
      <c r="H513" s="375"/>
      <c r="I513" s="375"/>
      <c r="J513" s="375"/>
      <c r="K513" s="375"/>
      <c r="L513" s="375"/>
      <c r="M513" s="375"/>
      <c r="N513" s="375"/>
      <c r="O513" s="375"/>
      <c r="P513" s="375"/>
      <c r="Q513" s="375"/>
      <c r="R513" s="375"/>
      <c r="S513" s="1888"/>
      <c r="T513" s="375"/>
      <c r="U513" s="375"/>
      <c r="V513" s="375"/>
      <c r="W513" s="1888"/>
      <c r="X513" s="375"/>
      <c r="Y513" s="375"/>
      <c r="Z513" s="375"/>
      <c r="AA513" s="375"/>
      <c r="AB513" s="375"/>
      <c r="AC513" s="375"/>
      <c r="AD513" s="375"/>
      <c r="AE513" s="375"/>
      <c r="AF513" s="375"/>
      <c r="AG513" s="375"/>
      <c r="AH513" s="375"/>
      <c r="AI513" s="375"/>
      <c r="AJ513" s="375"/>
      <c r="AK513" s="375"/>
      <c r="AL513" s="375"/>
      <c r="AM513" s="1888"/>
      <c r="AN513" s="375"/>
      <c r="AO513" s="375"/>
      <c r="AP513" s="375"/>
      <c r="AQ513" s="375"/>
      <c r="AR513" s="375"/>
      <c r="AS513" s="375"/>
      <c r="AT513" s="375"/>
      <c r="AU513" s="375"/>
      <c r="AV513" s="375"/>
      <c r="AW513" s="375"/>
      <c r="AX513" s="375"/>
      <c r="AY513" s="375"/>
      <c r="AZ513" s="375"/>
      <c r="BA513" s="85"/>
      <c r="BB513" s="375"/>
      <c r="BC513" s="2197"/>
      <c r="BD513" s="85"/>
      <c r="BJ513" s="2076"/>
      <c r="BO513" s="1890"/>
    </row>
    <row r="514" spans="2:73" s="357" customFormat="1" ht="15" hidden="1" customHeight="1">
      <c r="B514" s="357" t="s">
        <v>373</v>
      </c>
      <c r="G514" s="815">
        <v>0.2</v>
      </c>
      <c r="H514" s="815">
        <v>0.17</v>
      </c>
      <c r="I514" s="815">
        <v>0.13</v>
      </c>
      <c r="J514" s="815">
        <v>0.11</v>
      </c>
      <c r="K514" s="815">
        <v>0.122</v>
      </c>
      <c r="L514" s="815">
        <v>0.12</v>
      </c>
      <c r="M514" s="815">
        <v>0.12</v>
      </c>
      <c r="N514" s="815">
        <v>0.14799999999999999</v>
      </c>
      <c r="O514" s="815">
        <v>0.18</v>
      </c>
      <c r="P514" s="815">
        <v>0.216</v>
      </c>
      <c r="Q514" s="815">
        <v>0.17</v>
      </c>
      <c r="R514" s="815">
        <v>0.13500000000000001</v>
      </c>
      <c r="S514" s="1979">
        <v>0.106</v>
      </c>
      <c r="T514" s="815">
        <v>0.05</v>
      </c>
      <c r="U514" s="816">
        <v>0.09</v>
      </c>
      <c r="V514" s="816">
        <v>7.0000000000000007E-2</v>
      </c>
      <c r="W514" s="1893"/>
      <c r="X514" s="401"/>
      <c r="Y514" s="401"/>
      <c r="Z514" s="401"/>
      <c r="AA514" s="401"/>
      <c r="AB514" s="401"/>
      <c r="AC514" s="401"/>
      <c r="AD514" s="401"/>
      <c r="AE514" s="401"/>
      <c r="AF514" s="401"/>
      <c r="AG514" s="401"/>
      <c r="AH514" s="401"/>
      <c r="AI514" s="401"/>
      <c r="AJ514" s="401"/>
      <c r="AK514" s="401"/>
      <c r="AL514" s="401"/>
      <c r="AM514" s="1893"/>
      <c r="AN514" s="401"/>
      <c r="AO514" s="401"/>
      <c r="AP514" s="401"/>
      <c r="AQ514" s="401"/>
      <c r="AR514" s="401"/>
      <c r="AS514" s="401"/>
      <c r="AT514" s="401"/>
      <c r="AU514" s="401"/>
      <c r="AV514" s="401"/>
      <c r="AW514" s="401"/>
      <c r="AX514" s="401"/>
      <c r="AY514" s="401"/>
      <c r="AZ514" s="401"/>
      <c r="BA514" s="85"/>
      <c r="BB514" s="401"/>
      <c r="BC514" s="2197"/>
      <c r="BD514" s="85"/>
      <c r="BE514" s="402"/>
      <c r="BF514" s="402"/>
      <c r="BG514" s="402"/>
      <c r="BH514" s="402"/>
      <c r="BI514" s="402"/>
      <c r="BJ514" s="2078"/>
      <c r="BK514" s="402"/>
      <c r="BL514" s="402"/>
      <c r="BM514" s="402"/>
      <c r="BN514" s="402"/>
      <c r="BO514" s="2484"/>
      <c r="BP514" s="402"/>
      <c r="BQ514" s="402"/>
      <c r="BR514" s="401"/>
      <c r="BS514" s="401"/>
      <c r="BT514" s="401"/>
      <c r="BU514" s="401"/>
    </row>
    <row r="515" spans="2:73" s="357" customFormat="1" ht="15" hidden="1" customHeight="1">
      <c r="G515" s="400"/>
      <c r="H515" s="400"/>
      <c r="I515" s="400"/>
      <c r="J515" s="400"/>
      <c r="K515" s="400"/>
      <c r="L515" s="400"/>
      <c r="M515" s="400"/>
      <c r="N515" s="400"/>
      <c r="O515" s="400"/>
      <c r="P515" s="400"/>
      <c r="Q515" s="400"/>
      <c r="R515" s="400"/>
      <c r="S515" s="1980"/>
      <c r="T515" s="400"/>
      <c r="U515" s="401"/>
      <c r="V515" s="401"/>
      <c r="W515" s="1893"/>
      <c r="X515" s="401"/>
      <c r="Y515" s="401"/>
      <c r="Z515" s="401"/>
      <c r="AA515" s="401"/>
      <c r="AB515" s="401"/>
      <c r="AC515" s="401"/>
      <c r="AD515" s="401"/>
      <c r="AE515" s="401"/>
      <c r="AF515" s="401"/>
      <c r="AG515" s="401"/>
      <c r="AH515" s="401"/>
      <c r="AI515" s="401"/>
      <c r="AJ515" s="401"/>
      <c r="AK515" s="401"/>
      <c r="AL515" s="401"/>
      <c r="AM515" s="1893"/>
      <c r="AN515" s="401"/>
      <c r="AO515" s="401"/>
      <c r="AP515" s="401"/>
      <c r="AQ515" s="401"/>
      <c r="AR515" s="401"/>
      <c r="AS515" s="401"/>
      <c r="AT515" s="401"/>
      <c r="AU515" s="401"/>
      <c r="AV515" s="401"/>
      <c r="AW515" s="401"/>
      <c r="AX515" s="401"/>
      <c r="AY515" s="401"/>
      <c r="AZ515" s="401"/>
      <c r="BA515" s="85"/>
      <c r="BB515" s="401"/>
      <c r="BC515" s="2197"/>
      <c r="BD515" s="85"/>
      <c r="BE515" s="402"/>
      <c r="BF515" s="402"/>
      <c r="BG515" s="402"/>
      <c r="BH515" s="402"/>
      <c r="BI515" s="402"/>
      <c r="BJ515" s="2078"/>
      <c r="BK515" s="402"/>
      <c r="BL515" s="402"/>
      <c r="BM515" s="402"/>
      <c r="BN515" s="402"/>
      <c r="BO515" s="2484"/>
      <c r="BP515" s="402"/>
      <c r="BQ515" s="402"/>
      <c r="BR515" s="401"/>
      <c r="BS515" s="401"/>
      <c r="BT515" s="401"/>
      <c r="BU515" s="401"/>
    </row>
    <row r="516" spans="2:73" s="407" customFormat="1" ht="15" hidden="1" customHeight="1">
      <c r="B516" s="407" t="s">
        <v>374</v>
      </c>
      <c r="G516" s="408">
        <v>0.5</v>
      </c>
      <c r="H516" s="408">
        <f>+G516</f>
        <v>0.5</v>
      </c>
      <c r="I516" s="408">
        <f t="shared" ref="I516:S516" si="3382">+H516</f>
        <v>0.5</v>
      </c>
      <c r="J516" s="408">
        <f t="shared" si="3382"/>
        <v>0.5</v>
      </c>
      <c r="K516" s="408">
        <f t="shared" si="3382"/>
        <v>0.5</v>
      </c>
      <c r="L516" s="408">
        <f t="shared" si="3382"/>
        <v>0.5</v>
      </c>
      <c r="M516" s="408">
        <f t="shared" si="3382"/>
        <v>0.5</v>
      </c>
      <c r="N516" s="408">
        <f t="shared" si="3382"/>
        <v>0.5</v>
      </c>
      <c r="O516" s="408">
        <f t="shared" si="3382"/>
        <v>0.5</v>
      </c>
      <c r="P516" s="408">
        <f t="shared" si="3382"/>
        <v>0.5</v>
      </c>
      <c r="Q516" s="408">
        <f t="shared" si="3382"/>
        <v>0.5</v>
      </c>
      <c r="R516" s="408">
        <f t="shared" si="3382"/>
        <v>0.5</v>
      </c>
      <c r="S516" s="1894">
        <f t="shared" si="3382"/>
        <v>0.5</v>
      </c>
      <c r="T516" s="408">
        <f t="shared" ref="T516:AD516" si="3383">+S516</f>
        <v>0.5</v>
      </c>
      <c r="U516" s="408">
        <f t="shared" si="3383"/>
        <v>0.5</v>
      </c>
      <c r="V516" s="408">
        <f t="shared" si="3383"/>
        <v>0.5</v>
      </c>
      <c r="W516" s="1894">
        <f t="shared" si="3383"/>
        <v>0.5</v>
      </c>
      <c r="X516" s="408">
        <f t="shared" si="3383"/>
        <v>0.5</v>
      </c>
      <c r="Y516" s="408">
        <f t="shared" si="3383"/>
        <v>0.5</v>
      </c>
      <c r="Z516" s="408">
        <f t="shared" si="3383"/>
        <v>0.5</v>
      </c>
      <c r="AA516" s="408">
        <f t="shared" si="3383"/>
        <v>0.5</v>
      </c>
      <c r="AB516" s="408">
        <f t="shared" si="3383"/>
        <v>0.5</v>
      </c>
      <c r="AC516" s="408">
        <f t="shared" si="3383"/>
        <v>0.5</v>
      </c>
      <c r="AD516" s="408">
        <f t="shared" si="3383"/>
        <v>0.5</v>
      </c>
      <c r="AE516" s="408">
        <f t="shared" ref="AE516" si="3384">+AD516</f>
        <v>0.5</v>
      </c>
      <c r="AF516" s="408">
        <f t="shared" ref="AF516" si="3385">+AE516</f>
        <v>0.5</v>
      </c>
      <c r="AG516" s="408">
        <f t="shared" ref="AG516" si="3386">+AF516</f>
        <v>0.5</v>
      </c>
      <c r="AH516" s="408">
        <f t="shared" ref="AH516" si="3387">+AG516</f>
        <v>0.5</v>
      </c>
      <c r="AI516" s="408">
        <f t="shared" ref="AI516" si="3388">+AH516</f>
        <v>0.5</v>
      </c>
      <c r="AJ516" s="408">
        <f t="shared" ref="AJ516" si="3389">+AI516</f>
        <v>0.5</v>
      </c>
      <c r="AK516" s="408">
        <f t="shared" ref="AK516" si="3390">+AJ516</f>
        <v>0.5</v>
      </c>
      <c r="AL516" s="408">
        <f t="shared" ref="AL516" si="3391">+AK516</f>
        <v>0.5</v>
      </c>
      <c r="AM516" s="1894">
        <f t="shared" ref="AM516" si="3392">+AL516</f>
        <v>0.5</v>
      </c>
      <c r="AN516" s="408">
        <f t="shared" ref="AN516" si="3393">+AM516</f>
        <v>0.5</v>
      </c>
      <c r="AO516" s="408">
        <f t="shared" ref="AO516" si="3394">+AN516</f>
        <v>0.5</v>
      </c>
      <c r="AP516" s="408">
        <f t="shared" ref="AP516" si="3395">+AO516</f>
        <v>0.5</v>
      </c>
      <c r="AQ516" s="408">
        <f t="shared" ref="AQ516" si="3396">+AP516</f>
        <v>0.5</v>
      </c>
      <c r="AR516" s="408">
        <f t="shared" ref="AR516" si="3397">+AQ516</f>
        <v>0.5</v>
      </c>
      <c r="AS516" s="408">
        <f t="shared" ref="AS516" si="3398">+AR516</f>
        <v>0.5</v>
      </c>
      <c r="AT516" s="408">
        <f t="shared" ref="AT516" si="3399">+AS516</f>
        <v>0.5</v>
      </c>
      <c r="AU516" s="408">
        <f t="shared" ref="AU516" si="3400">+AT516</f>
        <v>0.5</v>
      </c>
      <c r="AV516" s="408">
        <f t="shared" ref="AV516" si="3401">+AU516</f>
        <v>0.5</v>
      </c>
      <c r="AW516" s="408">
        <f t="shared" ref="AW516" si="3402">+AV516</f>
        <v>0.5</v>
      </c>
      <c r="AX516" s="408">
        <f t="shared" ref="AX516" si="3403">+AW516</f>
        <v>0.5</v>
      </c>
      <c r="AY516" s="408"/>
      <c r="AZ516" s="408"/>
      <c r="BA516" s="72"/>
      <c r="BB516" s="408">
        <v>0.5</v>
      </c>
      <c r="BC516" s="2189"/>
      <c r="BD516" s="72"/>
      <c r="BE516" s="409"/>
      <c r="BF516" s="409"/>
      <c r="BG516" s="409"/>
      <c r="BH516" s="409"/>
      <c r="BI516" s="409"/>
      <c r="BJ516" s="2079"/>
      <c r="BK516" s="409"/>
      <c r="BL516" s="409"/>
      <c r="BM516" s="409"/>
      <c r="BN516" s="409"/>
      <c r="BO516" s="2485"/>
      <c r="BP516" s="409"/>
      <c r="BQ516" s="409"/>
      <c r="BR516" s="410"/>
      <c r="BS516" s="410"/>
      <c r="BT516" s="410"/>
      <c r="BU516" s="410"/>
    </row>
    <row r="517" spans="2:73" s="357" customFormat="1" ht="15" hidden="1" customHeight="1">
      <c r="S517" s="1890"/>
      <c r="T517" s="358"/>
      <c r="U517" s="359"/>
      <c r="W517" s="1890"/>
      <c r="AM517" s="1890"/>
      <c r="BA517" s="85"/>
      <c r="BC517" s="2197"/>
      <c r="BD517" s="85"/>
      <c r="BJ517" s="2076"/>
      <c r="BO517" s="1890"/>
    </row>
    <row r="518" spans="2:73" s="357" customFormat="1" ht="15" hidden="1" customHeight="1">
      <c r="B518" s="357" t="s">
        <v>375</v>
      </c>
      <c r="C518" s="357">
        <f>+C519+C520</f>
        <v>104</v>
      </c>
      <c r="D518" s="357">
        <f t="shared" ref="D518:Z518" si="3404">+D519+D520</f>
        <v>112</v>
      </c>
      <c r="E518" s="357">
        <f t="shared" si="3404"/>
        <v>120</v>
      </c>
      <c r="F518" s="357">
        <f t="shared" si="3404"/>
        <v>135</v>
      </c>
      <c r="G518" s="357">
        <f t="shared" si="3404"/>
        <v>147</v>
      </c>
      <c r="H518" s="357">
        <f t="shared" si="3404"/>
        <v>157</v>
      </c>
      <c r="I518" s="357">
        <f t="shared" si="3404"/>
        <v>169</v>
      </c>
      <c r="J518" s="357">
        <f t="shared" si="3404"/>
        <v>176</v>
      </c>
      <c r="K518" s="357">
        <f t="shared" si="3404"/>
        <v>180</v>
      </c>
      <c r="L518" s="357">
        <f t="shared" si="3404"/>
        <v>188</v>
      </c>
      <c r="M518" s="357">
        <f t="shared" si="3404"/>
        <v>196</v>
      </c>
      <c r="N518" s="357">
        <f t="shared" si="3404"/>
        <v>209</v>
      </c>
      <c r="O518" s="379">
        <f t="shared" si="3404"/>
        <v>305</v>
      </c>
      <c r="P518" s="379">
        <f t="shared" si="3404"/>
        <v>312</v>
      </c>
      <c r="Q518" s="379">
        <f t="shared" si="3404"/>
        <v>308</v>
      </c>
      <c r="R518" s="379">
        <f t="shared" si="3404"/>
        <v>319</v>
      </c>
      <c r="S518" s="1895">
        <f t="shared" si="3404"/>
        <v>321</v>
      </c>
      <c r="T518" s="379">
        <f t="shared" si="3404"/>
        <v>330</v>
      </c>
      <c r="U518" s="379">
        <f t="shared" si="3404"/>
        <v>335</v>
      </c>
      <c r="V518" s="379">
        <f t="shared" si="3404"/>
        <v>346</v>
      </c>
      <c r="W518" s="1895">
        <f>+W519+W520</f>
        <v>338</v>
      </c>
      <c r="X518" s="379">
        <f t="shared" si="3404"/>
        <v>339</v>
      </c>
      <c r="Y518" s="379">
        <f t="shared" si="3404"/>
        <v>335</v>
      </c>
      <c r="Z518" s="379">
        <f t="shared" si="3404"/>
        <v>338</v>
      </c>
      <c r="AA518" s="379">
        <f>+AA519+AA520</f>
        <v>342</v>
      </c>
      <c r="AB518" s="379">
        <f>+AB519+AB520</f>
        <v>347</v>
      </c>
      <c r="AC518" s="379">
        <f>+AC519+AC520</f>
        <v>352</v>
      </c>
      <c r="AD518" s="379">
        <f>+AD519+AD520</f>
        <v>367</v>
      </c>
      <c r="AE518" s="379">
        <f t="shared" ref="AE518:AH518" si="3405">+AE519+AE520</f>
        <v>368</v>
      </c>
      <c r="AF518" s="379">
        <f t="shared" si="3405"/>
        <v>376</v>
      </c>
      <c r="AG518" s="379">
        <f t="shared" si="3405"/>
        <v>385</v>
      </c>
      <c r="AH518" s="379">
        <f t="shared" si="3405"/>
        <v>394</v>
      </c>
      <c r="AI518" s="379">
        <f t="shared" ref="AI518:AL518" si="3406">+AI519+AI520</f>
        <v>397</v>
      </c>
      <c r="AJ518" s="379">
        <f t="shared" si="3406"/>
        <v>403</v>
      </c>
      <c r="AK518" s="379">
        <f t="shared" si="3406"/>
        <v>403</v>
      </c>
      <c r="AL518" s="379">
        <f t="shared" si="3406"/>
        <v>403</v>
      </c>
      <c r="AM518" s="1895">
        <f t="shared" ref="AM518:AP518" si="3407">+AM519+AM520</f>
        <v>403</v>
      </c>
      <c r="AN518" s="379">
        <f t="shared" si="3407"/>
        <v>403</v>
      </c>
      <c r="AO518" s="379">
        <f t="shared" si="3407"/>
        <v>403</v>
      </c>
      <c r="AP518" s="379">
        <f t="shared" si="3407"/>
        <v>403</v>
      </c>
      <c r="AQ518" s="379">
        <f t="shared" ref="AQ518:AT518" si="3408">+AQ519+AQ520</f>
        <v>403</v>
      </c>
      <c r="AR518" s="379">
        <f t="shared" si="3408"/>
        <v>403</v>
      </c>
      <c r="AS518" s="379">
        <f t="shared" si="3408"/>
        <v>403</v>
      </c>
      <c r="AT518" s="379">
        <f t="shared" si="3408"/>
        <v>403</v>
      </c>
      <c r="AU518" s="379">
        <f t="shared" ref="AU518:AX518" si="3409">+AU519+AU520</f>
        <v>403</v>
      </c>
      <c r="AV518" s="379">
        <f t="shared" si="3409"/>
        <v>403</v>
      </c>
      <c r="AW518" s="379">
        <f t="shared" si="3409"/>
        <v>403</v>
      </c>
      <c r="AX518" s="379">
        <f t="shared" si="3409"/>
        <v>403</v>
      </c>
      <c r="AY518" s="379"/>
      <c r="AZ518" s="379"/>
      <c r="BA518" s="85"/>
      <c r="BB518" s="379">
        <v>403</v>
      </c>
      <c r="BC518" s="2197"/>
      <c r="BD518" s="85"/>
      <c r="BE518" s="357">
        <f>+F518</f>
        <v>135</v>
      </c>
      <c r="BF518" s="357">
        <f>+J518</f>
        <v>176</v>
      </c>
      <c r="BG518" s="357">
        <f>+N518</f>
        <v>209</v>
      </c>
      <c r="BH518" s="357">
        <f>+R518</f>
        <v>319</v>
      </c>
      <c r="BJ518" s="2076">
        <f>+V518</f>
        <v>346</v>
      </c>
      <c r="BK518" s="357">
        <f>+Z518</f>
        <v>338</v>
      </c>
      <c r="BL518" s="357">
        <f>+AD518</f>
        <v>367</v>
      </c>
      <c r="BM518" s="357">
        <f>+AE518</f>
        <v>368</v>
      </c>
      <c r="BN518" s="1258">
        <f>+AL518</f>
        <v>403</v>
      </c>
      <c r="BO518" s="2486">
        <f>+AP518</f>
        <v>403</v>
      </c>
      <c r="BP518" s="1258">
        <f>+AT518</f>
        <v>403</v>
      </c>
      <c r="BQ518" s="1258">
        <f>+AX518</f>
        <v>403</v>
      </c>
      <c r="BR518" s="379">
        <f t="shared" ref="BR518" si="3410">+BR519+BR520</f>
        <v>418</v>
      </c>
      <c r="BS518" s="379">
        <f t="shared" ref="BS518:BU518" si="3411">+BS519+BS520</f>
        <v>433</v>
      </c>
      <c r="BT518" s="379">
        <f t="shared" si="3411"/>
        <v>448</v>
      </c>
      <c r="BU518" s="379">
        <f t="shared" si="3411"/>
        <v>463</v>
      </c>
    </row>
    <row r="519" spans="2:73" s="360" customFormat="1" ht="15" hidden="1" customHeight="1">
      <c r="B519" s="360" t="s">
        <v>376</v>
      </c>
      <c r="C519" s="812">
        <v>104</v>
      </c>
      <c r="D519" s="812">
        <v>112</v>
      </c>
      <c r="E519" s="812">
        <v>120</v>
      </c>
      <c r="F519" s="812">
        <v>135</v>
      </c>
      <c r="G519" s="812">
        <v>147</v>
      </c>
      <c r="H519" s="812">
        <v>157</v>
      </c>
      <c r="I519" s="812">
        <v>169</v>
      </c>
      <c r="J519" s="812">
        <v>176</v>
      </c>
      <c r="K519" s="812">
        <v>180</v>
      </c>
      <c r="L519" s="812">
        <v>188</v>
      </c>
      <c r="M519" s="812">
        <v>196</v>
      </c>
      <c r="N519" s="812">
        <v>209</v>
      </c>
      <c r="O519" s="813">
        <v>208</v>
      </c>
      <c r="P519" s="813">
        <v>213</v>
      </c>
      <c r="Q519" s="813">
        <v>219</v>
      </c>
      <c r="R519" s="813">
        <v>227</v>
      </c>
      <c r="S519" s="1896">
        <v>230</v>
      </c>
      <c r="T519" s="814">
        <v>236</v>
      </c>
      <c r="U519" s="814">
        <v>240</v>
      </c>
      <c r="V519" s="813">
        <v>247</v>
      </c>
      <c r="W519" s="1896">
        <v>247</v>
      </c>
      <c r="X519" s="813">
        <v>247</v>
      </c>
      <c r="Y519" s="813">
        <v>245</v>
      </c>
      <c r="Z519" s="813">
        <v>247</v>
      </c>
      <c r="AA519" s="813">
        <v>250</v>
      </c>
      <c r="AB519" s="813">
        <v>253</v>
      </c>
      <c r="AC519" s="813">
        <v>256</v>
      </c>
      <c r="AD519" s="813">
        <v>269</v>
      </c>
      <c r="AE519" s="813">
        <v>270</v>
      </c>
      <c r="AF519" s="813">
        <v>275</v>
      </c>
      <c r="AG519" s="813">
        <v>280</v>
      </c>
      <c r="AH519" s="813">
        <v>287</v>
      </c>
      <c r="AI519" s="813">
        <v>289</v>
      </c>
      <c r="AJ519" s="813">
        <v>293</v>
      </c>
      <c r="AK519" s="813">
        <f t="shared" ref="AK519:AK520" si="3412">+AJ519+AK523</f>
        <v>293</v>
      </c>
      <c r="AL519" s="380">
        <f t="shared" ref="AL519:AL520" si="3413">+AK519+AL523</f>
        <v>293</v>
      </c>
      <c r="AM519" s="2422">
        <f t="shared" ref="AM519:AM520" si="3414">+AL519+AM523</f>
        <v>293</v>
      </c>
      <c r="AN519" s="380">
        <f t="shared" ref="AN519:AN520" si="3415">+AM519+AN523</f>
        <v>293</v>
      </c>
      <c r="AO519" s="380">
        <f t="shared" ref="AO519:AO520" si="3416">+AN519+AO523</f>
        <v>293</v>
      </c>
      <c r="AP519" s="380">
        <f t="shared" ref="AP519:AP520" si="3417">+AO519+AP523</f>
        <v>293</v>
      </c>
      <c r="AQ519" s="380">
        <f t="shared" ref="AQ519:AQ520" si="3418">+AP519+AQ523</f>
        <v>293</v>
      </c>
      <c r="AR519" s="380">
        <f t="shared" ref="AR519:AR520" si="3419">+AQ519+AR523</f>
        <v>293</v>
      </c>
      <c r="AS519" s="380">
        <f t="shared" ref="AS519:AS520" si="3420">+AR519+AS523</f>
        <v>293</v>
      </c>
      <c r="AT519" s="380">
        <f t="shared" ref="AT519:AT520" si="3421">+AS519+AT523</f>
        <v>293</v>
      </c>
      <c r="AU519" s="380">
        <f t="shared" ref="AU519:AU520" si="3422">+AT519+AU523</f>
        <v>293</v>
      </c>
      <c r="AV519" s="380">
        <f t="shared" ref="AV519:AV520" si="3423">+AU519+AV523</f>
        <v>293</v>
      </c>
      <c r="AW519" s="380">
        <f t="shared" ref="AW519:AW520" si="3424">+AV519+AW523</f>
        <v>293</v>
      </c>
      <c r="AX519" s="380">
        <f t="shared" ref="AX519:AX520" si="3425">+AW519+AX523</f>
        <v>293</v>
      </c>
      <c r="AY519" s="380"/>
      <c r="AZ519" s="380"/>
      <c r="BA519" s="72"/>
      <c r="BB519" s="380">
        <v>293</v>
      </c>
      <c r="BC519" s="2189"/>
      <c r="BD519" s="72"/>
      <c r="BE519" s="360">
        <f>+F519</f>
        <v>135</v>
      </c>
      <c r="BF519" s="360">
        <f>+J519</f>
        <v>176</v>
      </c>
      <c r="BG519" s="360">
        <f>+N519</f>
        <v>209</v>
      </c>
      <c r="BH519" s="360">
        <f>+R519</f>
        <v>227</v>
      </c>
      <c r="BJ519" s="2080">
        <f>+V519</f>
        <v>247</v>
      </c>
      <c r="BK519" s="373">
        <f>+Z519</f>
        <v>247</v>
      </c>
      <c r="BL519" s="373">
        <f>+AD519</f>
        <v>269</v>
      </c>
      <c r="BM519" s="373">
        <f>+AH519</f>
        <v>287</v>
      </c>
      <c r="BN519" s="373">
        <f>+AL519</f>
        <v>293</v>
      </c>
      <c r="BO519" s="1981">
        <f>+AP519</f>
        <v>293</v>
      </c>
      <c r="BP519" s="373">
        <f>+AT519</f>
        <v>293</v>
      </c>
      <c r="BQ519" s="373">
        <f>+AX519</f>
        <v>293</v>
      </c>
      <c r="BR519" s="380">
        <f t="shared" ref="BR519" si="3426">+BQ519+BR523</f>
        <v>303</v>
      </c>
      <c r="BS519" s="380">
        <f t="shared" ref="BS519:BS520" si="3427">+BR519+BS523</f>
        <v>313</v>
      </c>
      <c r="BT519" s="380">
        <f t="shared" ref="BT519:BT520" si="3428">+BS519+BT523</f>
        <v>323</v>
      </c>
      <c r="BU519" s="380">
        <f t="shared" ref="BU519:BU520" si="3429">+BT519+BU523</f>
        <v>333</v>
      </c>
    </row>
    <row r="520" spans="2:73" s="360" customFormat="1" ht="15" hidden="1" customHeight="1">
      <c r="B520" s="360" t="s">
        <v>377</v>
      </c>
      <c r="C520" s="812"/>
      <c r="D520" s="812"/>
      <c r="E520" s="812"/>
      <c r="F520" s="812"/>
      <c r="G520" s="812"/>
      <c r="H520" s="812"/>
      <c r="I520" s="812"/>
      <c r="J520" s="812"/>
      <c r="K520" s="812"/>
      <c r="L520" s="812"/>
      <c r="M520" s="812"/>
      <c r="N520" s="812"/>
      <c r="O520" s="813">
        <v>97</v>
      </c>
      <c r="P520" s="813">
        <v>99</v>
      </c>
      <c r="Q520" s="813">
        <v>89</v>
      </c>
      <c r="R520" s="813">
        <v>92</v>
      </c>
      <c r="S520" s="1896">
        <v>91</v>
      </c>
      <c r="T520" s="814">
        <v>94</v>
      </c>
      <c r="U520" s="814">
        <v>95</v>
      </c>
      <c r="V520" s="813">
        <v>99</v>
      </c>
      <c r="W520" s="1896">
        <v>91</v>
      </c>
      <c r="X520" s="813">
        <v>92</v>
      </c>
      <c r="Y520" s="813">
        <v>90</v>
      </c>
      <c r="Z520" s="813">
        <v>91</v>
      </c>
      <c r="AA520" s="813">
        <v>92</v>
      </c>
      <c r="AB520" s="813">
        <v>94</v>
      </c>
      <c r="AC520" s="813">
        <v>96</v>
      </c>
      <c r="AD520" s="813">
        <v>98</v>
      </c>
      <c r="AE520" s="813">
        <v>98</v>
      </c>
      <c r="AF520" s="813">
        <v>101</v>
      </c>
      <c r="AG520" s="813">
        <v>105</v>
      </c>
      <c r="AH520" s="813">
        <v>107</v>
      </c>
      <c r="AI520" s="813">
        <v>108</v>
      </c>
      <c r="AJ520" s="813">
        <v>110</v>
      </c>
      <c r="AK520" s="813">
        <f t="shared" si="3412"/>
        <v>110</v>
      </c>
      <c r="AL520" s="380">
        <f t="shared" si="3413"/>
        <v>110</v>
      </c>
      <c r="AM520" s="2422">
        <f t="shared" si="3414"/>
        <v>110</v>
      </c>
      <c r="AN520" s="380">
        <f t="shared" si="3415"/>
        <v>110</v>
      </c>
      <c r="AO520" s="380">
        <f t="shared" si="3416"/>
        <v>110</v>
      </c>
      <c r="AP520" s="380">
        <f t="shared" si="3417"/>
        <v>110</v>
      </c>
      <c r="AQ520" s="380">
        <f t="shared" si="3418"/>
        <v>110</v>
      </c>
      <c r="AR520" s="380">
        <f t="shared" si="3419"/>
        <v>110</v>
      </c>
      <c r="AS520" s="380">
        <f t="shared" si="3420"/>
        <v>110</v>
      </c>
      <c r="AT520" s="380">
        <f t="shared" si="3421"/>
        <v>110</v>
      </c>
      <c r="AU520" s="380">
        <f t="shared" si="3422"/>
        <v>110</v>
      </c>
      <c r="AV520" s="380">
        <f t="shared" si="3423"/>
        <v>110</v>
      </c>
      <c r="AW520" s="380">
        <f t="shared" si="3424"/>
        <v>110</v>
      </c>
      <c r="AX520" s="380">
        <f t="shared" si="3425"/>
        <v>110</v>
      </c>
      <c r="AY520" s="380"/>
      <c r="AZ520" s="380"/>
      <c r="BA520" s="72"/>
      <c r="BB520" s="380">
        <v>110</v>
      </c>
      <c r="BC520" s="2189"/>
      <c r="BD520" s="72"/>
      <c r="BE520" s="360">
        <f>+F520</f>
        <v>0</v>
      </c>
      <c r="BF520" s="360">
        <f>+J520</f>
        <v>0</v>
      </c>
      <c r="BG520" s="360">
        <f>+N520</f>
        <v>0</v>
      </c>
      <c r="BH520" s="360">
        <f>+R520</f>
        <v>92</v>
      </c>
      <c r="BJ520" s="2080">
        <f>+V520</f>
        <v>99</v>
      </c>
      <c r="BK520" s="360">
        <f>+Z520</f>
        <v>91</v>
      </c>
      <c r="BL520" s="360">
        <f>+AD520</f>
        <v>98</v>
      </c>
      <c r="BM520" s="373">
        <f>+AH520</f>
        <v>107</v>
      </c>
      <c r="BN520" s="373">
        <f>+AL520</f>
        <v>110</v>
      </c>
      <c r="BO520" s="1981">
        <f>+AP520</f>
        <v>110</v>
      </c>
      <c r="BP520" s="373">
        <f>+AT520</f>
        <v>110</v>
      </c>
      <c r="BQ520" s="373">
        <f>+AX520</f>
        <v>110</v>
      </c>
      <c r="BR520" s="380">
        <f t="shared" ref="BR520" si="3430">+BQ520+BR524</f>
        <v>115</v>
      </c>
      <c r="BS520" s="380">
        <f t="shared" si="3427"/>
        <v>120</v>
      </c>
      <c r="BT520" s="380">
        <f t="shared" si="3428"/>
        <v>125</v>
      </c>
      <c r="BU520" s="380">
        <f t="shared" si="3429"/>
        <v>130</v>
      </c>
    </row>
    <row r="521" spans="2:73" s="357" customFormat="1" ht="15" hidden="1" customHeight="1">
      <c r="S521" s="1890"/>
      <c r="T521" s="358"/>
      <c r="U521" s="359"/>
      <c r="W521" s="1890"/>
      <c r="AM521" s="1890"/>
      <c r="BA521" s="85"/>
      <c r="BC521" s="2197"/>
      <c r="BD521" s="85"/>
      <c r="BJ521" s="2076"/>
      <c r="BO521" s="1890"/>
    </row>
    <row r="522" spans="2:73" s="360" customFormat="1" ht="15" hidden="1" customHeight="1">
      <c r="B522" s="360" t="s">
        <v>378</v>
      </c>
      <c r="C522" s="379">
        <f t="shared" ref="C522:S522" si="3431">+C523+C524</f>
        <v>0</v>
      </c>
      <c r="D522" s="379">
        <f t="shared" si="3431"/>
        <v>0</v>
      </c>
      <c r="E522" s="379">
        <f t="shared" si="3431"/>
        <v>0</v>
      </c>
      <c r="F522" s="379">
        <f t="shared" si="3431"/>
        <v>0</v>
      </c>
      <c r="G522" s="379">
        <f t="shared" si="3431"/>
        <v>12</v>
      </c>
      <c r="H522" s="379">
        <f t="shared" si="3431"/>
        <v>10</v>
      </c>
      <c r="I522" s="379">
        <f t="shared" si="3431"/>
        <v>12</v>
      </c>
      <c r="J522" s="379">
        <f t="shared" si="3431"/>
        <v>7</v>
      </c>
      <c r="K522" s="379">
        <f t="shared" si="3431"/>
        <v>4</v>
      </c>
      <c r="L522" s="379">
        <f t="shared" si="3431"/>
        <v>8</v>
      </c>
      <c r="M522" s="379">
        <f t="shared" si="3431"/>
        <v>8</v>
      </c>
      <c r="N522" s="379">
        <f t="shared" si="3431"/>
        <v>13</v>
      </c>
      <c r="O522" s="379">
        <f t="shared" si="3431"/>
        <v>96</v>
      </c>
      <c r="P522" s="379">
        <f t="shared" si="3431"/>
        <v>104</v>
      </c>
      <c r="Q522" s="379">
        <f t="shared" si="3431"/>
        <v>95</v>
      </c>
      <c r="R522" s="379">
        <f t="shared" si="3431"/>
        <v>100</v>
      </c>
      <c r="S522" s="1895">
        <f t="shared" si="3431"/>
        <v>-3</v>
      </c>
      <c r="T522" s="379">
        <f t="shared" ref="T522:U522" si="3432">+T523+T524</f>
        <v>1</v>
      </c>
      <c r="U522" s="379">
        <f t="shared" si="3432"/>
        <v>10</v>
      </c>
      <c r="V522" s="379">
        <f t="shared" ref="V522:Z522" si="3433">+V523+V524</f>
        <v>14</v>
      </c>
      <c r="W522" s="1895">
        <f t="shared" si="3433"/>
        <v>0</v>
      </c>
      <c r="X522" s="379">
        <f t="shared" si="3433"/>
        <v>-2</v>
      </c>
      <c r="Y522" s="379">
        <f t="shared" si="3433"/>
        <v>-7</v>
      </c>
      <c r="Z522" s="379">
        <f t="shared" si="3433"/>
        <v>-6</v>
      </c>
      <c r="AA522" s="379">
        <f t="shared" ref="AA522:AB522" si="3434">+AA523+AA524</f>
        <v>4</v>
      </c>
      <c r="AB522" s="379">
        <f t="shared" si="3434"/>
        <v>5</v>
      </c>
      <c r="AC522" s="379">
        <f t="shared" ref="AC522:AD522" si="3435">+AC523+AC524</f>
        <v>9</v>
      </c>
      <c r="AD522" s="379">
        <f t="shared" si="3435"/>
        <v>20</v>
      </c>
      <c r="AE522" s="379">
        <f t="shared" ref="AE522:AF522" si="3436">+AE523+AE524</f>
        <v>7</v>
      </c>
      <c r="AF522" s="379">
        <f t="shared" si="3436"/>
        <v>12</v>
      </c>
      <c r="AG522" s="379">
        <f t="shared" ref="AG522:AH522" si="3437">+AG523+AG524</f>
        <v>14</v>
      </c>
      <c r="AH522" s="379">
        <f t="shared" si="3437"/>
        <v>16</v>
      </c>
      <c r="AI522" s="379">
        <f t="shared" ref="AI522:AJ522" si="3438">+AI523+AI524</f>
        <v>12</v>
      </c>
      <c r="AJ522" s="379">
        <f t="shared" si="3438"/>
        <v>13</v>
      </c>
      <c r="AK522" s="379">
        <f t="shared" ref="AK522:AL522" si="3439">+AK523+AK524</f>
        <v>0</v>
      </c>
      <c r="AL522" s="379">
        <f t="shared" si="3439"/>
        <v>0</v>
      </c>
      <c r="AM522" s="1895">
        <f t="shared" ref="AM522:AP522" si="3440">+AM523+AM524</f>
        <v>0</v>
      </c>
      <c r="AN522" s="379">
        <f t="shared" si="3440"/>
        <v>0</v>
      </c>
      <c r="AO522" s="379">
        <f t="shared" si="3440"/>
        <v>0</v>
      </c>
      <c r="AP522" s="379">
        <f t="shared" si="3440"/>
        <v>0</v>
      </c>
      <c r="AQ522" s="379">
        <f t="shared" ref="AQ522:AT522" si="3441">+AQ523+AQ524</f>
        <v>0</v>
      </c>
      <c r="AR522" s="379">
        <f t="shared" si="3441"/>
        <v>0</v>
      </c>
      <c r="AS522" s="379">
        <f t="shared" si="3441"/>
        <v>0</v>
      </c>
      <c r="AT522" s="379">
        <f t="shared" si="3441"/>
        <v>0</v>
      </c>
      <c r="AU522" s="379">
        <f t="shared" ref="AU522:AX522" si="3442">+AU523+AU524</f>
        <v>0</v>
      </c>
      <c r="AV522" s="379">
        <f t="shared" si="3442"/>
        <v>0</v>
      </c>
      <c r="AW522" s="379">
        <f t="shared" si="3442"/>
        <v>0</v>
      </c>
      <c r="AX522" s="379">
        <f t="shared" si="3442"/>
        <v>0</v>
      </c>
      <c r="AY522" s="379"/>
      <c r="AZ522" s="379"/>
      <c r="BA522" s="72"/>
      <c r="BB522" s="379">
        <v>0</v>
      </c>
      <c r="BC522" s="2189"/>
      <c r="BD522" s="72"/>
      <c r="BE522" s="379">
        <f t="shared" ref="BE522:BR522" si="3443">+BE523+BE524</f>
        <v>135</v>
      </c>
      <c r="BF522" s="379">
        <f t="shared" si="3443"/>
        <v>41</v>
      </c>
      <c r="BG522" s="379">
        <f t="shared" si="3443"/>
        <v>33</v>
      </c>
      <c r="BH522" s="379">
        <f t="shared" si="3443"/>
        <v>110</v>
      </c>
      <c r="BI522" s="379"/>
      <c r="BJ522" s="2081">
        <f t="shared" si="3443"/>
        <v>27</v>
      </c>
      <c r="BK522" s="379">
        <f t="shared" si="3443"/>
        <v>-8</v>
      </c>
      <c r="BL522" s="379">
        <f t="shared" ref="BL522:BQ522" si="3444">+BL523+BL524</f>
        <v>29</v>
      </c>
      <c r="BM522" s="379">
        <f t="shared" si="3444"/>
        <v>27</v>
      </c>
      <c r="BN522" s="379">
        <f t="shared" si="3444"/>
        <v>9</v>
      </c>
      <c r="BO522" s="1895">
        <f t="shared" si="3444"/>
        <v>0</v>
      </c>
      <c r="BP522" s="379">
        <f t="shared" si="3444"/>
        <v>0</v>
      </c>
      <c r="BQ522" s="379">
        <f t="shared" si="3444"/>
        <v>0</v>
      </c>
      <c r="BR522" s="379">
        <f t="shared" si="3443"/>
        <v>15</v>
      </c>
      <c r="BS522" s="379">
        <f t="shared" ref="BS522:BU522" si="3445">+BS523+BS524</f>
        <v>15</v>
      </c>
      <c r="BT522" s="379">
        <f t="shared" si="3445"/>
        <v>15</v>
      </c>
      <c r="BU522" s="379">
        <f t="shared" si="3445"/>
        <v>15</v>
      </c>
    </row>
    <row r="523" spans="2:73" s="360" customFormat="1" ht="15" hidden="1" customHeight="1">
      <c r="B523" s="360" t="s">
        <v>376</v>
      </c>
      <c r="G523" s="663">
        <f t="shared" ref="G523:S523" si="3446">+G519-F519</f>
        <v>12</v>
      </c>
      <c r="H523" s="663">
        <f t="shared" si="3446"/>
        <v>10</v>
      </c>
      <c r="I523" s="663">
        <f t="shared" si="3446"/>
        <v>12</v>
      </c>
      <c r="J523" s="663">
        <f t="shared" si="3446"/>
        <v>7</v>
      </c>
      <c r="K523" s="663">
        <f t="shared" si="3446"/>
        <v>4</v>
      </c>
      <c r="L523" s="663">
        <f t="shared" si="3446"/>
        <v>8</v>
      </c>
      <c r="M523" s="663">
        <f t="shared" si="3446"/>
        <v>8</v>
      </c>
      <c r="N523" s="663">
        <f t="shared" si="3446"/>
        <v>13</v>
      </c>
      <c r="O523" s="663">
        <f t="shared" si="3446"/>
        <v>-1</v>
      </c>
      <c r="P523" s="663">
        <f t="shared" si="3446"/>
        <v>5</v>
      </c>
      <c r="Q523" s="663">
        <f t="shared" si="3446"/>
        <v>6</v>
      </c>
      <c r="R523" s="663">
        <f t="shared" si="3446"/>
        <v>8</v>
      </c>
      <c r="S523" s="1897">
        <f t="shared" si="3446"/>
        <v>3</v>
      </c>
      <c r="T523" s="663">
        <f t="shared" ref="T523:AJ523" si="3447">+T519-S519</f>
        <v>6</v>
      </c>
      <c r="U523" s="663">
        <f t="shared" si="3447"/>
        <v>4</v>
      </c>
      <c r="V523" s="663">
        <f t="shared" si="3447"/>
        <v>7</v>
      </c>
      <c r="W523" s="1897">
        <f t="shared" si="3447"/>
        <v>0</v>
      </c>
      <c r="X523" s="663">
        <f t="shared" si="3447"/>
        <v>0</v>
      </c>
      <c r="Y523" s="663">
        <f t="shared" si="3447"/>
        <v>-2</v>
      </c>
      <c r="Z523" s="663">
        <f t="shared" si="3447"/>
        <v>2</v>
      </c>
      <c r="AA523" s="663">
        <f t="shared" si="3447"/>
        <v>3</v>
      </c>
      <c r="AB523" s="663">
        <f t="shared" si="3447"/>
        <v>3</v>
      </c>
      <c r="AC523" s="663">
        <f t="shared" si="3447"/>
        <v>3</v>
      </c>
      <c r="AD523" s="663">
        <f t="shared" si="3447"/>
        <v>13</v>
      </c>
      <c r="AE523" s="663">
        <f t="shared" si="3447"/>
        <v>1</v>
      </c>
      <c r="AF523" s="663">
        <f t="shared" si="3447"/>
        <v>5</v>
      </c>
      <c r="AG523" s="663">
        <f t="shared" si="3447"/>
        <v>5</v>
      </c>
      <c r="AH523" s="663">
        <f t="shared" si="3447"/>
        <v>7</v>
      </c>
      <c r="AI523" s="663">
        <f t="shared" si="3447"/>
        <v>2</v>
      </c>
      <c r="AJ523" s="663">
        <f t="shared" si="3447"/>
        <v>4</v>
      </c>
      <c r="AK523" s="663">
        <v>0</v>
      </c>
      <c r="AL523" s="662">
        <v>0</v>
      </c>
      <c r="AM523" s="2423">
        <v>0</v>
      </c>
      <c r="AN523" s="662">
        <v>0</v>
      </c>
      <c r="AO523" s="662">
        <v>0</v>
      </c>
      <c r="AP523" s="662">
        <v>0</v>
      </c>
      <c r="AQ523" s="662">
        <v>0</v>
      </c>
      <c r="AR523" s="662">
        <v>0</v>
      </c>
      <c r="AS523" s="662">
        <v>0</v>
      </c>
      <c r="AT523" s="662">
        <v>0</v>
      </c>
      <c r="AU523" s="662">
        <v>0</v>
      </c>
      <c r="AV523" s="662">
        <v>0</v>
      </c>
      <c r="AW523" s="662">
        <v>0</v>
      </c>
      <c r="AX523" s="662">
        <v>0</v>
      </c>
      <c r="AY523" s="662"/>
      <c r="AZ523" s="662"/>
      <c r="BA523" s="72"/>
      <c r="BB523" s="662">
        <v>0</v>
      </c>
      <c r="BC523" s="2189"/>
      <c r="BD523" s="72"/>
      <c r="BE523" s="661">
        <f>+BE519-BC519</f>
        <v>135</v>
      </c>
      <c r="BF523" s="661">
        <f t="shared" ref="BF523:BQ524" si="3448">+BF519-BE519</f>
        <v>41</v>
      </c>
      <c r="BG523" s="661">
        <f t="shared" si="3448"/>
        <v>33</v>
      </c>
      <c r="BH523" s="661">
        <f t="shared" si="3448"/>
        <v>18</v>
      </c>
      <c r="BI523" s="661"/>
      <c r="BJ523" s="2082">
        <f>+BJ519-BH519</f>
        <v>20</v>
      </c>
      <c r="BK523" s="661">
        <f>+BK519-BJ519</f>
        <v>0</v>
      </c>
      <c r="BL523" s="661">
        <f t="shared" si="3448"/>
        <v>22</v>
      </c>
      <c r="BM523" s="661">
        <f t="shared" si="3448"/>
        <v>18</v>
      </c>
      <c r="BN523" s="661">
        <f t="shared" si="3448"/>
        <v>6</v>
      </c>
      <c r="BO523" s="2487">
        <f t="shared" si="3448"/>
        <v>0</v>
      </c>
      <c r="BP523" s="661">
        <f t="shared" si="3448"/>
        <v>0</v>
      </c>
      <c r="BQ523" s="661">
        <f t="shared" si="3448"/>
        <v>0</v>
      </c>
      <c r="BR523" s="662">
        <v>10</v>
      </c>
      <c r="BS523" s="662">
        <v>10</v>
      </c>
      <c r="BT523" s="662">
        <v>10</v>
      </c>
      <c r="BU523" s="662">
        <v>10</v>
      </c>
    </row>
    <row r="524" spans="2:73" s="360" customFormat="1" ht="15" hidden="1" customHeight="1">
      <c r="B524" s="360" t="s">
        <v>377</v>
      </c>
      <c r="G524" s="663">
        <f t="shared" ref="G524:AJ524" si="3449">+G520-C520</f>
        <v>0</v>
      </c>
      <c r="H524" s="663">
        <f t="shared" si="3449"/>
        <v>0</v>
      </c>
      <c r="I524" s="663">
        <f t="shared" si="3449"/>
        <v>0</v>
      </c>
      <c r="J524" s="663">
        <f t="shared" si="3449"/>
        <v>0</v>
      </c>
      <c r="K524" s="663">
        <f t="shared" si="3449"/>
        <v>0</v>
      </c>
      <c r="L524" s="663">
        <f t="shared" si="3449"/>
        <v>0</v>
      </c>
      <c r="M524" s="663">
        <f t="shared" si="3449"/>
        <v>0</v>
      </c>
      <c r="N524" s="663">
        <f t="shared" si="3449"/>
        <v>0</v>
      </c>
      <c r="O524" s="663">
        <f t="shared" si="3449"/>
        <v>97</v>
      </c>
      <c r="P524" s="663">
        <f t="shared" si="3449"/>
        <v>99</v>
      </c>
      <c r="Q524" s="663">
        <f t="shared" si="3449"/>
        <v>89</v>
      </c>
      <c r="R524" s="663">
        <f t="shared" si="3449"/>
        <v>92</v>
      </c>
      <c r="S524" s="1897">
        <f t="shared" si="3449"/>
        <v>-6</v>
      </c>
      <c r="T524" s="663">
        <f t="shared" si="3449"/>
        <v>-5</v>
      </c>
      <c r="U524" s="663">
        <f t="shared" si="3449"/>
        <v>6</v>
      </c>
      <c r="V524" s="663">
        <f t="shared" si="3449"/>
        <v>7</v>
      </c>
      <c r="W524" s="1897">
        <f t="shared" si="3449"/>
        <v>0</v>
      </c>
      <c r="X524" s="663">
        <f t="shared" si="3449"/>
        <v>-2</v>
      </c>
      <c r="Y524" s="663">
        <f t="shared" si="3449"/>
        <v>-5</v>
      </c>
      <c r="Z524" s="663">
        <f t="shared" si="3449"/>
        <v>-8</v>
      </c>
      <c r="AA524" s="663">
        <f t="shared" si="3449"/>
        <v>1</v>
      </c>
      <c r="AB524" s="663">
        <f t="shared" si="3449"/>
        <v>2</v>
      </c>
      <c r="AC524" s="663">
        <f t="shared" si="3449"/>
        <v>6</v>
      </c>
      <c r="AD524" s="663">
        <f t="shared" si="3449"/>
        <v>7</v>
      </c>
      <c r="AE524" s="663">
        <f t="shared" si="3449"/>
        <v>6</v>
      </c>
      <c r="AF524" s="663">
        <f t="shared" si="3449"/>
        <v>7</v>
      </c>
      <c r="AG524" s="663">
        <f t="shared" si="3449"/>
        <v>9</v>
      </c>
      <c r="AH524" s="663">
        <f t="shared" si="3449"/>
        <v>9</v>
      </c>
      <c r="AI524" s="663">
        <f t="shared" si="3449"/>
        <v>10</v>
      </c>
      <c r="AJ524" s="663">
        <f t="shared" si="3449"/>
        <v>9</v>
      </c>
      <c r="AK524" s="663">
        <v>0</v>
      </c>
      <c r="AL524" s="662">
        <v>0</v>
      </c>
      <c r="AM524" s="2423">
        <v>0</v>
      </c>
      <c r="AN524" s="662">
        <v>0</v>
      </c>
      <c r="AO524" s="662">
        <v>0</v>
      </c>
      <c r="AP524" s="662">
        <v>0</v>
      </c>
      <c r="AQ524" s="662">
        <v>0</v>
      </c>
      <c r="AR524" s="662">
        <v>0</v>
      </c>
      <c r="AS524" s="662">
        <v>0</v>
      </c>
      <c r="AT524" s="662">
        <v>0</v>
      </c>
      <c r="AU524" s="662">
        <v>0</v>
      </c>
      <c r="AV524" s="662">
        <v>0</v>
      </c>
      <c r="AW524" s="662">
        <v>0</v>
      </c>
      <c r="AX524" s="662">
        <v>0</v>
      </c>
      <c r="AY524" s="662"/>
      <c r="AZ524" s="662"/>
      <c r="BA524" s="72"/>
      <c r="BB524" s="662">
        <v>0</v>
      </c>
      <c r="BC524" s="2189"/>
      <c r="BD524" s="72"/>
      <c r="BE524" s="661">
        <f>+BE520-BC520</f>
        <v>0</v>
      </c>
      <c r="BF524" s="661">
        <f t="shared" si="3448"/>
        <v>0</v>
      </c>
      <c r="BG524" s="661">
        <f t="shared" si="3448"/>
        <v>0</v>
      </c>
      <c r="BH524" s="661">
        <f t="shared" si="3448"/>
        <v>92</v>
      </c>
      <c r="BI524" s="661"/>
      <c r="BJ524" s="2082">
        <f>+BJ520-BH520</f>
        <v>7</v>
      </c>
      <c r="BK524" s="661">
        <f>+BK520-BJ520</f>
        <v>-8</v>
      </c>
      <c r="BL524" s="661">
        <f t="shared" si="3448"/>
        <v>7</v>
      </c>
      <c r="BM524" s="661">
        <f t="shared" si="3448"/>
        <v>9</v>
      </c>
      <c r="BN524" s="661">
        <f t="shared" si="3448"/>
        <v>3</v>
      </c>
      <c r="BO524" s="2487">
        <f t="shared" si="3448"/>
        <v>0</v>
      </c>
      <c r="BP524" s="661">
        <f t="shared" si="3448"/>
        <v>0</v>
      </c>
      <c r="BQ524" s="661">
        <f t="shared" si="3448"/>
        <v>0</v>
      </c>
      <c r="BR524" s="662">
        <v>5</v>
      </c>
      <c r="BS524" s="662">
        <v>5</v>
      </c>
      <c r="BT524" s="662">
        <v>5</v>
      </c>
      <c r="BU524" s="662">
        <v>5</v>
      </c>
    </row>
    <row r="525" spans="2:73" s="360" customFormat="1" ht="15" hidden="1" customHeight="1">
      <c r="P525" s="373"/>
      <c r="Q525" s="373"/>
      <c r="R525" s="373"/>
      <c r="S525" s="1981"/>
      <c r="T525" s="373"/>
      <c r="W525" s="404"/>
      <c r="AM525" s="404"/>
      <c r="BA525" s="72"/>
      <c r="BC525" s="2189"/>
      <c r="BD525" s="72"/>
      <c r="BJ525" s="2080"/>
      <c r="BO525" s="404"/>
    </row>
    <row r="526" spans="2:73" s="360" customFormat="1" ht="15" hidden="1" customHeight="1">
      <c r="B526" s="360" t="s">
        <v>379</v>
      </c>
      <c r="C526" s="374">
        <f t="shared" ref="C526:T526" si="3450">+C535/C518*1000</f>
        <v>702.44109204156348</v>
      </c>
      <c r="D526" s="374">
        <f t="shared" si="3450"/>
        <v>819.64285714285711</v>
      </c>
      <c r="E526" s="374">
        <f t="shared" si="3450"/>
        <v>997.5</v>
      </c>
      <c r="F526" s="374">
        <f t="shared" si="3450"/>
        <v>1388.8888888888889</v>
      </c>
      <c r="G526" s="374">
        <f t="shared" si="3450"/>
        <v>976.28034458153149</v>
      </c>
      <c r="H526" s="374">
        <f t="shared" si="3450"/>
        <v>886.3624292199687</v>
      </c>
      <c r="I526" s="374">
        <f t="shared" si="3450"/>
        <v>857.39644970414213</v>
      </c>
      <c r="J526" s="374">
        <f t="shared" si="3450"/>
        <v>1206.1984042633633</v>
      </c>
      <c r="K526" s="374">
        <f t="shared" si="3450"/>
        <v>885.74743759888486</v>
      </c>
      <c r="L526" s="374">
        <f t="shared" si="3450"/>
        <v>890.70052442990016</v>
      </c>
      <c r="M526" s="374">
        <f t="shared" si="3450"/>
        <v>901.49171516177216</v>
      </c>
      <c r="N526" s="374">
        <f t="shared" si="3450"/>
        <v>1321.3498403629126</v>
      </c>
      <c r="O526" s="374">
        <f t="shared" si="3450"/>
        <v>727.85926732936514</v>
      </c>
      <c r="P526" s="374">
        <f t="shared" si="3450"/>
        <v>833.1810535545784</v>
      </c>
      <c r="Q526" s="374">
        <f t="shared" si="3450"/>
        <v>958.19116075826651</v>
      </c>
      <c r="R526" s="374">
        <f t="shared" si="3450"/>
        <v>1245.666333369034</v>
      </c>
      <c r="S526" s="1898">
        <f t="shared" si="3450"/>
        <v>927.70247501942742</v>
      </c>
      <c r="T526" s="374">
        <f t="shared" si="3450"/>
        <v>950.89972573416287</v>
      </c>
      <c r="U526" s="374">
        <f t="shared" ref="U526:Z526" si="3451">+U535/U518*1000</f>
        <v>989.55223880597009</v>
      </c>
      <c r="V526" s="374">
        <f>+V535/V518*1000</f>
        <v>1449.1329479768785</v>
      </c>
      <c r="W526" s="1898">
        <f>+W535/W518*1000</f>
        <v>1127.5147928994083</v>
      </c>
      <c r="X526" s="374">
        <f>+X535/X518*1000</f>
        <v>1259.2920353982299</v>
      </c>
      <c r="Y526" s="374">
        <f>+Y535/Y518*1000</f>
        <v>1648.358208955224</v>
      </c>
      <c r="Z526" s="374">
        <f t="shared" si="3451"/>
        <v>2420.710059171598</v>
      </c>
      <c r="AA526" s="374">
        <f t="shared" ref="AA526:AB526" si="3452">+AA535/AA518*1000</f>
        <v>1914.9122807017543</v>
      </c>
      <c r="AB526" s="374">
        <f t="shared" si="3452"/>
        <v>1809.7982708933719</v>
      </c>
      <c r="AC526" s="374">
        <f t="shared" ref="AC526:AD526" si="3453">+AC535/AC518*1000</f>
        <v>1756.8181818181818</v>
      </c>
      <c r="AD526" s="374">
        <f t="shared" si="3453"/>
        <v>2773.0245231607632</v>
      </c>
      <c r="AE526" s="374">
        <f t="shared" ref="AE526" si="3454">+AE535/AE518*1000</f>
        <v>1959.7826086956522</v>
      </c>
      <c r="AF526" s="374">
        <f t="shared" ref="AF526:AG526" si="3455">+AF535/AF518*1000</f>
        <v>1773.6702127659573</v>
      </c>
      <c r="AG526" s="374">
        <f t="shared" si="3455"/>
        <v>1756.8831168831166</v>
      </c>
      <c r="AH526" s="374">
        <f t="shared" ref="AH526:AI526" si="3456">+AH535/AH518*1000</f>
        <v>2478.6802030456852</v>
      </c>
      <c r="AI526" s="374">
        <f t="shared" si="3456"/>
        <v>1977.329974811083</v>
      </c>
      <c r="AJ526" s="374">
        <f t="shared" ref="AJ526" si="3457">+AJ535/AJ518*1000</f>
        <v>1883.2009925558311</v>
      </c>
      <c r="AK526" s="374">
        <f t="shared" ref="AK526:AL526" si="3458">+AK535/AK518*1000</f>
        <v>1730.2813118312329</v>
      </c>
      <c r="AL526" s="374">
        <f t="shared" si="3458"/>
        <v>2470.3186613851435</v>
      </c>
      <c r="AM526" s="1898">
        <f t="shared" ref="AM526:AP526" si="3459">+AM535/AM518*1000</f>
        <v>1996.835380614405</v>
      </c>
      <c r="AN526" s="374">
        <f t="shared" si="3459"/>
        <v>2078.4358927969365</v>
      </c>
      <c r="AO526" s="374">
        <f t="shared" si="3459"/>
        <v>2079.3332058728706</v>
      </c>
      <c r="AP526" s="374">
        <f t="shared" si="3459"/>
        <v>3078.5145339928808</v>
      </c>
      <c r="AQ526" s="374">
        <f t="shared" ref="AQ526:AT526" si="3460">+AQ535/AQ518*1000</f>
        <v>2497.0654679969703</v>
      </c>
      <c r="AR526" s="374">
        <f t="shared" si="3460"/>
        <v>2411.6220738959701</v>
      </c>
      <c r="AS526" s="374">
        <f t="shared" si="3460"/>
        <v>2162.3701270494639</v>
      </c>
      <c r="AT526" s="374">
        <f t="shared" si="3460"/>
        <v>3014.0113654619481</v>
      </c>
      <c r="AU526" s="374">
        <f t="shared" ref="AU526:AX526" si="3461">+AU535/AU518*1000</f>
        <v>2394.5202570442602</v>
      </c>
      <c r="AV526" s="374">
        <f t="shared" si="3461"/>
        <v>2397.4845850662455</v>
      </c>
      <c r="AW526" s="374">
        <f t="shared" si="3461"/>
        <v>2232.8489555789401</v>
      </c>
      <c r="AX526" s="374">
        <f t="shared" si="3461"/>
        <v>3154.1955695129991</v>
      </c>
      <c r="AY526" s="374"/>
      <c r="AZ526" s="374"/>
      <c r="BA526" s="72"/>
      <c r="BB526" s="374">
        <v>3014.0113654619481</v>
      </c>
      <c r="BC526" s="2189"/>
      <c r="BD526" s="72"/>
      <c r="BE526" s="374">
        <f t="shared" ref="BE526" si="3462">+BE535/BE518*1000</f>
        <v>3496.6953597949823</v>
      </c>
      <c r="BF526" s="374">
        <f>+SUM(G526:J526)</f>
        <v>3926.2376277690055</v>
      </c>
      <c r="BG526" s="374">
        <f>+SUM(K526:N526)</f>
        <v>3999.2895175534695</v>
      </c>
      <c r="BH526" s="374">
        <f>+SUM(O526:R526)</f>
        <v>3764.8978150112439</v>
      </c>
      <c r="BI526" s="374"/>
      <c r="BJ526" s="2083">
        <f>+SUM(S526:V526)</f>
        <v>4317.2873875364385</v>
      </c>
      <c r="BK526" s="374">
        <f>+SUM(W526:Z526)</f>
        <v>6455.87509642446</v>
      </c>
      <c r="BL526" s="374">
        <f>+SUM(AA526:AD526)</f>
        <v>8254.5532565740723</v>
      </c>
      <c r="BM526" s="374">
        <f>+SUM(AE526:AH526)</f>
        <v>7969.0161413904116</v>
      </c>
      <c r="BN526" s="374">
        <f>+SUM(AI526:AL526)</f>
        <v>8061.1309405832908</v>
      </c>
      <c r="BO526" s="1898">
        <f>+SUM(AM526:AP526)</f>
        <v>9233.1190132770935</v>
      </c>
      <c r="BP526" s="374">
        <f>+SUM(AQ526:AT526)</f>
        <v>10085.069034404352</v>
      </c>
      <c r="BQ526" s="374">
        <f>+SUM(AU526:AX526)</f>
        <v>10179.049367202446</v>
      </c>
      <c r="BR526" s="374">
        <f t="shared" ref="BR526" si="3463">+BR535/BR518*1000</f>
        <v>11068.75633515367</v>
      </c>
      <c r="BS526" s="374">
        <f t="shared" ref="BS526:BU526" si="3464">+BS535/BS518*1000</f>
        <v>12047.14736759892</v>
      </c>
      <c r="BT526" s="374">
        <f t="shared" si="3464"/>
        <v>13096.032253158925</v>
      </c>
      <c r="BU526" s="374">
        <f t="shared" si="3464"/>
        <v>14236.238301280207</v>
      </c>
    </row>
    <row r="527" spans="2:73" s="360" customFormat="1" ht="15" hidden="1" customHeight="1">
      <c r="G527" s="375">
        <f t="shared" ref="G527:R527" si="3465">+G526/C526-1</f>
        <v>0.38983945506958606</v>
      </c>
      <c r="H527" s="375">
        <f t="shared" si="3465"/>
        <v>8.1400785104972728E-2</v>
      </c>
      <c r="I527" s="375">
        <f t="shared" si="3465"/>
        <v>-0.14045468701339137</v>
      </c>
      <c r="J527" s="375">
        <f t="shared" si="3465"/>
        <v>-0.13153714893037849</v>
      </c>
      <c r="K527" s="375">
        <f t="shared" si="3465"/>
        <v>-9.2732489684049013E-2</v>
      </c>
      <c r="L527" s="375">
        <f t="shared" si="3465"/>
        <v>4.894267928017948E-3</v>
      </c>
      <c r="M527" s="375">
        <f t="shared" si="3465"/>
        <v>5.1429260609658245E-2</v>
      </c>
      <c r="N527" s="375">
        <f t="shared" si="3465"/>
        <v>9.546641389388455E-2</v>
      </c>
      <c r="O527" s="375">
        <f t="shared" si="3465"/>
        <v>-0.17825416542838501</v>
      </c>
      <c r="P527" s="375">
        <f t="shared" si="3465"/>
        <v>-6.4577789389017703E-2</v>
      </c>
      <c r="Q527" s="375">
        <f t="shared" si="3465"/>
        <v>6.2895137739917839E-2</v>
      </c>
      <c r="R527" s="375">
        <f t="shared" si="3465"/>
        <v>-5.7277417896453464E-2</v>
      </c>
      <c r="S527" s="1888">
        <f t="shared" ref="S527:AD527" si="3466">+S526/O526-1</f>
        <v>0.27456297757026538</v>
      </c>
      <c r="T527" s="375">
        <f t="shared" si="3466"/>
        <v>0.14128822502307803</v>
      </c>
      <c r="U527" s="375">
        <f t="shared" si="3466"/>
        <v>3.2729458726050042E-2</v>
      </c>
      <c r="V527" s="375">
        <f t="shared" si="3466"/>
        <v>0.16333957911309049</v>
      </c>
      <c r="W527" s="1888">
        <f t="shared" si="3466"/>
        <v>0.21538405174115383</v>
      </c>
      <c r="X527" s="375">
        <f t="shared" si="3466"/>
        <v>0.32431633043743502</v>
      </c>
      <c r="Y527" s="375">
        <f t="shared" si="3466"/>
        <v>0.66576168929110136</v>
      </c>
      <c r="Z527" s="375">
        <f t="shared" si="3466"/>
        <v>0.67045408949615659</v>
      </c>
      <c r="AA527" s="375">
        <f t="shared" si="3466"/>
        <v>0.69834781127576195</v>
      </c>
      <c r="AB527" s="375">
        <f t="shared" si="3466"/>
        <v>0.43715533809522866</v>
      </c>
      <c r="AC527" s="375">
        <f t="shared" si="3466"/>
        <v>6.5798788317803059E-2</v>
      </c>
      <c r="AD527" s="375">
        <f t="shared" si="3466"/>
        <v>0.14554178541718144</v>
      </c>
      <c r="AE527" s="375">
        <f t="shared" ref="AE527:AJ527" si="3467">+AE526/AA526-1</f>
        <v>2.3432054014220549E-2</v>
      </c>
      <c r="AF527" s="375">
        <f t="shared" si="3467"/>
        <v>-1.9962477978045956E-2</v>
      </c>
      <c r="AG527" s="375">
        <f t="shared" si="3467"/>
        <v>3.6961744594110613E-5</v>
      </c>
      <c r="AH527" s="375">
        <f t="shared" si="3467"/>
        <v>-0.10614558856463951</v>
      </c>
      <c r="AI527" s="375">
        <f t="shared" si="3467"/>
        <v>8.9537309074854132E-3</v>
      </c>
      <c r="AJ527" s="375">
        <f t="shared" si="3467"/>
        <v>6.1753745990392295E-2</v>
      </c>
      <c r="AK527" s="375">
        <f t="shared" ref="AK527" si="3468">+AK526/AG526-1</f>
        <v>-1.5141476855374369E-2</v>
      </c>
      <c r="AL527" s="375">
        <f t="shared" ref="AL527" si="3469">+AL526/AH526-1</f>
        <v>-3.3733846142263157E-3</v>
      </c>
      <c r="AM527" s="1888">
        <f t="shared" ref="AM527" si="3470">+AM526/AI526-1</f>
        <v>9.8645173298328448E-3</v>
      </c>
      <c r="AN527" s="375">
        <f t="shared" ref="AN527" si="3471">+AN526/AJ526-1</f>
        <v>0.10367183376222511</v>
      </c>
      <c r="AO527" s="375">
        <f t="shared" ref="AO527" si="3472">+AO526/AK526-1</f>
        <v>0.20173129748030449</v>
      </c>
      <c r="AP527" s="375">
        <f t="shared" ref="AP527" si="3473">+AP526/AL526-1</f>
        <v>0.24620138369788824</v>
      </c>
      <c r="AQ527" s="375">
        <f t="shared" ref="AQ527" si="3474">+AQ526/AM526-1</f>
        <v>0.25051143035569101</v>
      </c>
      <c r="AR527" s="375">
        <f t="shared" ref="AR527" si="3475">+AR526/AN526-1</f>
        <v>0.16030621019090807</v>
      </c>
      <c r="AS527" s="375">
        <f t="shared" ref="AS527" si="3476">+AS526/AO526-1</f>
        <v>3.9934398653406644E-2</v>
      </c>
      <c r="AT527" s="375">
        <f t="shared" ref="AT527" si="3477">+AT526/AP526-1</f>
        <v>-2.0952692546580609E-2</v>
      </c>
      <c r="AU527" s="375">
        <f t="shared" ref="AU527" si="3478">+AU526/AQ526-1</f>
        <v>-4.1066288516242611E-2</v>
      </c>
      <c r="AV527" s="375">
        <f t="shared" ref="AV527" si="3479">+AV526/AR526-1</f>
        <v>-5.8622323052821557E-3</v>
      </c>
      <c r="AW527" s="375">
        <f t="shared" ref="AW527" si="3480">+AW526/AS526-1</f>
        <v>3.2593323246489669E-2</v>
      </c>
      <c r="AX527" s="375">
        <f t="shared" ref="AX527" si="3481">+AX526/AT526-1</f>
        <v>4.6510841218929899E-2</v>
      </c>
      <c r="AY527" s="375"/>
      <c r="AZ527" s="375"/>
      <c r="BA527" s="72"/>
      <c r="BB527" s="375">
        <v>-2.0952692546580609E-2</v>
      </c>
      <c r="BC527" s="2189"/>
      <c r="BD527" s="72"/>
      <c r="BE527" s="375"/>
      <c r="BF527" s="375">
        <f t="shared" ref="BF527:BQ527" si="3482">+BF526/BE526-1</f>
        <v>0.12284234792452953</v>
      </c>
      <c r="BG527" s="375">
        <f t="shared" si="3482"/>
        <v>1.8606079588202151E-2</v>
      </c>
      <c r="BH527" s="375">
        <f t="shared" si="3482"/>
        <v>-5.8608335683987378E-2</v>
      </c>
      <c r="BI527" s="375"/>
      <c r="BJ527" s="2075">
        <f>+BJ526/BH526-1</f>
        <v>0.14672100005549416</v>
      </c>
      <c r="BK527" s="375">
        <f>+BK526/BJ526-1</f>
        <v>0.4953544939032557</v>
      </c>
      <c r="BL527" s="375">
        <f t="shared" si="3482"/>
        <v>0.27861105323208579</v>
      </c>
      <c r="BM527" s="375">
        <f t="shared" si="3482"/>
        <v>-3.4591468042955986E-2</v>
      </c>
      <c r="BN527" s="375">
        <f t="shared" si="3482"/>
        <v>1.1559118159447879E-2</v>
      </c>
      <c r="BO527" s="1888">
        <f t="shared" si="3482"/>
        <v>0.14538754938137743</v>
      </c>
      <c r="BP527" s="375">
        <f t="shared" si="3482"/>
        <v>9.2271097112705647E-2</v>
      </c>
      <c r="BQ527" s="375">
        <f t="shared" si="3482"/>
        <v>9.3187594926209538E-3</v>
      </c>
      <c r="BR527" s="375">
        <f t="shared" ref="BR527" si="3483">+BR526/BQ526-1</f>
        <v>8.740570321015606E-2</v>
      </c>
      <c r="BS527" s="375">
        <f t="shared" ref="BS527" si="3484">+BS526/BR526-1</f>
        <v>8.8392137546468685E-2</v>
      </c>
      <c r="BT527" s="375">
        <f t="shared" ref="BT527" si="3485">+BT526/BS526-1</f>
        <v>8.7065000000000392E-2</v>
      </c>
      <c r="BU527" s="375">
        <f t="shared" ref="BU527" si="3486">+BU526/BT526-1</f>
        <v>8.706500000000017E-2</v>
      </c>
    </row>
    <row r="528" spans="2:73" s="360" customFormat="1" ht="15" hidden="1" customHeight="1">
      <c r="S528" s="1888"/>
      <c r="T528" s="375"/>
      <c r="U528" s="376"/>
      <c r="V528" s="376"/>
      <c r="W528" s="1899"/>
      <c r="X528" s="376"/>
      <c r="Y528" s="376"/>
      <c r="Z528" s="376"/>
      <c r="AA528" s="376"/>
      <c r="AB528" s="376"/>
      <c r="AC528" s="376"/>
      <c r="AD528" s="376"/>
      <c r="AE528" s="376"/>
      <c r="AF528" s="376"/>
      <c r="AG528" s="376"/>
      <c r="AH528" s="376"/>
      <c r="AI528" s="376"/>
      <c r="AJ528" s="376"/>
      <c r="AK528" s="376"/>
      <c r="AL528" s="376"/>
      <c r="AM528" s="1899"/>
      <c r="AN528" s="376"/>
      <c r="AO528" s="376"/>
      <c r="AP528" s="376"/>
      <c r="AQ528" s="376"/>
      <c r="AR528" s="376"/>
      <c r="AS528" s="376"/>
      <c r="AT528" s="376"/>
      <c r="AU528" s="376"/>
      <c r="AV528" s="376"/>
      <c r="AW528" s="376"/>
      <c r="AX528" s="376"/>
      <c r="AY528" s="376"/>
      <c r="AZ528" s="376"/>
      <c r="BA528" s="72"/>
      <c r="BB528" s="376"/>
      <c r="BC528" s="2189"/>
      <c r="BD528" s="72"/>
      <c r="BE528" s="375"/>
      <c r="BF528" s="375"/>
      <c r="BG528" s="375"/>
      <c r="BH528" s="375"/>
      <c r="BI528" s="375"/>
      <c r="BJ528" s="2075"/>
      <c r="BK528" s="375"/>
      <c r="BL528" s="375"/>
      <c r="BM528" s="375"/>
      <c r="BN528" s="375"/>
      <c r="BO528" s="1888"/>
      <c r="BP528" s="375"/>
      <c r="BQ528" s="375"/>
      <c r="BR528" s="376"/>
      <c r="BS528" s="376"/>
      <c r="BT528" s="376"/>
      <c r="BU528" s="376"/>
    </row>
    <row r="529" spans="1:73" s="360" customFormat="1" ht="15" hidden="1" customHeight="1">
      <c r="B529" s="360" t="s">
        <v>380</v>
      </c>
      <c r="C529" s="406" t="e">
        <f t="shared" ref="C529:S529" si="3487">+C526/C510</f>
        <v>#DIV/0!</v>
      </c>
      <c r="D529" s="406" t="e">
        <f t="shared" si="3487"/>
        <v>#DIV/0!</v>
      </c>
      <c r="E529" s="406" t="e">
        <f t="shared" si="3487"/>
        <v>#DIV/0!</v>
      </c>
      <c r="F529" s="406" t="e">
        <f t="shared" si="3487"/>
        <v>#DIV/0!</v>
      </c>
      <c r="G529" s="406">
        <f t="shared" si="3487"/>
        <v>192.05316675757092</v>
      </c>
      <c r="H529" s="406">
        <f t="shared" si="3487"/>
        <v>191.38566145343162</v>
      </c>
      <c r="I529" s="406">
        <f t="shared" si="3487"/>
        <v>199.06437492120298</v>
      </c>
      <c r="J529" s="406">
        <f t="shared" si="3487"/>
        <v>271.93973532066553</v>
      </c>
      <c r="K529" s="406">
        <f t="shared" si="3487"/>
        <v>209.56545571447606</v>
      </c>
      <c r="L529" s="406">
        <f t="shared" si="3487"/>
        <v>212.32705365692436</v>
      </c>
      <c r="M529" s="406">
        <f t="shared" si="3487"/>
        <v>221.30108101631777</v>
      </c>
      <c r="N529" s="406">
        <f t="shared" si="3487"/>
        <v>318.06521283479753</v>
      </c>
      <c r="O529" s="406">
        <f t="shared" si="3487"/>
        <v>173.89682474004491</v>
      </c>
      <c r="P529" s="406">
        <f t="shared" si="3487"/>
        <v>173.51181487276523</v>
      </c>
      <c r="Q529" s="406">
        <f t="shared" si="3487"/>
        <v>176.80948742374946</v>
      </c>
      <c r="R529" s="406">
        <f t="shared" si="3487"/>
        <v>233.068964085071</v>
      </c>
      <c r="S529" s="1891">
        <f t="shared" si="3487"/>
        <v>174.35263150943047</v>
      </c>
      <c r="T529" s="406">
        <f t="shared" ref="T529:Y529" si="3488">+T526/T510</f>
        <v>171.3924652711006</v>
      </c>
      <c r="U529" s="406">
        <f t="shared" si="3488"/>
        <v>171.52578481912343</v>
      </c>
      <c r="V529" s="406">
        <f t="shared" si="3488"/>
        <v>242.27485489067655</v>
      </c>
      <c r="W529" s="1891">
        <f t="shared" si="3488"/>
        <v>165.05847841950245</v>
      </c>
      <c r="X529" s="406">
        <f t="shared" si="3488"/>
        <v>151.90889338867157</v>
      </c>
      <c r="Y529" s="406">
        <f t="shared" si="3488"/>
        <v>215.07539121876266</v>
      </c>
      <c r="Z529" s="406">
        <f t="shared" ref="Z529:AA529" si="3489">+Z526/Z510</f>
        <v>327.47825061723688</v>
      </c>
      <c r="AA529" s="406">
        <f t="shared" si="3489"/>
        <v>269.73786692386381</v>
      </c>
      <c r="AB529" s="406">
        <f t="shared" ref="AB529:AC529" si="3490">+AB526/AB510</f>
        <v>263.22215293447181</v>
      </c>
      <c r="AC529" s="406">
        <f t="shared" si="3490"/>
        <v>246.51571922647207</v>
      </c>
      <c r="AD529" s="406">
        <f t="shared" ref="AD529:AE529" si="3491">+AD526/AD510</f>
        <v>361.77484222285352</v>
      </c>
      <c r="AE529" s="406">
        <f t="shared" si="3491"/>
        <v>269.90171820701039</v>
      </c>
      <c r="AF529" s="406">
        <f t="shared" ref="AF529:AG529" si="3492">+AF526/AF510</f>
        <v>258.37751484270393</v>
      </c>
      <c r="AG529" s="406">
        <f t="shared" si="3492"/>
        <v>239.01060305762701</v>
      </c>
      <c r="AH529" s="406">
        <f t="shared" ref="AH529:AI529" si="3493">+AH526/AH510</f>
        <v>334.68647668083076</v>
      </c>
      <c r="AI529" s="406">
        <f t="shared" si="3493"/>
        <v>269.42529976876165</v>
      </c>
      <c r="AJ529" s="406">
        <f t="shared" ref="AJ529" si="3494">+AJ526/AJ510</f>
        <v>268.0766901556911</v>
      </c>
      <c r="AK529" s="406">
        <f t="shared" ref="AK529" si="3495">+AG529*(1+AK530)</f>
        <v>247.98276823279716</v>
      </c>
      <c r="AL529" s="490">
        <f t="shared" ref="AL529" si="3496">+AH529*(1+AL530)</f>
        <v>347.25019691859836</v>
      </c>
      <c r="AM529" s="2424">
        <f t="shared" ref="AM529" si="3497">+AI529*(1+AM530)</f>
        <v>279.53919539084092</v>
      </c>
      <c r="AN529" s="490">
        <f t="shared" ref="AN529" si="3498">+AJ529*(1+AN530)</f>
        <v>278.13996062536916</v>
      </c>
      <c r="AO529" s="490">
        <f t="shared" ref="AO529" si="3499">+AK529*(1+AO530)</f>
        <v>257.29173749490201</v>
      </c>
      <c r="AP529" s="490">
        <f t="shared" ref="AP529" si="3500">+AL529*(1+AP530)</f>
        <v>360.28554381955922</v>
      </c>
      <c r="AQ529" s="490">
        <f t="shared" ref="AQ529" si="3501">+AM529*(1+AQ530)</f>
        <v>290.03275426185081</v>
      </c>
      <c r="AR529" s="490">
        <f t="shared" ref="AR529" si="3502">+AN529*(1+AR530)</f>
        <v>288.58099393778855</v>
      </c>
      <c r="AS529" s="490">
        <f t="shared" ref="AS529" si="3503">+AO529*(1+AS530)</f>
        <v>266.95015405667351</v>
      </c>
      <c r="AT529" s="490">
        <f t="shared" ref="AT529" si="3504">+AP529*(1+AT530)</f>
        <v>373.8102216707577</v>
      </c>
      <c r="AU529" s="490">
        <f t="shared" ref="AU529" si="3505">+AQ529*(1+AU530)</f>
        <v>300.92022847494854</v>
      </c>
      <c r="AV529" s="490">
        <f t="shared" ref="AV529" si="3506">+AR529*(1+AV530)</f>
        <v>299.41397084718676</v>
      </c>
      <c r="AW529" s="490">
        <f t="shared" ref="AW529" si="3507">+AS529*(1+AW530)</f>
        <v>276.97113574155765</v>
      </c>
      <c r="AX529" s="490">
        <f t="shared" ref="AX529" si="3508">+AT529*(1+AX530)</f>
        <v>387.84259935648055</v>
      </c>
      <c r="AY529" s="490"/>
      <c r="AZ529" s="490"/>
      <c r="BA529" s="72"/>
      <c r="BB529" s="490">
        <v>373.8102216707577</v>
      </c>
      <c r="BC529" s="2189"/>
      <c r="BD529" s="72"/>
      <c r="BE529" s="375"/>
      <c r="BF529" s="406">
        <f>+SUM(G529:J529)</f>
        <v>854.44293845287098</v>
      </c>
      <c r="BG529" s="406">
        <f>+SUM(K529:N529)</f>
        <v>961.25880322251567</v>
      </c>
      <c r="BH529" s="406">
        <f>+SUM(O529:R529)</f>
        <v>757.28709112163062</v>
      </c>
      <c r="BI529" s="406"/>
      <c r="BJ529" s="2077">
        <f>+SUM(S529:V529)</f>
        <v>759.54573649033114</v>
      </c>
      <c r="BK529" s="406">
        <f>+SUM(W529:Z529)</f>
        <v>859.52101364417354</v>
      </c>
      <c r="BL529" s="406">
        <f>+SUM(AA529:AD529)</f>
        <v>1141.2505813076612</v>
      </c>
      <c r="BM529" s="406">
        <f>+SUM(AE529:AH529)</f>
        <v>1101.976312788172</v>
      </c>
      <c r="BN529" s="406">
        <f>+SUM(AI529:AL529)</f>
        <v>1132.7349550758483</v>
      </c>
      <c r="BO529" s="1891">
        <f>+SUM(AM529:AP529)</f>
        <v>1175.2564373306714</v>
      </c>
      <c r="BP529" s="406">
        <f>+SUM(AQ529:AT529)</f>
        <v>1219.3741239270705</v>
      </c>
      <c r="BQ529" s="406">
        <f>+SUM(AU529:AX529)</f>
        <v>1265.1479344201734</v>
      </c>
      <c r="BR529" s="490">
        <f t="shared" ref="BR529" si="3509">+BQ529*(1+BR530)</f>
        <v>1328.4053311411822</v>
      </c>
      <c r="BS529" s="490">
        <f t="shared" ref="BS529" si="3510">+BR529*(1+BS530)</f>
        <v>1394.8255976982414</v>
      </c>
      <c r="BT529" s="490">
        <f t="shared" ref="BT529" si="3511">+BS529*(1+BT530)</f>
        <v>1464.5668775831534</v>
      </c>
      <c r="BU529" s="490">
        <f t="shared" ref="BU529" si="3512">+BT529*(1+BU530)</f>
        <v>1537.7952214623112</v>
      </c>
    </row>
    <row r="530" spans="1:73" s="360" customFormat="1" ht="15" hidden="1" customHeight="1">
      <c r="B530" s="360" t="s">
        <v>108</v>
      </c>
      <c r="G530" s="375" t="e">
        <f t="shared" ref="G530:S530" si="3513">+G529/C529-1</f>
        <v>#DIV/0!</v>
      </c>
      <c r="H530" s="375" t="e">
        <f t="shared" si="3513"/>
        <v>#DIV/0!</v>
      </c>
      <c r="I530" s="375" t="e">
        <f t="shared" si="3513"/>
        <v>#DIV/0!</v>
      </c>
      <c r="J530" s="375" t="e">
        <f t="shared" si="3513"/>
        <v>#DIV/0!</v>
      </c>
      <c r="K530" s="375">
        <f t="shared" si="3513"/>
        <v>9.1184588375004205E-2</v>
      </c>
      <c r="L530" s="375">
        <f t="shared" si="3513"/>
        <v>0.10941985958853162</v>
      </c>
      <c r="M530" s="375">
        <f t="shared" si="3513"/>
        <v>0.11170610564505523</v>
      </c>
      <c r="N530" s="375">
        <f t="shared" si="3513"/>
        <v>0.16961654191411868</v>
      </c>
      <c r="O530" s="375">
        <f t="shared" si="3513"/>
        <v>-0.17020281731464437</v>
      </c>
      <c r="P530" s="375">
        <f t="shared" si="3513"/>
        <v>-0.18280872887199928</v>
      </c>
      <c r="Q530" s="375">
        <f t="shared" si="3513"/>
        <v>-0.20104553212411869</v>
      </c>
      <c r="R530" s="375">
        <f t="shared" si="3513"/>
        <v>-0.26722899996571903</v>
      </c>
      <c r="S530" s="1888">
        <f t="shared" si="3513"/>
        <v>2.6211333649532875E-3</v>
      </c>
      <c r="T530" s="375">
        <f t="shared" ref="T530:AF530" si="3514">+T529/P529-1</f>
        <v>-1.2214439709588243E-2</v>
      </c>
      <c r="U530" s="375">
        <f t="shared" si="3514"/>
        <v>-2.9883592117219804E-2</v>
      </c>
      <c r="V530" s="375">
        <f t="shared" si="3514"/>
        <v>3.9498570055193527E-2</v>
      </c>
      <c r="W530" s="1888">
        <f t="shared" si="3514"/>
        <v>-5.3306640739892219E-2</v>
      </c>
      <c r="X530" s="375">
        <f t="shared" si="3514"/>
        <v>-0.11367811211310153</v>
      </c>
      <c r="Y530" s="375">
        <f t="shared" si="3514"/>
        <v>0.25389539214505241</v>
      </c>
      <c r="Z530" s="375">
        <f t="shared" si="3514"/>
        <v>0.35168072132375139</v>
      </c>
      <c r="AA530" s="375">
        <f t="shared" si="3514"/>
        <v>0.63419576811022504</v>
      </c>
      <c r="AB530" s="375">
        <f t="shared" si="3514"/>
        <v>0.73276328372030197</v>
      </c>
      <c r="AC530" s="375">
        <f t="shared" si="3514"/>
        <v>0.14618282375099834</v>
      </c>
      <c r="AD530" s="375">
        <f t="shared" si="3514"/>
        <v>0.10472937222845724</v>
      </c>
      <c r="AE530" s="375">
        <f t="shared" si="3514"/>
        <v>6.0744635158260785E-4</v>
      </c>
      <c r="AF530" s="375">
        <f t="shared" si="3514"/>
        <v>-1.8405130562752947E-2</v>
      </c>
      <c r="AG530" s="375">
        <f>+AG529/AC529-1</f>
        <v>-3.0444777283959668E-2</v>
      </c>
      <c r="AH530" s="375">
        <f>+AH529/AD529-1</f>
        <v>-7.4876310844567584E-2</v>
      </c>
      <c r="AI530" s="375">
        <f>+AI529/AE529-1</f>
        <v>-1.7651552624919908E-3</v>
      </c>
      <c r="AJ530" s="375">
        <f>+AJ529/AF529-1</f>
        <v>3.753877468359379E-2</v>
      </c>
      <c r="AK530" s="375">
        <f t="shared" ref="AK530:AL530" si="3515">+AJ530</f>
        <v>3.753877468359379E-2</v>
      </c>
      <c r="AL530" s="376">
        <f t="shared" si="3515"/>
        <v>3.753877468359379E-2</v>
      </c>
      <c r="AM530" s="1899">
        <f t="shared" ref="AM530" si="3516">+AL530</f>
        <v>3.753877468359379E-2</v>
      </c>
      <c r="AN530" s="376">
        <f t="shared" ref="AN530" si="3517">+AM530</f>
        <v>3.753877468359379E-2</v>
      </c>
      <c r="AO530" s="376">
        <f t="shared" ref="AO530" si="3518">+AN530</f>
        <v>3.753877468359379E-2</v>
      </c>
      <c r="AP530" s="376">
        <f t="shared" ref="AP530" si="3519">+AO530</f>
        <v>3.753877468359379E-2</v>
      </c>
      <c r="AQ530" s="376">
        <f t="shared" ref="AQ530" si="3520">+AP530</f>
        <v>3.753877468359379E-2</v>
      </c>
      <c r="AR530" s="376">
        <f t="shared" ref="AR530" si="3521">+AQ530</f>
        <v>3.753877468359379E-2</v>
      </c>
      <c r="AS530" s="376">
        <f t="shared" ref="AS530" si="3522">+AR530</f>
        <v>3.753877468359379E-2</v>
      </c>
      <c r="AT530" s="376">
        <f t="shared" ref="AT530" si="3523">+AS530</f>
        <v>3.753877468359379E-2</v>
      </c>
      <c r="AU530" s="376">
        <f t="shared" ref="AU530" si="3524">+AT530</f>
        <v>3.753877468359379E-2</v>
      </c>
      <c r="AV530" s="376">
        <f t="shared" ref="AV530" si="3525">+AU530</f>
        <v>3.753877468359379E-2</v>
      </c>
      <c r="AW530" s="376">
        <f t="shared" ref="AW530" si="3526">+AV530</f>
        <v>3.753877468359379E-2</v>
      </c>
      <c r="AX530" s="376">
        <f t="shared" ref="AX530" si="3527">+AW530</f>
        <v>3.753877468359379E-2</v>
      </c>
      <c r="AY530" s="376"/>
      <c r="AZ530" s="376"/>
      <c r="BA530" s="72"/>
      <c r="BB530" s="376">
        <v>3.753877468359379E-2</v>
      </c>
      <c r="BC530" s="2189"/>
      <c r="BD530" s="72"/>
      <c r="BE530" s="375"/>
      <c r="BF530" s="375"/>
      <c r="BG530" s="375">
        <f t="shared" ref="BG530:BQ530" si="3528">+BG529/BF529-1</f>
        <v>0.12501228573912115</v>
      </c>
      <c r="BH530" s="375">
        <f t="shared" si="3528"/>
        <v>-0.21219229557856012</v>
      </c>
      <c r="BI530" s="375"/>
      <c r="BJ530" s="2075">
        <f>+BJ529/BH529-1</f>
        <v>2.9825483560734778E-3</v>
      </c>
      <c r="BK530" s="375">
        <f>+BK529/BJ529-1</f>
        <v>0.1316250916183177</v>
      </c>
      <c r="BL530" s="375">
        <f t="shared" si="3528"/>
        <v>0.32777507843469511</v>
      </c>
      <c r="BM530" s="375">
        <f t="shared" si="3528"/>
        <v>-3.4413361239639562E-2</v>
      </c>
      <c r="BN530" s="375">
        <f t="shared" si="3528"/>
        <v>2.791225358542615E-2</v>
      </c>
      <c r="BO530" s="1888">
        <f t="shared" si="3528"/>
        <v>3.753877468359379E-2</v>
      </c>
      <c r="BP530" s="375">
        <f t="shared" si="3528"/>
        <v>3.753877468359379E-2</v>
      </c>
      <c r="BQ530" s="375">
        <f t="shared" si="3528"/>
        <v>3.753877468359379E-2</v>
      </c>
      <c r="BR530" s="376">
        <v>0.05</v>
      </c>
      <c r="BS530" s="376">
        <v>0.05</v>
      </c>
      <c r="BT530" s="376">
        <v>0.05</v>
      </c>
      <c r="BU530" s="376">
        <v>0.05</v>
      </c>
    </row>
    <row r="531" spans="1:73" s="360" customFormat="1" ht="15" hidden="1" customHeight="1">
      <c r="G531" s="406"/>
      <c r="H531" s="406"/>
      <c r="I531" s="406"/>
      <c r="J531" s="406"/>
      <c r="K531" s="406"/>
      <c r="L531" s="406"/>
      <c r="M531" s="406"/>
      <c r="N531" s="406"/>
      <c r="O531" s="406"/>
      <c r="P531" s="406"/>
      <c r="Q531" s="406"/>
      <c r="R531" s="406"/>
      <c r="S531" s="1891"/>
      <c r="T531" s="406"/>
      <c r="U531" s="406"/>
      <c r="V531" s="406"/>
      <c r="W531" s="1891"/>
      <c r="X531" s="406"/>
      <c r="Y531" s="376"/>
      <c r="Z531" s="376"/>
      <c r="AA531" s="376"/>
      <c r="AB531" s="376"/>
      <c r="AC531" s="376"/>
      <c r="AD531" s="376"/>
      <c r="AE531" s="376"/>
      <c r="AF531" s="376"/>
      <c r="AG531" s="376"/>
      <c r="AH531" s="376"/>
      <c r="AI531" s="376"/>
      <c r="AJ531" s="376"/>
      <c r="AK531" s="376"/>
      <c r="AL531" s="376"/>
      <c r="AM531" s="1899"/>
      <c r="AN531" s="376"/>
      <c r="AO531" s="376"/>
      <c r="AP531" s="376"/>
      <c r="AQ531" s="376"/>
      <c r="AR531" s="376"/>
      <c r="AS531" s="376"/>
      <c r="AT531" s="376"/>
      <c r="AU531" s="376"/>
      <c r="AV531" s="376"/>
      <c r="AW531" s="376"/>
      <c r="AX531" s="376"/>
      <c r="AY531" s="376"/>
      <c r="AZ531" s="376"/>
      <c r="BA531" s="72"/>
      <c r="BB531" s="376"/>
      <c r="BC531" s="2189"/>
      <c r="BD531" s="72"/>
      <c r="BE531" s="375"/>
      <c r="BF531" s="375"/>
      <c r="BG531" s="375"/>
      <c r="BH531" s="375"/>
      <c r="BI531" s="375"/>
      <c r="BJ531" s="2075"/>
      <c r="BK531" s="375"/>
      <c r="BL531" s="375"/>
      <c r="BM531" s="375"/>
      <c r="BN531" s="375"/>
      <c r="BO531" s="1888"/>
      <c r="BP531" s="375"/>
      <c r="BQ531" s="375"/>
      <c r="BR531" s="376"/>
      <c r="BS531" s="376"/>
      <c r="BT531" s="376"/>
      <c r="BU531" s="376"/>
    </row>
    <row r="532" spans="1:73" s="357" customFormat="1" ht="15" hidden="1" customHeight="1">
      <c r="B532" s="357" t="s">
        <v>381</v>
      </c>
      <c r="G532" s="378">
        <f t="shared" ref="G532:T532" si="3529">+G535/G510</f>
        <v>28.231815513362925</v>
      </c>
      <c r="H532" s="378">
        <f t="shared" si="3529"/>
        <v>30.047548848188764</v>
      </c>
      <c r="I532" s="378">
        <f t="shared" si="3529"/>
        <v>33.641879361683301</v>
      </c>
      <c r="J532" s="378">
        <f t="shared" si="3529"/>
        <v>47.861393416437146</v>
      </c>
      <c r="K532" s="378">
        <f t="shared" si="3529"/>
        <v>37.721782028605688</v>
      </c>
      <c r="L532" s="378">
        <f t="shared" si="3529"/>
        <v>39.917486087501779</v>
      </c>
      <c r="M532" s="378">
        <f t="shared" si="3529"/>
        <v>43.375011879198283</v>
      </c>
      <c r="N532" s="378">
        <f t="shared" si="3529"/>
        <v>66.475629482472669</v>
      </c>
      <c r="O532" s="378">
        <f t="shared" si="3529"/>
        <v>53.038531545713695</v>
      </c>
      <c r="P532" s="378">
        <f t="shared" si="3529"/>
        <v>54.135686240302746</v>
      </c>
      <c r="Q532" s="378">
        <f t="shared" si="3529"/>
        <v>54.457322126514839</v>
      </c>
      <c r="R532" s="378">
        <f t="shared" si="3529"/>
        <v>74.348999543137651</v>
      </c>
      <c r="S532" s="1900">
        <f t="shared" si="3529"/>
        <v>55.967194714527174</v>
      </c>
      <c r="T532" s="378">
        <f t="shared" si="3529"/>
        <v>56.559513539463204</v>
      </c>
      <c r="U532" s="378">
        <f t="shared" ref="U532:Z532" si="3530">+U535/U510</f>
        <v>57.461137914406351</v>
      </c>
      <c r="V532" s="378">
        <f t="shared" si="3530"/>
        <v>83.827099792174081</v>
      </c>
      <c r="W532" s="1900">
        <f t="shared" si="3530"/>
        <v>55.789765705791829</v>
      </c>
      <c r="X532" s="378">
        <f t="shared" si="3530"/>
        <v>51.497114858759666</v>
      </c>
      <c r="Y532" s="378">
        <f t="shared" si="3530"/>
        <v>72.050256058285498</v>
      </c>
      <c r="Z532" s="378">
        <f t="shared" si="3530"/>
        <v>110.68764870862606</v>
      </c>
      <c r="AA532" s="378">
        <f t="shared" ref="AA532:AB532" si="3531">+AA535/AA510</f>
        <v>92.250350487961427</v>
      </c>
      <c r="AB532" s="378">
        <f t="shared" si="3531"/>
        <v>91.338087068261714</v>
      </c>
      <c r="AC532" s="378">
        <f t="shared" ref="AC532:AD532" si="3532">+AC535/AC510</f>
        <v>86.77353316771817</v>
      </c>
      <c r="AD532" s="378">
        <f t="shared" si="3532"/>
        <v>132.77136709578724</v>
      </c>
      <c r="AE532" s="378">
        <f t="shared" ref="AE532" si="3533">+AE529*AE518/1000</f>
        <v>99.323832300179831</v>
      </c>
      <c r="AF532" s="378">
        <f t="shared" ref="AF532:AG532" si="3534">+AF529*AF518/1000</f>
        <v>97.149945580856667</v>
      </c>
      <c r="AG532" s="378">
        <f t="shared" si="3534"/>
        <v>92.019082177186405</v>
      </c>
      <c r="AH532" s="378">
        <f t="shared" ref="AH532:AI532" si="3535">+AH529*AH518/1000</f>
        <v>131.86647181224734</v>
      </c>
      <c r="AI532" s="378">
        <f t="shared" si="3535"/>
        <v>106.96184400819837</v>
      </c>
      <c r="AJ532" s="378">
        <f t="shared" ref="AJ532" si="3536">+AJ529*AJ518/1000</f>
        <v>108.0349061327435</v>
      </c>
      <c r="AK532" s="378">
        <f t="shared" ref="AK532:AL532" si="3537">+AK529*AK518/1000</f>
        <v>99.937055597817249</v>
      </c>
      <c r="AL532" s="383">
        <f t="shared" si="3537"/>
        <v>139.94182935819512</v>
      </c>
      <c r="AM532" s="2425">
        <f t="shared" ref="AM532:AP532" si="3538">+AM529*AM518/1000</f>
        <v>112.65429574250888</v>
      </c>
      <c r="AN532" s="383">
        <f t="shared" si="3538"/>
        <v>112.09040413202378</v>
      </c>
      <c r="AO532" s="383">
        <f t="shared" si="3538"/>
        <v>103.68857021044552</v>
      </c>
      <c r="AP532" s="383">
        <f t="shared" si="3538"/>
        <v>145.19507415928237</v>
      </c>
      <c r="AQ532" s="383">
        <f t="shared" ref="AQ532:AT532" si="3539">+AQ529*AQ518/1000</f>
        <v>116.88319996752587</v>
      </c>
      <c r="AR532" s="383">
        <f t="shared" si="3539"/>
        <v>116.29814055692879</v>
      </c>
      <c r="AS532" s="383">
        <f t="shared" si="3539"/>
        <v>107.58091208483943</v>
      </c>
      <c r="AT532" s="383">
        <f t="shared" si="3539"/>
        <v>150.64551933331535</v>
      </c>
      <c r="AU532" s="383">
        <f t="shared" ref="AU532:AX532" si="3540">+AU529*AU518/1000</f>
        <v>121.27085207540426</v>
      </c>
      <c r="AV532" s="383">
        <f t="shared" si="3540"/>
        <v>120.66383025141626</v>
      </c>
      <c r="AW532" s="383">
        <f t="shared" si="3540"/>
        <v>111.61936770384773</v>
      </c>
      <c r="AX532" s="383">
        <f t="shared" si="3540"/>
        <v>156.30056754066166</v>
      </c>
      <c r="AY532" s="383"/>
      <c r="AZ532" s="383"/>
      <c r="BA532" s="85"/>
      <c r="BB532" s="383">
        <v>150.64551933331535</v>
      </c>
      <c r="BC532" s="2197"/>
      <c r="BD532" s="85"/>
      <c r="BE532" s="378">
        <f t="shared" ref="BE532" si="3541">+BE529*BE518/1000</f>
        <v>0</v>
      </c>
      <c r="BF532" s="378">
        <f>+SUM(G532:J532)</f>
        <v>139.78263713967215</v>
      </c>
      <c r="BG532" s="378">
        <f>+SUM(K532:N532)</f>
        <v>187.48990947777844</v>
      </c>
      <c r="BH532" s="378">
        <f>+SUM(O532:R532)</f>
        <v>235.98053945566892</v>
      </c>
      <c r="BI532" s="378"/>
      <c r="BJ532" s="2084">
        <f>+SUM(S532:V532)</f>
        <v>253.81494596057081</v>
      </c>
      <c r="BK532" s="378">
        <f>+SUM(W532:Z532)</f>
        <v>290.02478533146302</v>
      </c>
      <c r="BL532" s="378">
        <f>+SUM(AA532:AD532)</f>
        <v>403.13333781972858</v>
      </c>
      <c r="BM532" s="378">
        <f>+SUM(AE532:AH532)</f>
        <v>420.35933187047021</v>
      </c>
      <c r="BN532" s="378">
        <f>+SUM(AI532:AL532)</f>
        <v>454.87563509695428</v>
      </c>
      <c r="BO532" s="1900">
        <f>+SUM(AM532:AP532)</f>
        <v>473.62834424426057</v>
      </c>
      <c r="BP532" s="378">
        <f>+SUM(AQ532:AT532)</f>
        <v>491.40777194260943</v>
      </c>
      <c r="BQ532" s="378">
        <f>+SUM(AU532:AX532)</f>
        <v>509.85461757132987</v>
      </c>
      <c r="BR532" s="383">
        <f t="shared" ref="BR532" si="3542">+BR529*BR518/1000</f>
        <v>555.2734284170142</v>
      </c>
      <c r="BS532" s="383">
        <f t="shared" ref="BS532:BU532" si="3543">+BS529*BS518/1000</f>
        <v>603.95948380333846</v>
      </c>
      <c r="BT532" s="383">
        <f t="shared" si="3543"/>
        <v>656.12596115725273</v>
      </c>
      <c r="BU532" s="383">
        <f t="shared" si="3543"/>
        <v>711.99918753705015</v>
      </c>
    </row>
    <row r="533" spans="1:73" s="360" customFormat="1" ht="15" hidden="1" customHeight="1">
      <c r="B533" s="360" t="s">
        <v>108</v>
      </c>
      <c r="G533" s="406"/>
      <c r="H533" s="375" t="e">
        <f t="shared" ref="H533:S533" si="3544">+H532/D532-1</f>
        <v>#DIV/0!</v>
      </c>
      <c r="I533" s="375" t="e">
        <f t="shared" si="3544"/>
        <v>#DIV/0!</v>
      </c>
      <c r="J533" s="375" t="e">
        <f t="shared" si="3544"/>
        <v>#DIV/0!</v>
      </c>
      <c r="K533" s="375">
        <f t="shared" si="3544"/>
        <v>0.33614439392857642</v>
      </c>
      <c r="L533" s="375">
        <f t="shared" si="3544"/>
        <v>0.32847728409327348</v>
      </c>
      <c r="M533" s="375">
        <f t="shared" si="3544"/>
        <v>0.2893159568427861</v>
      </c>
      <c r="N533" s="375">
        <f t="shared" si="3544"/>
        <v>0.38891964352301533</v>
      </c>
      <c r="O533" s="375">
        <f t="shared" si="3544"/>
        <v>0.40604522621685279</v>
      </c>
      <c r="P533" s="375">
        <f t="shared" si="3544"/>
        <v>0.35618976910604361</v>
      </c>
      <c r="Q533" s="375">
        <f t="shared" si="3544"/>
        <v>0.25549987809067076</v>
      </c>
      <c r="R533" s="375">
        <f t="shared" si="3544"/>
        <v>0.11843994742074493</v>
      </c>
      <c r="S533" s="1888">
        <f t="shared" si="3544"/>
        <v>5.5217651836557247E-2</v>
      </c>
      <c r="T533" s="375">
        <f t="shared" ref="T533:AD533" si="3545">+T532/P532-1</f>
        <v>4.4773188768704841E-2</v>
      </c>
      <c r="U533" s="375">
        <f t="shared" si="3545"/>
        <v>5.5159080002374461E-2</v>
      </c>
      <c r="V533" s="375">
        <f t="shared" si="3545"/>
        <v>0.12748120764607185</v>
      </c>
      <c r="W533" s="1888">
        <f t="shared" si="3545"/>
        <v>-3.170232305556131E-3</v>
      </c>
      <c r="X533" s="375">
        <f t="shared" si="3545"/>
        <v>-8.9505696988913419E-2</v>
      </c>
      <c r="Y533" s="375">
        <f t="shared" si="3545"/>
        <v>0.25389539214505263</v>
      </c>
      <c r="Z533" s="375">
        <f t="shared" si="3545"/>
        <v>0.32042798788273985</v>
      </c>
      <c r="AA533" s="375">
        <f t="shared" si="3545"/>
        <v>0.65353536299910342</v>
      </c>
      <c r="AB533" s="375">
        <f t="shared" si="3545"/>
        <v>0.77365445265765387</v>
      </c>
      <c r="AC533" s="375">
        <f t="shared" si="3545"/>
        <v>0.20434732525478028</v>
      </c>
      <c r="AD533" s="375">
        <f t="shared" si="3545"/>
        <v>0.1995138449936209</v>
      </c>
      <c r="AE533" s="375">
        <f t="shared" ref="AE533:AJ533" si="3546">+AE532/AA532-1</f>
        <v>7.6677018296439803E-2</v>
      </c>
      <c r="AF533" s="375">
        <f t="shared" si="3546"/>
        <v>6.3630175528544219E-2</v>
      </c>
      <c r="AG533" s="375">
        <f t="shared" si="3546"/>
        <v>6.0451024845669332E-2</v>
      </c>
      <c r="AH533" s="375">
        <f t="shared" si="3546"/>
        <v>-6.8154399802712318E-3</v>
      </c>
      <c r="AI533" s="375">
        <f t="shared" si="3546"/>
        <v>7.690009065432224E-2</v>
      </c>
      <c r="AJ533" s="375">
        <f t="shared" si="3546"/>
        <v>0.11204288882310709</v>
      </c>
      <c r="AK533" s="375">
        <f t="shared" ref="AK533" si="3547">+AK532/AG532-1</f>
        <v>8.6047081032436967E-2</v>
      </c>
      <c r="AL533" s="375">
        <f t="shared" ref="AL533" si="3548">+AL532/AH532-1</f>
        <v>6.1238898978396517E-2</v>
      </c>
      <c r="AM533" s="1888">
        <f t="shared" ref="AM533" si="3549">+AM532/AI532-1</f>
        <v>5.3219461454630412E-2</v>
      </c>
      <c r="AN533" s="375">
        <f t="shared" ref="AN533" si="3550">+AN532/AJ532-1</f>
        <v>3.7538774683594012E-2</v>
      </c>
      <c r="AO533" s="375">
        <f t="shared" ref="AO533" si="3551">+AO532/AK532-1</f>
        <v>3.7538774683594012E-2</v>
      </c>
      <c r="AP533" s="375">
        <f t="shared" ref="AP533" si="3552">+AP532/AL532-1</f>
        <v>3.7538774683594012E-2</v>
      </c>
      <c r="AQ533" s="375">
        <f t="shared" ref="AQ533" si="3553">+AQ532/AM532-1</f>
        <v>3.753877468359379E-2</v>
      </c>
      <c r="AR533" s="375">
        <f t="shared" ref="AR533" si="3554">+AR532/AN532-1</f>
        <v>3.753877468359379E-2</v>
      </c>
      <c r="AS533" s="375">
        <f t="shared" ref="AS533" si="3555">+AS532/AO532-1</f>
        <v>3.753877468359379E-2</v>
      </c>
      <c r="AT533" s="375">
        <f t="shared" ref="AT533" si="3556">+AT532/AP532-1</f>
        <v>3.753877468359379E-2</v>
      </c>
      <c r="AU533" s="375">
        <f t="shared" ref="AU533" si="3557">+AU532/AQ532-1</f>
        <v>3.753877468359379E-2</v>
      </c>
      <c r="AV533" s="375">
        <f t="shared" ref="AV533" si="3558">+AV532/AR532-1</f>
        <v>3.753877468359379E-2</v>
      </c>
      <c r="AW533" s="375">
        <f t="shared" ref="AW533" si="3559">+AW532/AS532-1</f>
        <v>3.753877468359379E-2</v>
      </c>
      <c r="AX533" s="375">
        <f t="shared" ref="AX533" si="3560">+AX532/AT532-1</f>
        <v>3.753877468359379E-2</v>
      </c>
      <c r="AY533" s="375"/>
      <c r="AZ533" s="375"/>
      <c r="BA533" s="72"/>
      <c r="BB533" s="375">
        <v>3.753877468359379E-2</v>
      </c>
      <c r="BC533" s="2189"/>
      <c r="BD533" s="72"/>
      <c r="BE533" s="375"/>
      <c r="BF533" s="375"/>
      <c r="BG533" s="375">
        <f t="shared" ref="BG533:BR533" si="3561">+BG532/BF532-1</f>
        <v>0.34129612457115632</v>
      </c>
      <c r="BH533" s="375">
        <f t="shared" si="3561"/>
        <v>0.25863061171106727</v>
      </c>
      <c r="BI533" s="375"/>
      <c r="BJ533" s="2075">
        <f>+BJ532/BH532-1</f>
        <v>7.5575751059981933E-2</v>
      </c>
      <c r="BK533" s="375">
        <f>+BK532/BJ532-1</f>
        <v>0.14266236069690419</v>
      </c>
      <c r="BL533" s="375">
        <f t="shared" si="3561"/>
        <v>0.38999615966958223</v>
      </c>
      <c r="BM533" s="375">
        <f t="shared" si="3561"/>
        <v>4.2730264244344562E-2</v>
      </c>
      <c r="BN533" s="375">
        <f t="shared" si="3561"/>
        <v>8.2111423750002466E-2</v>
      </c>
      <c r="BO533" s="1888">
        <f t="shared" si="3561"/>
        <v>4.1226013662633898E-2</v>
      </c>
      <c r="BP533" s="375">
        <f t="shared" si="3561"/>
        <v>3.753877468359379E-2</v>
      </c>
      <c r="BQ533" s="375">
        <f t="shared" si="3561"/>
        <v>3.753877468359379E-2</v>
      </c>
      <c r="BR533" s="375">
        <f t="shared" si="3561"/>
        <v>8.9081885856079568E-2</v>
      </c>
      <c r="BS533" s="375">
        <f t="shared" ref="BS533" si="3562">+BS532/BR532-1</f>
        <v>8.7679425837320357E-2</v>
      </c>
      <c r="BT533" s="375">
        <f t="shared" ref="BT533" si="3563">+BT532/BS532-1</f>
        <v>8.6374133949191689E-2</v>
      </c>
      <c r="BU533" s="375">
        <f t="shared" ref="BU533" si="3564">+BU532/BT532-1</f>
        <v>8.5156250000000266E-2</v>
      </c>
    </row>
    <row r="534" spans="1:73" s="360" customFormat="1" ht="15" hidden="1" customHeight="1">
      <c r="G534" s="406"/>
      <c r="H534" s="406"/>
      <c r="I534" s="406"/>
      <c r="J534" s="406"/>
      <c r="K534" s="406"/>
      <c r="L534" s="406"/>
      <c r="M534" s="406"/>
      <c r="N534" s="406"/>
      <c r="O534" s="406"/>
      <c r="P534" s="406"/>
      <c r="Q534" s="406"/>
      <c r="R534" s="406"/>
      <c r="S534" s="1891"/>
      <c r="T534" s="406"/>
      <c r="U534" s="406"/>
      <c r="V534" s="376"/>
      <c r="W534" s="1899"/>
      <c r="X534" s="376"/>
      <c r="Y534" s="376"/>
      <c r="Z534" s="376"/>
      <c r="AA534" s="376"/>
      <c r="AB534" s="376"/>
      <c r="AC534" s="376"/>
      <c r="AD534" s="376"/>
      <c r="AE534" s="376"/>
      <c r="AF534" s="376"/>
      <c r="AG534" s="376"/>
      <c r="AH534" s="376"/>
      <c r="AI534" s="376"/>
      <c r="AJ534" s="376"/>
      <c r="AK534" s="376"/>
      <c r="AL534" s="376"/>
      <c r="AM534" s="1899"/>
      <c r="AN534" s="376"/>
      <c r="AO534" s="376"/>
      <c r="AP534" s="376"/>
      <c r="AQ534" s="376"/>
      <c r="AR534" s="376"/>
      <c r="AS534" s="376"/>
      <c r="AT534" s="376"/>
      <c r="AU534" s="376"/>
      <c r="AV534" s="376"/>
      <c r="AW534" s="376"/>
      <c r="AX534" s="376"/>
      <c r="AY534" s="376"/>
      <c r="AZ534" s="376"/>
      <c r="BA534" s="72"/>
      <c r="BB534" s="376"/>
      <c r="BC534" s="2189"/>
      <c r="BD534" s="72"/>
      <c r="BE534" s="375"/>
      <c r="BF534" s="375"/>
      <c r="BG534" s="375"/>
      <c r="BH534" s="375"/>
      <c r="BI534" s="375"/>
      <c r="BJ534" s="2075"/>
      <c r="BK534" s="375"/>
      <c r="BL534" s="375"/>
      <c r="BM534" s="375"/>
      <c r="BN534" s="375"/>
      <c r="BO534" s="1888"/>
      <c r="BP534" s="375"/>
      <c r="BQ534" s="375"/>
      <c r="BR534" s="376"/>
      <c r="BS534" s="376"/>
      <c r="BT534" s="376"/>
      <c r="BU534" s="376"/>
    </row>
    <row r="535" spans="1:73" s="357" customFormat="1" ht="15" hidden="1" customHeight="1">
      <c r="B535" s="357" t="s">
        <v>382</v>
      </c>
      <c r="C535" s="830">
        <f t="shared" ref="C535:V535" si="3565">+C19</f>
        <v>73.053873572322601</v>
      </c>
      <c r="D535" s="830">
        <f t="shared" si="3565"/>
        <v>91.8</v>
      </c>
      <c r="E535" s="830">
        <f t="shared" si="3565"/>
        <v>119.7</v>
      </c>
      <c r="F535" s="830">
        <f t="shared" si="3565"/>
        <v>187.5</v>
      </c>
      <c r="G535" s="830">
        <f t="shared" si="3565"/>
        <v>143.51321065348512</v>
      </c>
      <c r="H535" s="830">
        <f t="shared" si="3565"/>
        <v>139.15890138753508</v>
      </c>
      <c r="I535" s="830">
        <f t="shared" si="3565"/>
        <v>144.9</v>
      </c>
      <c r="J535" s="830">
        <f t="shared" si="3565"/>
        <v>212.29091915035195</v>
      </c>
      <c r="K535" s="830">
        <f t="shared" si="3565"/>
        <v>159.43453876779927</v>
      </c>
      <c r="L535" s="830">
        <f t="shared" si="3565"/>
        <v>167.45169859282123</v>
      </c>
      <c r="M535" s="830">
        <f t="shared" si="3565"/>
        <v>176.69237617170734</v>
      </c>
      <c r="N535" s="830">
        <f t="shared" si="3565"/>
        <v>276.16211663584869</v>
      </c>
      <c r="O535" s="830">
        <f t="shared" si="3565"/>
        <v>221.99707653545636</v>
      </c>
      <c r="P535" s="830">
        <f t="shared" si="3565"/>
        <v>259.95248870902844</v>
      </c>
      <c r="Q535" s="830">
        <f t="shared" si="3565"/>
        <v>295.12287751354609</v>
      </c>
      <c r="R535" s="830">
        <f t="shared" si="3565"/>
        <v>397.36756034472182</v>
      </c>
      <c r="S535" s="1982">
        <f t="shared" si="3565"/>
        <v>297.79249448123619</v>
      </c>
      <c r="T535" s="830">
        <f t="shared" si="3565"/>
        <v>313.79690949227376</v>
      </c>
      <c r="U535" s="830">
        <f t="shared" si="3565"/>
        <v>331.5</v>
      </c>
      <c r="V535" s="830">
        <f t="shared" si="3565"/>
        <v>501.4</v>
      </c>
      <c r="W535" s="1901">
        <f>+W48</f>
        <v>381.1</v>
      </c>
      <c r="X535" s="810">
        <v>426.9</v>
      </c>
      <c r="Y535" s="810">
        <v>552.20000000000005</v>
      </c>
      <c r="Z535" s="810">
        <v>818.2</v>
      </c>
      <c r="AA535" s="810">
        <v>654.9</v>
      </c>
      <c r="AB535" s="810">
        <v>628</v>
      </c>
      <c r="AC535" s="810">
        <v>618.4</v>
      </c>
      <c r="AD535" s="810">
        <v>1017.7</v>
      </c>
      <c r="AE535" s="810">
        <v>721.2</v>
      </c>
      <c r="AF535" s="810">
        <v>666.9</v>
      </c>
      <c r="AG535" s="810">
        <v>676.4</v>
      </c>
      <c r="AH535" s="810">
        <v>976.6</v>
      </c>
      <c r="AI535" s="810">
        <v>785</v>
      </c>
      <c r="AJ535" s="810">
        <v>758.93</v>
      </c>
      <c r="AK535" s="810">
        <f t="shared" ref="AK535:AL535" si="3566">+AK532*AK510</f>
        <v>697.30336866798677</v>
      </c>
      <c r="AL535" s="382">
        <f t="shared" si="3566"/>
        <v>995.53842053821279</v>
      </c>
      <c r="AM535" s="2426">
        <f t="shared" ref="AM535:AP535" si="3567">+AM532*AM510</f>
        <v>804.72465838760525</v>
      </c>
      <c r="AN535" s="382">
        <f t="shared" si="3567"/>
        <v>837.60966479716546</v>
      </c>
      <c r="AO535" s="382">
        <f t="shared" si="3567"/>
        <v>837.9712819667667</v>
      </c>
      <c r="AP535" s="382">
        <f t="shared" si="3567"/>
        <v>1240.6413571991309</v>
      </c>
      <c r="AQ535" s="382">
        <f t="shared" ref="AQ535:AT535" si="3568">+AQ532*AQ510</f>
        <v>1006.3173836027789</v>
      </c>
      <c r="AR535" s="382">
        <f t="shared" si="3568"/>
        <v>971.88369578007598</v>
      </c>
      <c r="AS535" s="382">
        <f t="shared" si="3568"/>
        <v>871.43516120093398</v>
      </c>
      <c r="AT535" s="382">
        <f t="shared" si="3568"/>
        <v>1214.6465802811651</v>
      </c>
      <c r="AU535" s="382">
        <f t="shared" ref="AU535:AX535" si="3569">+AU532*AU510</f>
        <v>964.9916635888369</v>
      </c>
      <c r="AV535" s="382">
        <f t="shared" si="3569"/>
        <v>966.18628778169705</v>
      </c>
      <c r="AW535" s="382">
        <f t="shared" si="3569"/>
        <v>899.83812909831295</v>
      </c>
      <c r="AX535" s="382">
        <f t="shared" si="3569"/>
        <v>1271.1408145137386</v>
      </c>
      <c r="AY535" s="382"/>
      <c r="AZ535" s="382"/>
      <c r="BA535" s="85"/>
      <c r="BB535" s="382">
        <v>1214.6465802811651</v>
      </c>
      <c r="BC535" s="2197"/>
      <c r="BD535" s="85"/>
      <c r="BE535" s="378">
        <f>+SUM(C535:F535)</f>
        <v>472.05387357232257</v>
      </c>
      <c r="BF535" s="378">
        <f>+SUM(G535:J535)</f>
        <v>639.8630311913721</v>
      </c>
      <c r="BG535" s="378">
        <f>+SUM(K535:N535)</f>
        <v>779.74073016817647</v>
      </c>
      <c r="BH535" s="378">
        <f>+SUM(O535:R535)</f>
        <v>1174.4400031027526</v>
      </c>
      <c r="BI535" s="378"/>
      <c r="BJ535" s="2084">
        <f>+SUM(S535:V535)</f>
        <v>1444.48940397351</v>
      </c>
      <c r="BK535" s="378">
        <f>+SUM(W535:Z535)</f>
        <v>2178.4</v>
      </c>
      <c r="BL535" s="378">
        <f>+SUM(AA535:AD535)</f>
        <v>2919</v>
      </c>
      <c r="BM535" s="378">
        <f>+SUM(AE535:AH535)</f>
        <v>3041.1</v>
      </c>
      <c r="BN535" s="378">
        <f>+SUM(AI535:AL535)</f>
        <v>3236.7717892061996</v>
      </c>
      <c r="BO535" s="1900">
        <f>+SUM(AM535:AP535)</f>
        <v>3720.9469623506684</v>
      </c>
      <c r="BP535" s="378">
        <f>+SUM(AQ535:AT535)</f>
        <v>4064.2828208649544</v>
      </c>
      <c r="BQ535" s="378">
        <f>+SUM(AU535:AX535)</f>
        <v>4102.1568949825851</v>
      </c>
      <c r="BR535" s="382">
        <f t="shared" ref="BR535" si="3570">+BR532*BR510</f>
        <v>4626.7401480942344</v>
      </c>
      <c r="BS535" s="382">
        <f t="shared" ref="BS535:BU535" si="3571">+BS532*BS510</f>
        <v>5216.4148101703322</v>
      </c>
      <c r="BT535" s="382">
        <f t="shared" si="3571"/>
        <v>5867.022449415198</v>
      </c>
      <c r="BU535" s="382">
        <f t="shared" si="3571"/>
        <v>6591.3783334927366</v>
      </c>
    </row>
    <row r="536" spans="1:73" s="357" customFormat="1" ht="15" hidden="1" customHeight="1">
      <c r="B536" s="357" t="s">
        <v>108</v>
      </c>
      <c r="G536" s="375">
        <f t="shared" ref="G536:S536" si="3572">+G535/C535-1</f>
        <v>0.96448461437720323</v>
      </c>
      <c r="H536" s="375">
        <f t="shared" si="3572"/>
        <v>0.51589217197750648</v>
      </c>
      <c r="I536" s="375">
        <f t="shared" si="3572"/>
        <v>0.21052631578947367</v>
      </c>
      <c r="J536" s="375">
        <f t="shared" si="3572"/>
        <v>0.13221823546854372</v>
      </c>
      <c r="K536" s="375">
        <f t="shared" si="3572"/>
        <v>0.11093980855014407</v>
      </c>
      <c r="L536" s="375">
        <f t="shared" si="3572"/>
        <v>0.20331288134055669</v>
      </c>
      <c r="M536" s="375">
        <f t="shared" si="3572"/>
        <v>0.21940908331060949</v>
      </c>
      <c r="N536" s="375">
        <f t="shared" si="3572"/>
        <v>0.30086636649898768</v>
      </c>
      <c r="O536" s="375">
        <f t="shared" si="3572"/>
        <v>0.3924026641352365</v>
      </c>
      <c r="P536" s="375">
        <f t="shared" si="3572"/>
        <v>0.5524028176097151</v>
      </c>
      <c r="Q536" s="375">
        <f t="shared" si="3572"/>
        <v>0.67026378787701368</v>
      </c>
      <c r="R536" s="375">
        <f t="shared" si="3572"/>
        <v>0.43889236215804495</v>
      </c>
      <c r="S536" s="1888">
        <f t="shared" si="3572"/>
        <v>0.34142529770509888</v>
      </c>
      <c r="T536" s="375">
        <f t="shared" ref="T536:AD536" si="3573">+T535/P535-1</f>
        <v>0.20713177646671732</v>
      </c>
      <c r="U536" s="375">
        <f t="shared" si="3573"/>
        <v>0.12326093725073628</v>
      </c>
      <c r="V536" s="375">
        <f t="shared" si="3573"/>
        <v>0.26180405759601655</v>
      </c>
      <c r="W536" s="1888">
        <f t="shared" si="3573"/>
        <v>0.27975018532246132</v>
      </c>
      <c r="X536" s="375">
        <f t="shared" si="3573"/>
        <v>0.36043404854027417</v>
      </c>
      <c r="Y536" s="375">
        <f t="shared" si="3573"/>
        <v>0.66576168929110113</v>
      </c>
      <c r="Z536" s="375">
        <f t="shared" si="3573"/>
        <v>0.63183087355404877</v>
      </c>
      <c r="AA536" s="375">
        <f t="shared" si="3573"/>
        <v>0.71844660194174748</v>
      </c>
      <c r="AB536" s="375">
        <f t="shared" si="3573"/>
        <v>0.47107050831576491</v>
      </c>
      <c r="AC536" s="375">
        <f t="shared" si="3573"/>
        <v>0.11988409996378113</v>
      </c>
      <c r="AD536" s="375">
        <f t="shared" si="3573"/>
        <v>0.2438279149352236</v>
      </c>
      <c r="AE536" s="375">
        <f t="shared" ref="AE536" si="3574">+AE535/AA535-1</f>
        <v>0.10123683005038941</v>
      </c>
      <c r="AF536" s="375">
        <f t="shared" ref="AF536" si="3575">+AF535/AB535-1</f>
        <v>6.1942675159235572E-2</v>
      </c>
      <c r="AG536" s="375">
        <f t="shared" ref="AG536" si="3576">+AG535/AC535-1</f>
        <v>9.3790426908149982E-2</v>
      </c>
      <c r="AH536" s="375">
        <f t="shared" ref="AH536" si="3577">+AH535/AD535-1</f>
        <v>-4.0385182273754539E-2</v>
      </c>
      <c r="AI536" s="375">
        <f t="shared" ref="AI536" si="3578">+AI535/AE535-1</f>
        <v>8.8463671658347121E-2</v>
      </c>
      <c r="AJ536" s="375">
        <f t="shared" ref="AJ536" si="3579">+AJ535/AF535-1</f>
        <v>0.13799670115459595</v>
      </c>
      <c r="AK536" s="375">
        <f t="shared" ref="AK536" si="3580">+AK535/AG535-1</f>
        <v>3.0903856694244336E-2</v>
      </c>
      <c r="AL536" s="375">
        <f t="shared" ref="AL536" si="3581">+AL535/AH535-1</f>
        <v>1.9392197970727887E-2</v>
      </c>
      <c r="AM536" s="1888">
        <f t="shared" ref="AM536" si="3582">+AM535/AI535-1</f>
        <v>2.5126953360006699E-2</v>
      </c>
      <c r="AN536" s="375">
        <f t="shared" ref="AN536" si="3583">+AN535/AJ535-1</f>
        <v>0.10367183376222511</v>
      </c>
      <c r="AO536" s="375">
        <f t="shared" ref="AO536" si="3584">+AO535/AK535-1</f>
        <v>0.20173129748030427</v>
      </c>
      <c r="AP536" s="375">
        <f t="shared" ref="AP536" si="3585">+AP535/AL535-1</f>
        <v>0.24620138369788824</v>
      </c>
      <c r="AQ536" s="375">
        <f t="shared" ref="AQ536" si="3586">+AQ535/AM535-1</f>
        <v>0.25051143035569079</v>
      </c>
      <c r="AR536" s="375">
        <f t="shared" ref="AR536" si="3587">+AR535/AN535-1</f>
        <v>0.16030621019090807</v>
      </c>
      <c r="AS536" s="375">
        <f t="shared" ref="AS536" si="3588">+AS535/AO535-1</f>
        <v>3.9934398653406866E-2</v>
      </c>
      <c r="AT536" s="375">
        <f t="shared" ref="AT536" si="3589">+AT535/AP535-1</f>
        <v>-2.0952692546580498E-2</v>
      </c>
      <c r="AU536" s="375">
        <f t="shared" ref="AU536" si="3590">+AU535/AQ535-1</f>
        <v>-4.10662885162425E-2</v>
      </c>
      <c r="AV536" s="375">
        <f t="shared" ref="AV536" si="3591">+AV535/AR535-1</f>
        <v>-5.8622323052821557E-3</v>
      </c>
      <c r="AW536" s="375">
        <f t="shared" ref="AW536" si="3592">+AW535/AS535-1</f>
        <v>3.2593323246489891E-2</v>
      </c>
      <c r="AX536" s="375">
        <f t="shared" ref="AX536" si="3593">+AX535/AT535-1</f>
        <v>4.6510841218929899E-2</v>
      </c>
      <c r="AY536" s="375"/>
      <c r="AZ536" s="375"/>
      <c r="BA536" s="85"/>
      <c r="BB536" s="375">
        <v>-2.0952692546580498E-2</v>
      </c>
      <c r="BC536" s="2197"/>
      <c r="BD536" s="85"/>
      <c r="BG536" s="375">
        <f t="shared" ref="BG536:BR536" si="3594">+BG535/BF535-1</f>
        <v>0.21860568927753743</v>
      </c>
      <c r="BH536" s="375">
        <f t="shared" si="3594"/>
        <v>0.50619296602531771</v>
      </c>
      <c r="BI536" s="375"/>
      <c r="BJ536" s="2075">
        <f>+BJ535/BH535-1</f>
        <v>0.22993886461404078</v>
      </c>
      <c r="BK536" s="375">
        <f>+BK535/BJ535-1</f>
        <v>0.50807613680491159</v>
      </c>
      <c r="BL536" s="375">
        <f t="shared" si="3594"/>
        <v>0.33997429305912585</v>
      </c>
      <c r="BM536" s="375">
        <f t="shared" si="3594"/>
        <v>4.1829393627954792E-2</v>
      </c>
      <c r="BN536" s="375">
        <f t="shared" si="3594"/>
        <v>6.4342438330275087E-2</v>
      </c>
      <c r="BO536" s="1888">
        <f t="shared" si="3594"/>
        <v>0.14958582336853898</v>
      </c>
      <c r="BP536" s="375">
        <f t="shared" si="3594"/>
        <v>9.2271097112705647E-2</v>
      </c>
      <c r="BQ536" s="375">
        <f t="shared" si="3594"/>
        <v>9.3187594926207318E-3</v>
      </c>
      <c r="BR536" s="375">
        <f t="shared" si="3594"/>
        <v>0.12787986089787928</v>
      </c>
      <c r="BS536" s="375">
        <f t="shared" ref="BS536" si="3595">+BS535/BR535-1</f>
        <v>0.12744927166894948</v>
      </c>
      <c r="BT536" s="375">
        <f t="shared" ref="BT536" si="3596">+BT535/BS535-1</f>
        <v>0.12472314087759862</v>
      </c>
      <c r="BU536" s="375">
        <f t="shared" ref="BU536" si="3597">+BU535/BT535-1</f>
        <v>0.12346226562500018</v>
      </c>
    </row>
    <row r="537" spans="1:73" s="357" customFormat="1" ht="15" hidden="1" customHeight="1">
      <c r="G537" s="411"/>
      <c r="H537" s="411"/>
      <c r="I537" s="411"/>
      <c r="J537" s="411"/>
      <c r="K537" s="411"/>
      <c r="L537" s="411"/>
      <c r="M537" s="411"/>
      <c r="N537" s="411"/>
      <c r="O537" s="411"/>
      <c r="P537" s="411"/>
      <c r="Q537" s="411"/>
      <c r="R537" s="411"/>
      <c r="S537" s="1983"/>
      <c r="T537" s="411"/>
      <c r="U537" s="411"/>
      <c r="W537" s="1890"/>
      <c r="AM537" s="1890"/>
      <c r="BA537" s="85"/>
      <c r="BC537" s="2197"/>
      <c r="BD537" s="85"/>
      <c r="BJ537" s="2076"/>
      <c r="BO537" s="1890"/>
    </row>
    <row r="538" spans="1:73" s="357" customFormat="1" ht="15" hidden="1" customHeight="1">
      <c r="B538" s="360" t="s">
        <v>192</v>
      </c>
      <c r="C538" s="500">
        <f>+C541-C535</f>
        <v>-6.8538735723226125</v>
      </c>
      <c r="D538" s="500">
        <f t="shared" ref="D538:T538" si="3598">+D541-D535</f>
        <v>-7.2999999999999972</v>
      </c>
      <c r="E538" s="500">
        <f t="shared" si="3598"/>
        <v>-10.200000000000003</v>
      </c>
      <c r="F538" s="500">
        <f t="shared" si="3598"/>
        <v>-16.099999999999994</v>
      </c>
      <c r="G538" s="500">
        <f t="shared" si="3598"/>
        <v>-13.513210653485118</v>
      </c>
      <c r="H538" s="500">
        <f t="shared" si="3598"/>
        <v>-13.058901387535087</v>
      </c>
      <c r="I538" s="500">
        <f t="shared" si="3598"/>
        <v>-13.599999999999994</v>
      </c>
      <c r="J538" s="500">
        <f t="shared" si="3598"/>
        <v>-19.990919150351942</v>
      </c>
      <c r="K538" s="500">
        <f t="shared" si="3598"/>
        <v>-14.986846644173141</v>
      </c>
      <c r="L538" s="500">
        <f t="shared" si="3598"/>
        <v>-15.74045966772519</v>
      </c>
      <c r="M538" s="500">
        <f t="shared" si="3598"/>
        <v>-16.609083360140488</v>
      </c>
      <c r="N538" s="500">
        <f t="shared" si="3598"/>
        <v>-25.959238963769792</v>
      </c>
      <c r="O538" s="500">
        <f t="shared" si="3598"/>
        <v>-20.867725194332905</v>
      </c>
      <c r="P538" s="500">
        <f t="shared" si="3598"/>
        <v>-24.435533938648661</v>
      </c>
      <c r="Q538" s="500">
        <f t="shared" si="3598"/>
        <v>-27.722877513546109</v>
      </c>
      <c r="R538" s="500">
        <f t="shared" si="3598"/>
        <v>-37.367560344721824</v>
      </c>
      <c r="S538" s="1902">
        <f t="shared" si="3598"/>
        <v>-27.992494481236179</v>
      </c>
      <c r="T538" s="500">
        <f t="shared" si="3598"/>
        <v>-29.496909492273744</v>
      </c>
      <c r="U538" s="500">
        <f t="shared" ref="U538:Z538" si="3599">+U541-U535</f>
        <v>-35.199999999999989</v>
      </c>
      <c r="V538" s="500">
        <f t="shared" si="3599"/>
        <v>-48.699999999999989</v>
      </c>
      <c r="W538" s="1902">
        <f t="shared" si="3599"/>
        <v>-40.200000000000045</v>
      </c>
      <c r="X538" s="500">
        <f t="shared" si="3599"/>
        <v>-44.699999999999989</v>
      </c>
      <c r="Y538" s="500">
        <f t="shared" si="3599"/>
        <v>-58.200000000000045</v>
      </c>
      <c r="Z538" s="500">
        <f t="shared" si="3599"/>
        <v>-85.900000000000091</v>
      </c>
      <c r="AA538" s="500">
        <f t="shared" ref="AA538:AB538" si="3600">+AA541-AA535</f>
        <v>-69</v>
      </c>
      <c r="AB538" s="500">
        <f t="shared" si="3600"/>
        <v>-66.100000000000023</v>
      </c>
      <c r="AC538" s="500">
        <f t="shared" ref="AC538:AD538" si="3601">+AC541-AC535</f>
        <v>-65</v>
      </c>
      <c r="AD538" s="500">
        <f t="shared" si="3601"/>
        <v>-118.80000000000007</v>
      </c>
      <c r="AE538" s="500">
        <f t="shared" ref="AE538:AF538" si="3602">+AE541-AE535</f>
        <v>-78.800000000000068</v>
      </c>
      <c r="AF538" s="500">
        <f t="shared" si="3602"/>
        <v>-72.699999999999932</v>
      </c>
      <c r="AG538" s="500">
        <f t="shared" ref="AG538:AH538" si="3603">+AG541-AG535</f>
        <v>-73.799999999999955</v>
      </c>
      <c r="AH538" s="500">
        <f t="shared" si="3603"/>
        <v>-97</v>
      </c>
      <c r="AI538" s="500">
        <f t="shared" ref="AI538:AJ538" si="3604">+AI541-AI535</f>
        <v>-83.700000000000045</v>
      </c>
      <c r="AJ538" s="500">
        <f t="shared" si="3604"/>
        <v>-80.439999999999941</v>
      </c>
      <c r="AK538" s="500">
        <f t="shared" ref="AK538:AL538" si="3605">+AK539*AK535</f>
        <v>-73.908111387944629</v>
      </c>
      <c r="AL538" s="501">
        <f t="shared" si="3605"/>
        <v>-105.51844115806963</v>
      </c>
      <c r="AM538" s="2427">
        <f t="shared" ref="AM538:AP538" si="3606">+AM539*AM535</f>
        <v>-85.293836744757655</v>
      </c>
      <c r="AN538" s="501">
        <f t="shared" si="3606"/>
        <v>-88.779362307833324</v>
      </c>
      <c r="AO538" s="501">
        <f t="shared" si="3606"/>
        <v>-88.817690592553561</v>
      </c>
      <c r="AP538" s="501">
        <f t="shared" si="3606"/>
        <v>-131.49722737683058</v>
      </c>
      <c r="AQ538" s="501">
        <f t="shared" ref="AQ538:AT538" si="3607">+AQ539*AQ535</f>
        <v>-106.66091778821168</v>
      </c>
      <c r="AR538" s="501">
        <f t="shared" si="3607"/>
        <v>-103.01124542256764</v>
      </c>
      <c r="AS538" s="501">
        <f t="shared" si="3607"/>
        <v>-92.364571656151526</v>
      </c>
      <c r="AT538" s="501">
        <f t="shared" si="3607"/>
        <v>-128.74200640087605</v>
      </c>
      <c r="AU538" s="501">
        <f t="shared" ref="AU538:AX538" si="3608">+AU539*AU535</f>
        <v>-102.28074976491375</v>
      </c>
      <c r="AV538" s="501">
        <f t="shared" si="3608"/>
        <v>-102.40736957184411</v>
      </c>
      <c r="AW538" s="501">
        <f t="shared" si="3608"/>
        <v>-95.375039996664043</v>
      </c>
      <c r="AX538" s="501">
        <f t="shared" si="3608"/>
        <v>-134.72990541879366</v>
      </c>
      <c r="AY538" s="501"/>
      <c r="AZ538" s="501"/>
      <c r="BA538" s="85"/>
      <c r="BB538" s="501">
        <v>-128.74200640087605</v>
      </c>
      <c r="BC538" s="2197"/>
      <c r="BD538" s="85"/>
      <c r="BE538" s="500">
        <f>+SUM(C538:F538)</f>
        <v>-40.453873572322607</v>
      </c>
      <c r="BF538" s="500">
        <f>+SUM(G538:J538)</f>
        <v>-60.163031191372141</v>
      </c>
      <c r="BG538" s="500">
        <f>+SUM(K538:N538)</f>
        <v>-73.295628635808612</v>
      </c>
      <c r="BH538" s="500">
        <f>+SUM(O538:R538)</f>
        <v>-110.3936969912495</v>
      </c>
      <c r="BI538" s="500"/>
      <c r="BJ538" s="2085">
        <f>+SUM(S538:V538)</f>
        <v>-141.3894039735099</v>
      </c>
      <c r="BK538" s="500">
        <f>+SUM(W538:Z538)</f>
        <v>-229.00000000000017</v>
      </c>
      <c r="BL538" s="500">
        <f>+SUM(AA538:AD538)</f>
        <v>-318.90000000000009</v>
      </c>
      <c r="BM538" s="500">
        <f>+SUM(AE538:AH538)</f>
        <v>-322.29999999999995</v>
      </c>
      <c r="BN538" s="500">
        <f>+SUM(AI538:AL538)</f>
        <v>-343.56655254601424</v>
      </c>
      <c r="BO538" s="1902">
        <f>+SUM(AM538:AP538)</f>
        <v>-394.38811702197506</v>
      </c>
      <c r="BP538" s="500">
        <f>+SUM(AQ538:AT538)</f>
        <v>-430.77874126780688</v>
      </c>
      <c r="BQ538" s="500">
        <f>+SUM(AU538:AX538)</f>
        <v>-434.79306475221563</v>
      </c>
      <c r="BR538" s="501">
        <f t="shared" ref="BR538" si="3609">+BR539*BR535</f>
        <v>-490.39434139209158</v>
      </c>
      <c r="BS538" s="501">
        <f t="shared" ref="BS538:BU538" si="3610">+BS539*BS535</f>
        <v>-552.89474303308782</v>
      </c>
      <c r="BT538" s="501">
        <f t="shared" si="3610"/>
        <v>-621.85351195888734</v>
      </c>
      <c r="BU538" s="501">
        <f t="shared" si="3610"/>
        <v>-698.62895543219474</v>
      </c>
    </row>
    <row r="539" spans="1:73" s="357" customFormat="1" ht="15" hidden="1" customHeight="1">
      <c r="B539" s="360"/>
      <c r="C539" s="375">
        <f>+C538/C535</f>
        <v>-9.3819440875196669E-2</v>
      </c>
      <c r="D539" s="375">
        <f t="shared" ref="D539:T539" si="3611">+D538/D535</f>
        <v>-7.9520697167755963E-2</v>
      </c>
      <c r="E539" s="375">
        <f t="shared" si="3611"/>
        <v>-8.5213032581453657E-2</v>
      </c>
      <c r="F539" s="375">
        <f t="shared" si="3611"/>
        <v>-8.5866666666666633E-2</v>
      </c>
      <c r="G539" s="375">
        <f t="shared" si="3611"/>
        <v>-9.4160046952840984E-2</v>
      </c>
      <c r="H539" s="375">
        <f t="shared" si="3611"/>
        <v>-9.3841653371264794E-2</v>
      </c>
      <c r="I539" s="375">
        <f t="shared" si="3611"/>
        <v>-9.3857832988267734E-2</v>
      </c>
      <c r="J539" s="375">
        <f t="shared" si="3611"/>
        <v>-9.4167566047390211E-2</v>
      </c>
      <c r="K539" s="375">
        <f t="shared" si="3611"/>
        <v>-9.400000000000007E-2</v>
      </c>
      <c r="L539" s="375">
        <f t="shared" si="3611"/>
        <v>-9.3999999999999972E-2</v>
      </c>
      <c r="M539" s="375">
        <f t="shared" si="3611"/>
        <v>-9.3999999999999986E-2</v>
      </c>
      <c r="N539" s="375">
        <f t="shared" si="3611"/>
        <v>-9.4000000000000056E-2</v>
      </c>
      <c r="O539" s="375">
        <f t="shared" si="3611"/>
        <v>-9.4000000000000028E-2</v>
      </c>
      <c r="P539" s="375">
        <f t="shared" si="3611"/>
        <v>-9.3999999999999945E-2</v>
      </c>
      <c r="Q539" s="375">
        <f t="shared" si="3611"/>
        <v>-9.3936728142241813E-2</v>
      </c>
      <c r="R539" s="375">
        <f t="shared" si="3611"/>
        <v>-9.4037772767120067E-2</v>
      </c>
      <c r="S539" s="1888">
        <f t="shared" si="3611"/>
        <v>-9.3999999999999917E-2</v>
      </c>
      <c r="T539" s="375">
        <f t="shared" si="3611"/>
        <v>-9.4000000000000042E-2</v>
      </c>
      <c r="U539" s="375">
        <f t="shared" ref="U539:Z539" si="3612">+U538/U535</f>
        <v>-0.10618401206636498</v>
      </c>
      <c r="V539" s="375">
        <f t="shared" si="3612"/>
        <v>-9.7128041483845212E-2</v>
      </c>
      <c r="W539" s="1888">
        <f t="shared" si="3612"/>
        <v>-0.10548412490160074</v>
      </c>
      <c r="X539" s="375">
        <f t="shared" si="3612"/>
        <v>-0.10470836261419535</v>
      </c>
      <c r="Y539" s="375">
        <f t="shared" si="3612"/>
        <v>-0.10539659543643615</v>
      </c>
      <c r="Z539" s="375">
        <f t="shared" si="3612"/>
        <v>-0.10498655585431445</v>
      </c>
      <c r="AA539" s="375">
        <f t="shared" ref="AA539:AB539" si="3613">+AA538/AA535</f>
        <v>-0.10535959688502061</v>
      </c>
      <c r="AB539" s="375">
        <f t="shared" si="3613"/>
        <v>-0.10525477707006373</v>
      </c>
      <c r="AC539" s="375">
        <f t="shared" ref="AC539:AD539" si="3614">+AC538/AC535</f>
        <v>-0.10510996119016817</v>
      </c>
      <c r="AD539" s="375">
        <f t="shared" si="3614"/>
        <v>-0.11673381153581612</v>
      </c>
      <c r="AE539" s="375">
        <f t="shared" ref="AE539:AF539" si="3615">+AE538/AE535</f>
        <v>-0.10926234054353863</v>
      </c>
      <c r="AF539" s="375">
        <f t="shared" si="3615"/>
        <v>-0.10901184585395102</v>
      </c>
      <c r="AG539" s="375">
        <f t="shared" ref="AG539:AH539" si="3616">+AG538/AG535</f>
        <v>-0.10910703725606144</v>
      </c>
      <c r="AH539" s="375">
        <f t="shared" si="3616"/>
        <v>-9.9324185951259469E-2</v>
      </c>
      <c r="AI539" s="375">
        <f t="shared" ref="AI539:AJ539" si="3617">+AI538/AI535</f>
        <v>-0.1066242038216561</v>
      </c>
      <c r="AJ539" s="375">
        <f t="shared" si="3617"/>
        <v>-0.10599132989867306</v>
      </c>
      <c r="AK539" s="375">
        <f t="shared" ref="AK539" si="3618">+AJ539</f>
        <v>-0.10599132989867306</v>
      </c>
      <c r="AL539" s="494">
        <f t="shared" ref="AL539" si="3619">+AK539</f>
        <v>-0.10599132989867306</v>
      </c>
      <c r="AM539" s="2428">
        <f t="shared" ref="AM539" si="3620">+AL539</f>
        <v>-0.10599132989867306</v>
      </c>
      <c r="AN539" s="494">
        <f t="shared" ref="AN539" si="3621">+AM539</f>
        <v>-0.10599132989867306</v>
      </c>
      <c r="AO539" s="494">
        <f t="shared" ref="AO539" si="3622">+AN539</f>
        <v>-0.10599132989867306</v>
      </c>
      <c r="AP539" s="494">
        <f t="shared" ref="AP539" si="3623">+AO539</f>
        <v>-0.10599132989867306</v>
      </c>
      <c r="AQ539" s="494">
        <f t="shared" ref="AQ539" si="3624">+AP539</f>
        <v>-0.10599132989867306</v>
      </c>
      <c r="AR539" s="494">
        <f t="shared" ref="AR539" si="3625">+AQ539</f>
        <v>-0.10599132989867306</v>
      </c>
      <c r="AS539" s="494">
        <f t="shared" ref="AS539" si="3626">+AR539</f>
        <v>-0.10599132989867306</v>
      </c>
      <c r="AT539" s="494">
        <f t="shared" ref="AT539" si="3627">+AS539</f>
        <v>-0.10599132989867306</v>
      </c>
      <c r="AU539" s="494">
        <f t="shared" ref="AU539" si="3628">+AT539</f>
        <v>-0.10599132989867306</v>
      </c>
      <c r="AV539" s="494">
        <f t="shared" ref="AV539" si="3629">+AU539</f>
        <v>-0.10599132989867306</v>
      </c>
      <c r="AW539" s="494">
        <f t="shared" ref="AW539" si="3630">+AV539</f>
        <v>-0.10599132989867306</v>
      </c>
      <c r="AX539" s="494">
        <f t="shared" ref="AX539" si="3631">+AW539</f>
        <v>-0.10599132989867306</v>
      </c>
      <c r="AY539" s="494"/>
      <c r="AZ539" s="494"/>
      <c r="BA539" s="85"/>
      <c r="BB539" s="494">
        <v>-0.10599132989867306</v>
      </c>
      <c r="BC539" s="2197"/>
      <c r="BD539" s="85"/>
      <c r="BE539" s="375">
        <f t="shared" ref="BE539:BL539" si="3632">+BE538/BE535</f>
        <v>-8.5697577834036642E-2</v>
      </c>
      <c r="BF539" s="375">
        <f t="shared" si="3632"/>
        <v>-9.4024858850422333E-2</v>
      </c>
      <c r="BG539" s="375">
        <f t="shared" si="3632"/>
        <v>-9.4000000000000028E-2</v>
      </c>
      <c r="BH539" s="375">
        <f t="shared" si="3632"/>
        <v>-9.3996880810940056E-2</v>
      </c>
      <c r="BI539" s="375"/>
      <c r="BJ539" s="2075">
        <f t="shared" si="3632"/>
        <v>-9.7881925325706845E-2</v>
      </c>
      <c r="BK539" s="375">
        <f t="shared" si="3632"/>
        <v>-0.10512302607418296</v>
      </c>
      <c r="BL539" s="375">
        <f t="shared" si="3632"/>
        <v>-0.10924974306269274</v>
      </c>
      <c r="BM539" s="375">
        <f t="shared" ref="BM539:BN539" si="3633">+BM538/BM535</f>
        <v>-0.1059813883134392</v>
      </c>
      <c r="BN539" s="375">
        <f t="shared" si="3633"/>
        <v>-0.10614481802261136</v>
      </c>
      <c r="BO539" s="1888">
        <f t="shared" ref="BO539:BP539" si="3634">+BO538/BO535</f>
        <v>-0.10599132989867305</v>
      </c>
      <c r="BP539" s="375">
        <f t="shared" si="3634"/>
        <v>-0.10599132989867305</v>
      </c>
      <c r="BQ539" s="375">
        <f t="shared" ref="BQ539" si="3635">+BQ538/BQ535</f>
        <v>-0.10599132989867309</v>
      </c>
      <c r="BR539" s="494">
        <f t="shared" ref="BR539" si="3636">+BQ539</f>
        <v>-0.10599132989867309</v>
      </c>
      <c r="BS539" s="494">
        <f t="shared" ref="BS539" si="3637">+BR539</f>
        <v>-0.10599132989867309</v>
      </c>
      <c r="BT539" s="494">
        <f t="shared" ref="BT539" si="3638">+BS539</f>
        <v>-0.10599132989867309</v>
      </c>
      <c r="BU539" s="494">
        <f t="shared" ref="BU539" si="3639">+BT539</f>
        <v>-0.10599132989867309</v>
      </c>
    </row>
    <row r="540" spans="1:73" s="357" customFormat="1" ht="15" hidden="1" customHeight="1">
      <c r="G540" s="411"/>
      <c r="H540" s="411"/>
      <c r="I540" s="411"/>
      <c r="J540" s="411"/>
      <c r="K540" s="411"/>
      <c r="L540" s="411"/>
      <c r="M540" s="411"/>
      <c r="N540" s="411"/>
      <c r="O540" s="411"/>
      <c r="P540" s="411"/>
      <c r="Q540" s="411"/>
      <c r="R540" s="411"/>
      <c r="S540" s="1983"/>
      <c r="T540" s="411"/>
      <c r="U540" s="359"/>
      <c r="W540" s="1890"/>
      <c r="AM540" s="1890"/>
      <c r="BA540" s="85"/>
      <c r="BC540" s="2197"/>
      <c r="BD540" s="85"/>
      <c r="BE540" s="411"/>
      <c r="BF540" s="411"/>
      <c r="BG540" s="411"/>
      <c r="BH540" s="411"/>
      <c r="BI540" s="411"/>
      <c r="BJ540" s="2086"/>
      <c r="BK540" s="411"/>
      <c r="BL540" s="411"/>
      <c r="BM540" s="411"/>
      <c r="BN540" s="1259"/>
      <c r="BO540" s="2488"/>
      <c r="BP540" s="1259"/>
      <c r="BQ540" s="1259"/>
      <c r="BR540" s="359"/>
      <c r="BS540" s="359"/>
      <c r="BT540" s="359"/>
      <c r="BU540" s="359"/>
    </row>
    <row r="541" spans="1:73" s="503" customFormat="1" ht="15" hidden="1" customHeight="1">
      <c r="A541" s="502"/>
      <c r="B541" s="503" t="s">
        <v>14</v>
      </c>
      <c r="C541" s="811">
        <v>66.199999999999989</v>
      </c>
      <c r="D541" s="811">
        <v>84.5</v>
      </c>
      <c r="E541" s="811">
        <v>109.5</v>
      </c>
      <c r="F541" s="811">
        <v>171.4</v>
      </c>
      <c r="G541" s="811">
        <v>130</v>
      </c>
      <c r="H541" s="811">
        <v>126.1</v>
      </c>
      <c r="I541" s="811">
        <v>131.30000000000001</v>
      </c>
      <c r="J541" s="811">
        <v>192.3</v>
      </c>
      <c r="K541" s="811">
        <v>144.44769212362613</v>
      </c>
      <c r="L541" s="811">
        <v>151.71123892509604</v>
      </c>
      <c r="M541" s="811">
        <v>160.08329281156685</v>
      </c>
      <c r="N541" s="811">
        <v>250.2028776720789</v>
      </c>
      <c r="O541" s="811">
        <v>201.12935134112345</v>
      </c>
      <c r="P541" s="811">
        <v>235.51695477037978</v>
      </c>
      <c r="Q541" s="811">
        <v>267.39999999999998</v>
      </c>
      <c r="R541" s="811">
        <v>360</v>
      </c>
      <c r="S541" s="1984">
        <v>269.8</v>
      </c>
      <c r="T541" s="811">
        <v>284.3</v>
      </c>
      <c r="U541" s="811">
        <v>296.3</v>
      </c>
      <c r="V541" s="811">
        <v>452.7</v>
      </c>
      <c r="W541" s="1903">
        <v>340.9</v>
      </c>
      <c r="X541" s="918">
        <v>382.2</v>
      </c>
      <c r="Y541" s="918">
        <v>494</v>
      </c>
      <c r="Z541" s="918">
        <v>732.3</v>
      </c>
      <c r="AA541" s="918">
        <v>585.9</v>
      </c>
      <c r="AB541" s="918">
        <v>561.9</v>
      </c>
      <c r="AC541" s="918">
        <v>553.4</v>
      </c>
      <c r="AD541" s="918">
        <v>898.9</v>
      </c>
      <c r="AE541" s="918">
        <v>642.4</v>
      </c>
      <c r="AF541" s="918">
        <v>594.20000000000005</v>
      </c>
      <c r="AG541" s="918">
        <v>602.6</v>
      </c>
      <c r="AH541" s="918">
        <v>879.6</v>
      </c>
      <c r="AI541" s="918">
        <v>701.3</v>
      </c>
      <c r="AJ541" s="918">
        <v>678.49</v>
      </c>
      <c r="AK541" s="918">
        <f t="shared" ref="AK541:AL541" si="3640">+AK535+AK538</f>
        <v>623.39525728004219</v>
      </c>
      <c r="AL541" s="505">
        <f t="shared" si="3640"/>
        <v>890.01997938014313</v>
      </c>
      <c r="AM541" s="2429">
        <f t="shared" ref="AM541:AP541" si="3641">+AM535+AM538</f>
        <v>719.4308216428476</v>
      </c>
      <c r="AN541" s="505">
        <f t="shared" si="3641"/>
        <v>748.8303024893321</v>
      </c>
      <c r="AO541" s="505">
        <f t="shared" si="3641"/>
        <v>749.15359137421319</v>
      </c>
      <c r="AP541" s="505">
        <f t="shared" si="3641"/>
        <v>1109.1441298223003</v>
      </c>
      <c r="AQ541" s="505">
        <f t="shared" ref="AQ541:AT541" si="3642">+AQ535+AQ538</f>
        <v>899.65646581456724</v>
      </c>
      <c r="AR541" s="505">
        <f t="shared" si="3642"/>
        <v>868.87245035750834</v>
      </c>
      <c r="AS541" s="505">
        <f t="shared" si="3642"/>
        <v>779.07058954478248</v>
      </c>
      <c r="AT541" s="505">
        <f t="shared" si="3642"/>
        <v>1085.904573880289</v>
      </c>
      <c r="AU541" s="505">
        <f t="shared" ref="AU541:AX541" si="3643">+AU535+AU538</f>
        <v>862.71091382392319</v>
      </c>
      <c r="AV541" s="505">
        <f t="shared" si="3643"/>
        <v>863.77891820985292</v>
      </c>
      <c r="AW541" s="505">
        <f t="shared" si="3643"/>
        <v>804.46308910164885</v>
      </c>
      <c r="AX541" s="505">
        <f t="shared" si="3643"/>
        <v>1136.4109090949451</v>
      </c>
      <c r="AY541" s="382"/>
      <c r="AZ541" s="382"/>
      <c r="BA541" s="85"/>
      <c r="BB541" s="505">
        <v>1085.904573880289</v>
      </c>
      <c r="BC541" s="2198">
        <f>+AT541/BB541-1</f>
        <v>0</v>
      </c>
      <c r="BD541" s="85"/>
      <c r="BE541" s="504">
        <f>+SUM(C541:F541)</f>
        <v>431.6</v>
      </c>
      <c r="BF541" s="504">
        <f>+SUM(G541:J541)</f>
        <v>579.70000000000005</v>
      </c>
      <c r="BG541" s="504">
        <f>+SUM(K541:N541)</f>
        <v>706.44510153236786</v>
      </c>
      <c r="BH541" s="378">
        <f>+SUM(O541:R541)</f>
        <v>1064.0463061115033</v>
      </c>
      <c r="BI541" s="378"/>
      <c r="BJ541" s="2084">
        <f>+SUM(S541:V541)</f>
        <v>1303.1000000000001</v>
      </c>
      <c r="BK541" s="504">
        <f>+SUM(W541:Z541)</f>
        <v>1949.3999999999999</v>
      </c>
      <c r="BL541" s="504">
        <f>+SUM(AA541:AD541)</f>
        <v>2600.1</v>
      </c>
      <c r="BM541" s="504">
        <f>+SUM(AE541:AH541)</f>
        <v>2718.7999999999997</v>
      </c>
      <c r="BN541" s="504">
        <f>+SUM(AI541:AL541)</f>
        <v>2893.2052366601852</v>
      </c>
      <c r="BO541" s="2489">
        <f>+SUM(AM541:AP541)</f>
        <v>3326.5588453286932</v>
      </c>
      <c r="BP541" s="504">
        <f>+SUM(AQ541:AT541)</f>
        <v>3633.5040795971472</v>
      </c>
      <c r="BQ541" s="504">
        <f>+SUM(AU541:AX541)</f>
        <v>3667.3638302303698</v>
      </c>
      <c r="BR541" s="505">
        <f t="shared" ref="BR541" si="3644">+BR535+BR538</f>
        <v>4136.3458067021429</v>
      </c>
      <c r="BS541" s="505">
        <f t="shared" ref="BS541:BU541" si="3645">+BS535+BS538</f>
        <v>4663.520067137244</v>
      </c>
      <c r="BT541" s="505">
        <f t="shared" si="3645"/>
        <v>5245.1689374563102</v>
      </c>
      <c r="BU541" s="505">
        <f t="shared" si="3645"/>
        <v>5892.7493780605419</v>
      </c>
    </row>
    <row r="542" spans="1:73" s="360" customFormat="1" ht="15" hidden="1" customHeight="1">
      <c r="B542" s="360" t="s">
        <v>316</v>
      </c>
      <c r="G542" s="375">
        <f t="shared" ref="G542:AD542" si="3646">+G541/C541-1</f>
        <v>0.96374622356495498</v>
      </c>
      <c r="H542" s="375">
        <f t="shared" si="3646"/>
        <v>0.49230769230769234</v>
      </c>
      <c r="I542" s="375">
        <f t="shared" si="3646"/>
        <v>0.19908675799086772</v>
      </c>
      <c r="J542" s="375">
        <f t="shared" si="3646"/>
        <v>0.12193698949824983</v>
      </c>
      <c r="K542" s="375">
        <f t="shared" si="3646"/>
        <v>0.11113609325866247</v>
      </c>
      <c r="L542" s="375">
        <f t="shared" si="3646"/>
        <v>0.20310260844643979</v>
      </c>
      <c r="M542" s="375">
        <f t="shared" si="3646"/>
        <v>0.21921776703402007</v>
      </c>
      <c r="N542" s="375">
        <f t="shared" si="3646"/>
        <v>0.30110700817513725</v>
      </c>
      <c r="O542" s="375">
        <f t="shared" si="3646"/>
        <v>0.39240266413523672</v>
      </c>
      <c r="P542" s="375">
        <f t="shared" si="3646"/>
        <v>0.5524028176097151</v>
      </c>
      <c r="Q542" s="375">
        <f t="shared" si="3646"/>
        <v>0.67038043323331076</v>
      </c>
      <c r="R542" s="375">
        <f t="shared" si="3646"/>
        <v>0.43883237215130477</v>
      </c>
      <c r="S542" s="1888">
        <f t="shared" si="3646"/>
        <v>0.34142529770509911</v>
      </c>
      <c r="T542" s="375">
        <f t="shared" si="3646"/>
        <v>0.2071317764667171</v>
      </c>
      <c r="U542" s="375">
        <f t="shared" si="3646"/>
        <v>0.10807778608825735</v>
      </c>
      <c r="V542" s="375">
        <f t="shared" si="3646"/>
        <v>0.25750000000000006</v>
      </c>
      <c r="W542" s="1888">
        <f t="shared" si="3646"/>
        <v>0.26352853965900658</v>
      </c>
      <c r="X542" s="375">
        <f t="shared" si="3646"/>
        <v>0.34435455504748491</v>
      </c>
      <c r="Y542" s="375">
        <f t="shared" si="3646"/>
        <v>0.66722915963550444</v>
      </c>
      <c r="Z542" s="375">
        <f t="shared" si="3646"/>
        <v>0.61762756792577855</v>
      </c>
      <c r="AA542" s="375">
        <f t="shared" si="3646"/>
        <v>0.7186858316221767</v>
      </c>
      <c r="AB542" s="375">
        <f t="shared" si="3646"/>
        <v>0.47017268445839866</v>
      </c>
      <c r="AC542" s="375">
        <f t="shared" si="3646"/>
        <v>0.12024291497975703</v>
      </c>
      <c r="AD542" s="375">
        <f t="shared" si="3646"/>
        <v>0.22750238973098469</v>
      </c>
      <c r="AE542" s="375">
        <f t="shared" ref="AE542" si="3647">+AE541/AA541-1</f>
        <v>9.6432838368322171E-2</v>
      </c>
      <c r="AF542" s="375">
        <f t="shared" ref="AF542" si="3648">+AF541/AB541-1</f>
        <v>5.7483537996084744E-2</v>
      </c>
      <c r="AG542" s="375">
        <f t="shared" ref="AG542" si="3649">+AG541/AC541-1</f>
        <v>8.8904951210697636E-2</v>
      </c>
      <c r="AH542" s="375">
        <f t="shared" ref="AH542" si="3650">+AH541/AD541-1</f>
        <v>-2.147068639448213E-2</v>
      </c>
      <c r="AI542" s="375">
        <f t="shared" ref="AI542" si="3651">+AI541/AE541-1</f>
        <v>9.16874221668742E-2</v>
      </c>
      <c r="AJ542" s="375">
        <f t="shared" ref="AJ542" si="3652">+AJ541/AF541-1</f>
        <v>0.14185459441265569</v>
      </c>
      <c r="AK542" s="375">
        <f t="shared" ref="AK542" si="3653">+AK541/AG541-1</f>
        <v>3.4509222170663989E-2</v>
      </c>
      <c r="AL542" s="375">
        <f t="shared" ref="AL542" si="3654">+AL541/AH541-1</f>
        <v>1.1846270327584341E-2</v>
      </c>
      <c r="AM542" s="1888">
        <f t="shared" ref="AM542" si="3655">+AM541/AI541-1</f>
        <v>2.5853160762651761E-2</v>
      </c>
      <c r="AN542" s="375">
        <f t="shared" ref="AN542" si="3656">+AN541/AJ541-1</f>
        <v>0.10367183376222511</v>
      </c>
      <c r="AO542" s="375">
        <f t="shared" ref="AO542" si="3657">+AO541/AK541-1</f>
        <v>0.20173129748030427</v>
      </c>
      <c r="AP542" s="375">
        <f t="shared" ref="AP542" si="3658">+AP541/AL541-1</f>
        <v>0.24620138369788824</v>
      </c>
      <c r="AQ542" s="375">
        <f t="shared" ref="AQ542" si="3659">+AQ541/AM541-1</f>
        <v>0.25051143035569079</v>
      </c>
      <c r="AR542" s="375">
        <f t="shared" ref="AR542" si="3660">+AR541/AN541-1</f>
        <v>0.16030621019090829</v>
      </c>
      <c r="AS542" s="375">
        <f t="shared" ref="AS542" si="3661">+AS541/AO541-1</f>
        <v>3.9934398653406866E-2</v>
      </c>
      <c r="AT542" s="375">
        <f t="shared" ref="AT542" si="3662">+AT541/AP541-1</f>
        <v>-2.0952692546580609E-2</v>
      </c>
      <c r="AU542" s="375">
        <f t="shared" ref="AU542" si="3663">+AU541/AQ541-1</f>
        <v>-4.10662885162425E-2</v>
      </c>
      <c r="AV542" s="375">
        <f t="shared" ref="AV542" si="3664">+AV541/AR541-1</f>
        <v>-5.8622323052821557E-3</v>
      </c>
      <c r="AW542" s="375">
        <f t="shared" ref="AW542" si="3665">+AW541/AS541-1</f>
        <v>3.2593323246489669E-2</v>
      </c>
      <c r="AX542" s="375">
        <f t="shared" ref="AX542" si="3666">+AX541/AT541-1</f>
        <v>4.6510841218930121E-2</v>
      </c>
      <c r="AY542" s="375"/>
      <c r="AZ542" s="375"/>
      <c r="BA542" s="72"/>
      <c r="BB542" s="375">
        <v>-2.0952692546580609E-2</v>
      </c>
      <c r="BC542" s="2189"/>
      <c r="BD542" s="72"/>
      <c r="BE542" s="411"/>
      <c r="BF542" s="495">
        <f t="shared" ref="BF542:BQ542" si="3667">+BF541/BE541-1</f>
        <v>0.34314179796107513</v>
      </c>
      <c r="BG542" s="495">
        <f t="shared" si="3667"/>
        <v>0.21863912632804516</v>
      </c>
      <c r="BH542" s="495">
        <f t="shared" si="3667"/>
        <v>0.50619815156684322</v>
      </c>
      <c r="BI542" s="495"/>
      <c r="BJ542" s="2087">
        <f>+BJ541/BH541-1</f>
        <v>0.22466474674594283</v>
      </c>
      <c r="BK542" s="495">
        <f>+BK541/BJ541-1</f>
        <v>0.49597114572941425</v>
      </c>
      <c r="BL542" s="495">
        <f t="shared" si="3667"/>
        <v>0.33379501385041555</v>
      </c>
      <c r="BM542" s="495">
        <f t="shared" si="3667"/>
        <v>4.5652090304219017E-2</v>
      </c>
      <c r="BN542" s="495">
        <f t="shared" si="3667"/>
        <v>6.4147872833671293E-2</v>
      </c>
      <c r="BO542" s="1905">
        <f t="shared" si="3667"/>
        <v>0.14978322421701273</v>
      </c>
      <c r="BP542" s="495">
        <f t="shared" si="3667"/>
        <v>9.2271097112705647E-2</v>
      </c>
      <c r="BQ542" s="495">
        <f t="shared" si="3667"/>
        <v>9.3187594926209538E-3</v>
      </c>
      <c r="BR542" s="495">
        <f t="shared" ref="BR542" si="3668">+BR541/BQ541-1</f>
        <v>0.12787986089787928</v>
      </c>
      <c r="BS542" s="495">
        <f t="shared" ref="BS542" si="3669">+BS541/BR541-1</f>
        <v>0.12744927166894948</v>
      </c>
      <c r="BT542" s="495">
        <f t="shared" ref="BT542" si="3670">+BT541/BS541-1</f>
        <v>0.12472314087759862</v>
      </c>
      <c r="BU542" s="495">
        <f t="shared" ref="BU542" si="3671">+BU541/BT541-1</f>
        <v>0.1234622656250004</v>
      </c>
    </row>
    <row r="543" spans="1:73" s="360" customFormat="1" ht="15" hidden="1" customHeight="1">
      <c r="B543" s="360" t="s">
        <v>331</v>
      </c>
      <c r="G543" s="411"/>
      <c r="H543" s="411"/>
      <c r="I543" s="411"/>
      <c r="J543" s="411"/>
      <c r="K543" s="411"/>
      <c r="L543" s="411"/>
      <c r="M543" s="411"/>
      <c r="N543" s="411"/>
      <c r="O543" s="411"/>
      <c r="P543" s="411"/>
      <c r="Q543" s="411"/>
      <c r="R543" s="411"/>
      <c r="S543" s="1983"/>
      <c r="T543" s="411"/>
      <c r="U543" s="494"/>
      <c r="V543" s="494"/>
      <c r="W543" s="404"/>
      <c r="AM543" s="404"/>
      <c r="BA543" s="72"/>
      <c r="BC543" s="2189"/>
      <c r="BD543" s="72"/>
      <c r="BE543" s="411"/>
      <c r="BF543" s="411"/>
      <c r="BG543" s="411"/>
      <c r="BH543" s="411"/>
      <c r="BI543" s="411"/>
      <c r="BJ543" s="2086"/>
      <c r="BK543" s="411"/>
      <c r="BL543" s="411"/>
      <c r="BM543" s="411"/>
      <c r="BN543" s="411"/>
      <c r="BO543" s="1983"/>
      <c r="BP543" s="411"/>
      <c r="BQ543" s="411"/>
      <c r="BR543" s="494"/>
      <c r="BS543" s="494"/>
      <c r="BT543" s="494"/>
      <c r="BU543" s="494"/>
    </row>
    <row r="544" spans="1:73" s="360" customFormat="1" ht="15" hidden="1" customHeight="1">
      <c r="G544" s="411"/>
      <c r="H544" s="411"/>
      <c r="I544" s="411"/>
      <c r="J544" s="411"/>
      <c r="K544" s="411"/>
      <c r="L544" s="411"/>
      <c r="M544" s="411"/>
      <c r="N544" s="411"/>
      <c r="O544" s="411"/>
      <c r="P544" s="411"/>
      <c r="Q544" s="411"/>
      <c r="R544" s="411"/>
      <c r="S544" s="1983"/>
      <c r="T544" s="411"/>
      <c r="U544" s="494"/>
      <c r="V544" s="494"/>
      <c r="W544" s="404"/>
      <c r="AM544" s="404"/>
      <c r="BA544" s="72"/>
      <c r="BC544" s="2189"/>
      <c r="BD544" s="72"/>
      <c r="BE544" s="411"/>
      <c r="BF544" s="411"/>
      <c r="BG544" s="411"/>
      <c r="BH544" s="411"/>
      <c r="BI544" s="411"/>
      <c r="BJ544" s="2086"/>
      <c r="BK544" s="411"/>
      <c r="BL544" s="411"/>
      <c r="BM544" s="411"/>
      <c r="BN544" s="411"/>
      <c r="BO544" s="1983"/>
      <c r="BP544" s="411"/>
      <c r="BQ544" s="411"/>
      <c r="BR544" s="494"/>
      <c r="BS544" s="494"/>
      <c r="BT544" s="494"/>
      <c r="BU544" s="494"/>
    </row>
    <row r="545" spans="2:73" s="357" customFormat="1" ht="15" hidden="1" customHeight="1">
      <c r="B545" s="357" t="s">
        <v>275</v>
      </c>
      <c r="C545" s="360">
        <f>+C547-C541</f>
        <v>-8.2999999999999829</v>
      </c>
      <c r="D545" s="360">
        <f t="shared" ref="D545:T545" si="3672">+D547-D541</f>
        <v>-9</v>
      </c>
      <c r="E545" s="657">
        <f t="shared" si="3672"/>
        <v>-11.700000000000003</v>
      </c>
      <c r="F545" s="657">
        <f t="shared" si="3672"/>
        <v>-20.700000000000017</v>
      </c>
      <c r="G545" s="657">
        <f t="shared" si="3672"/>
        <v>-14.799999999999997</v>
      </c>
      <c r="H545" s="657">
        <f t="shared" si="3672"/>
        <v>-13.399999999999991</v>
      </c>
      <c r="I545" s="657">
        <f t="shared" si="3672"/>
        <v>-4.2000000000000171</v>
      </c>
      <c r="J545" s="657">
        <f t="shared" si="3672"/>
        <v>-21.100000000000023</v>
      </c>
      <c r="K545" s="657">
        <f t="shared" si="3672"/>
        <v>-15.718393841414098</v>
      </c>
      <c r="L545" s="657">
        <f t="shared" si="3672"/>
        <v>-15.36613351941358</v>
      </c>
      <c r="M545" s="657">
        <f t="shared" si="3672"/>
        <v>-16.615826253702863</v>
      </c>
      <c r="N545" s="657">
        <f t="shared" si="3672"/>
        <v>-32.387489890211015</v>
      </c>
      <c r="O545" s="657">
        <f t="shared" si="3672"/>
        <v>-22.736695469090819</v>
      </c>
      <c r="P545" s="657">
        <f t="shared" si="3672"/>
        <v>-23.378267833885047</v>
      </c>
      <c r="Q545" s="657">
        <f t="shared" si="3672"/>
        <v>-28.399999999999977</v>
      </c>
      <c r="R545" s="657">
        <f t="shared" si="3672"/>
        <v>-41.5</v>
      </c>
      <c r="S545" s="1904">
        <f t="shared" si="3672"/>
        <v>-23.900000000000006</v>
      </c>
      <c r="T545" s="657">
        <f t="shared" si="3672"/>
        <v>-26.600000000000023</v>
      </c>
      <c r="U545" s="657">
        <f t="shared" ref="U545:AD545" si="3673">+U547-U541</f>
        <v>-27.600000000000023</v>
      </c>
      <c r="V545" s="657">
        <f t="shared" si="3673"/>
        <v>-44.899999999999977</v>
      </c>
      <c r="W545" s="1904">
        <f t="shared" si="3673"/>
        <v>-32.199999999999989</v>
      </c>
      <c r="X545" s="657">
        <f t="shared" si="3673"/>
        <v>-35.399999999999977</v>
      </c>
      <c r="Y545" s="657">
        <f t="shared" si="3673"/>
        <v>-48.199999999999989</v>
      </c>
      <c r="Z545" s="657">
        <f t="shared" si="3673"/>
        <v>-72.199999999999932</v>
      </c>
      <c r="AA545" s="657">
        <f t="shared" si="3673"/>
        <v>-52.100000000000023</v>
      </c>
      <c r="AB545" s="657">
        <f t="shared" si="3673"/>
        <v>-52.599999999999966</v>
      </c>
      <c r="AC545" s="657">
        <f t="shared" si="3673"/>
        <v>-50.399999999999977</v>
      </c>
      <c r="AD545" s="657">
        <f t="shared" si="3673"/>
        <v>-88.299999999999955</v>
      </c>
      <c r="AE545" s="657">
        <f t="shared" ref="AE545:AH545" si="3674">+AE547-AE541</f>
        <v>-62.799999999999955</v>
      </c>
      <c r="AF545" s="657">
        <f t="shared" si="3674"/>
        <v>-60</v>
      </c>
      <c r="AG545" s="657">
        <f t="shared" si="3674"/>
        <v>-52.399999999999977</v>
      </c>
      <c r="AH545" s="657">
        <f t="shared" si="3674"/>
        <v>-176.60000000000002</v>
      </c>
      <c r="AI545" s="657">
        <f t="shared" ref="AI545:AL545" si="3675">+AI547-AI541</f>
        <v>-98.199999999999932</v>
      </c>
      <c r="AJ545" s="657">
        <f t="shared" si="3675"/>
        <v>-95.019999999999982</v>
      </c>
      <c r="AK545" s="657">
        <f t="shared" si="3675"/>
        <v>-72.910140960144076</v>
      </c>
      <c r="AL545" s="658">
        <f t="shared" si="3675"/>
        <v>-134.1910523708442</v>
      </c>
      <c r="AM545" s="2430">
        <f t="shared" ref="AM545:AP545" si="3676">+AM547-AM541</f>
        <v>-97.141626278678132</v>
      </c>
      <c r="AN545" s="658">
        <f t="shared" si="3676"/>
        <v>-101.12674613163995</v>
      </c>
      <c r="AO545" s="658">
        <f t="shared" si="3676"/>
        <v>-83.872630338634735</v>
      </c>
      <c r="AP545" s="658">
        <f t="shared" si="3676"/>
        <v>-161.68335449531025</v>
      </c>
      <c r="AQ545" s="658">
        <f t="shared" ref="AQ545:AT545" si="3677">+AQ547-AQ541</f>
        <v>-116.97843169575492</v>
      </c>
      <c r="AR545" s="658">
        <f t="shared" si="3677"/>
        <v>-112.99362930115376</v>
      </c>
      <c r="AS545" s="658">
        <f t="shared" si="3677"/>
        <v>-83.326680446963678</v>
      </c>
      <c r="AT545" s="658">
        <f t="shared" si="3677"/>
        <v>-152.86613000926877</v>
      </c>
      <c r="AU545" s="658">
        <f t="shared" ref="AU545:AX545" si="3678">+AU547-AU541</f>
        <v>-107.86100710043979</v>
      </c>
      <c r="AV545" s="658">
        <f t="shared" si="3678"/>
        <v>-108.01233980612415</v>
      </c>
      <c r="AW545" s="658">
        <f t="shared" si="3678"/>
        <v>-82.020258432320247</v>
      </c>
      <c r="AX545" s="658">
        <f t="shared" si="3678"/>
        <v>-154.29400776440752</v>
      </c>
      <c r="AY545" s="658"/>
      <c r="AZ545" s="658"/>
      <c r="BA545" s="983"/>
      <c r="BB545" s="658">
        <v>-152.86613000926877</v>
      </c>
      <c r="BC545" s="2202"/>
      <c r="BD545" s="85"/>
      <c r="BE545" s="657">
        <f>+SUM(C545:F545)</f>
        <v>-49.7</v>
      </c>
      <c r="BF545" s="657">
        <f>+SUM(G545:J545)</f>
        <v>-53.500000000000028</v>
      </c>
      <c r="BG545" s="657">
        <f>+SUM(K545:N545)</f>
        <v>-80.087843504741556</v>
      </c>
      <c r="BH545" s="657">
        <f>+SUM(O545:R545)</f>
        <v>-116.01496330297584</v>
      </c>
      <c r="BI545" s="657"/>
      <c r="BJ545" s="2088">
        <f>+SUM(S545:V545)</f>
        <v>-123.00000000000003</v>
      </c>
      <c r="BK545" s="657">
        <f>+SUM(W545:Z545)</f>
        <v>-187.99999999999989</v>
      </c>
      <c r="BL545" s="657">
        <f>+SUM(AA545:AD545)</f>
        <v>-243.39999999999992</v>
      </c>
      <c r="BM545" s="657">
        <f>+SUM(AE545:AH545)</f>
        <v>-351.79999999999995</v>
      </c>
      <c r="BN545" s="657">
        <f>+SUM(AI545:AL545)</f>
        <v>-400.32119333098819</v>
      </c>
      <c r="BO545" s="1904">
        <f>+SUM(AM545:AP545)</f>
        <v>-443.82435724426307</v>
      </c>
      <c r="BP545" s="657">
        <f>+SUM(AQ545:AT545)</f>
        <v>-466.16487145314113</v>
      </c>
      <c r="BQ545" s="657">
        <f>+SUM(AU545:AX545)</f>
        <v>-452.18761310329171</v>
      </c>
      <c r="BR545" s="658">
        <f t="shared" ref="BR545" si="3679">+BR547-BR541</f>
        <v>-510.0133021666843</v>
      </c>
      <c r="BS545" s="658">
        <f t="shared" ref="BS545:BU545" si="3680">+BS547-BS541</f>
        <v>-575.01412606930398</v>
      </c>
      <c r="BT545" s="658">
        <f t="shared" si="3680"/>
        <v>-646.73169392165437</v>
      </c>
      <c r="BU545" s="658">
        <f t="shared" si="3680"/>
        <v>-726.57865410471641</v>
      </c>
    </row>
    <row r="546" spans="2:73" s="360" customFormat="1" ht="15" hidden="1" customHeight="1">
      <c r="B546" s="360" t="s">
        <v>316</v>
      </c>
      <c r="G546" s="495">
        <f t="shared" ref="G546:S546" si="3681">+G545/C545-1</f>
        <v>0.78313253012048523</v>
      </c>
      <c r="H546" s="495">
        <f t="shared" si="3681"/>
        <v>0.48888888888888804</v>
      </c>
      <c r="I546" s="495">
        <f t="shared" si="3681"/>
        <v>-0.64102564102563964</v>
      </c>
      <c r="J546" s="495">
        <f t="shared" si="3681"/>
        <v>1.9323671497584849E-2</v>
      </c>
      <c r="K546" s="495">
        <f t="shared" si="3681"/>
        <v>6.2053637933385142E-2</v>
      </c>
      <c r="L546" s="495">
        <f t="shared" si="3681"/>
        <v>0.14672638204579025</v>
      </c>
      <c r="M546" s="495">
        <f t="shared" si="3681"/>
        <v>2.9561491080244751</v>
      </c>
      <c r="N546" s="495">
        <f t="shared" si="3681"/>
        <v>0.5349521274981508</v>
      </c>
      <c r="O546" s="495">
        <f t="shared" si="3681"/>
        <v>0.44650246701321494</v>
      </c>
      <c r="P546" s="495">
        <f t="shared" si="3681"/>
        <v>0.52141511749516778</v>
      </c>
      <c r="Q546" s="495">
        <f t="shared" si="3681"/>
        <v>0.70921382821218359</v>
      </c>
      <c r="R546" s="495">
        <f t="shared" si="3681"/>
        <v>0.28135894880026502</v>
      </c>
      <c r="S546" s="1905">
        <f t="shared" si="3681"/>
        <v>5.1164186655471955E-2</v>
      </c>
      <c r="T546" s="495">
        <f t="shared" ref="T546:AD546" si="3682">+T545/P545-1</f>
        <v>0.13780884832901585</v>
      </c>
      <c r="U546" s="495">
        <f t="shared" si="3682"/>
        <v>-2.816901408450545E-2</v>
      </c>
      <c r="V546" s="495">
        <f t="shared" si="3682"/>
        <v>8.1927710843372914E-2</v>
      </c>
      <c r="W546" s="1905">
        <f t="shared" si="3682"/>
        <v>0.34728033472803266</v>
      </c>
      <c r="X546" s="495">
        <f t="shared" si="3682"/>
        <v>0.33082706766917092</v>
      </c>
      <c r="Y546" s="495">
        <f t="shared" si="3682"/>
        <v>0.74637681159420111</v>
      </c>
      <c r="Z546" s="495">
        <f t="shared" si="3682"/>
        <v>0.60801781737193683</v>
      </c>
      <c r="AA546" s="495">
        <f t="shared" si="3682"/>
        <v>0.61801242236024967</v>
      </c>
      <c r="AB546" s="495">
        <f t="shared" si="3682"/>
        <v>0.48587570621468923</v>
      </c>
      <c r="AC546" s="495">
        <f t="shared" si="3682"/>
        <v>4.5643153526970792E-2</v>
      </c>
      <c r="AD546" s="495">
        <f t="shared" si="3682"/>
        <v>0.22299168975069295</v>
      </c>
      <c r="AE546" s="495">
        <f t="shared" ref="AE546" si="3683">+AE545/AA545-1</f>
        <v>0.20537428023032489</v>
      </c>
      <c r="AF546" s="495">
        <f t="shared" ref="AF546" si="3684">+AF545/AB545-1</f>
        <v>0.14068441064638848</v>
      </c>
      <c r="AG546" s="495">
        <f t="shared" ref="AG546" si="3685">+AG545/AC545-1</f>
        <v>3.9682539682539764E-2</v>
      </c>
      <c r="AH546" s="495">
        <f t="shared" ref="AH546" si="3686">+AH545/AD545-1</f>
        <v>1.0000000000000013</v>
      </c>
      <c r="AI546" s="495">
        <f t="shared" ref="AI546" si="3687">+AI545/AE545-1</f>
        <v>0.56369426751592355</v>
      </c>
      <c r="AJ546" s="495">
        <f t="shared" ref="AJ546" si="3688">+AJ545/AF545-1</f>
        <v>0.58366666666666633</v>
      </c>
      <c r="AK546" s="495">
        <f t="shared" ref="AK546" si="3689">+AK545/AG545-1</f>
        <v>0.39141490381954402</v>
      </c>
      <c r="AL546" s="495">
        <f t="shared" ref="AL546" si="3690">+AL545/AH545-1</f>
        <v>-0.2401412663032606</v>
      </c>
      <c r="AM546" s="1905">
        <f t="shared" ref="AM546" si="3691">+AM545/AI545-1</f>
        <v>-1.0777736469672061E-2</v>
      </c>
      <c r="AN546" s="495">
        <f t="shared" ref="AN546" si="3692">+AN545/AJ545-1</f>
        <v>6.4268008120816233E-2</v>
      </c>
      <c r="AO546" s="495">
        <f t="shared" ref="AO546" si="3693">+AO545/AK545-1</f>
        <v>0.15035616766237281</v>
      </c>
      <c r="AP546" s="495">
        <f t="shared" ref="AP546" si="3694">+AP545/AL545-1</f>
        <v>0.20487433132642541</v>
      </c>
      <c r="AQ546" s="495">
        <f t="shared" ref="AQ546" si="3695">+AQ545/AM545-1</f>
        <v>0.20420499611741438</v>
      </c>
      <c r="AR546" s="495">
        <f t="shared" ref="AR546" si="3696">+AR545/AN545-1</f>
        <v>0.11734663304667503</v>
      </c>
      <c r="AS546" s="495">
        <f t="shared" ref="AS546" si="3697">+AS545/AO545-1</f>
        <v>-6.5092735194638429E-3</v>
      </c>
      <c r="AT546" s="495">
        <f t="shared" ref="AT546" si="3698">+AT545/AP545-1</f>
        <v>-5.4533903712996157E-2</v>
      </c>
      <c r="AU546" s="495">
        <f t="shared" ref="AU546" si="3699">+AU545/AQ545-1</f>
        <v>-7.7941073949668871E-2</v>
      </c>
      <c r="AV546" s="495">
        <f t="shared" ref="AV546" si="3700">+AV545/AR545-1</f>
        <v>-4.4084693321544188E-2</v>
      </c>
      <c r="AW546" s="495">
        <f t="shared" ref="AW546" si="3701">+AW545/AS545-1</f>
        <v>-1.5678315848366875E-2</v>
      </c>
      <c r="AX546" s="495">
        <f t="shared" ref="AX546" si="3702">+AX545/AT545-1</f>
        <v>9.340707160259587E-3</v>
      </c>
      <c r="AY546" s="495"/>
      <c r="AZ546" s="495"/>
      <c r="BA546" s="72"/>
      <c r="BB546" s="495">
        <v>-5.4533903712996157E-2</v>
      </c>
      <c r="BC546" s="2189"/>
      <c r="BD546" s="72"/>
      <c r="BE546" s="495"/>
      <c r="BF546" s="495">
        <f t="shared" ref="BF546:BQ546" si="3703">+BF545/BE545-1</f>
        <v>7.6458752515091044E-2</v>
      </c>
      <c r="BG546" s="495">
        <f t="shared" si="3703"/>
        <v>0.4969690374718041</v>
      </c>
      <c r="BH546" s="495">
        <f t="shared" si="3703"/>
        <v>0.44859641895723223</v>
      </c>
      <c r="BI546" s="495"/>
      <c r="BJ546" s="2087">
        <f>+BJ545/BH545-1</f>
        <v>6.0208067116158004E-2</v>
      </c>
      <c r="BK546" s="495">
        <f>+BK545/BJ545-1</f>
        <v>0.5284552845528443</v>
      </c>
      <c r="BL546" s="495">
        <f t="shared" si="3703"/>
        <v>0.29468085106383013</v>
      </c>
      <c r="BM546" s="495">
        <f t="shared" si="3703"/>
        <v>0.44535743631881708</v>
      </c>
      <c r="BN546" s="495">
        <f t="shared" si="3703"/>
        <v>0.13792266438598144</v>
      </c>
      <c r="BO546" s="1905">
        <f t="shared" si="3703"/>
        <v>0.10867064906380364</v>
      </c>
      <c r="BP546" s="495">
        <f t="shared" si="3703"/>
        <v>5.0336386104611108E-2</v>
      </c>
      <c r="BQ546" s="495">
        <f t="shared" si="3703"/>
        <v>-2.9983508423273353E-2</v>
      </c>
      <c r="BR546" s="495">
        <f t="shared" ref="BR546" si="3704">+BR545/BQ545-1</f>
        <v>0.12787986089787839</v>
      </c>
      <c r="BS546" s="495">
        <f t="shared" ref="BS546" si="3705">+BS545/BR545-1</f>
        <v>0.12744927166894926</v>
      </c>
      <c r="BT546" s="495">
        <f t="shared" ref="BT546" si="3706">+BT545/BS545-1</f>
        <v>0.1247231408775975</v>
      </c>
      <c r="BU546" s="495">
        <f t="shared" ref="BU546" si="3707">+BU545/BT545-1</f>
        <v>0.12346226562500084</v>
      </c>
    </row>
    <row r="547" spans="2:73" s="357" customFormat="1" ht="15" hidden="1" customHeight="1">
      <c r="B547" s="357" t="s">
        <v>15</v>
      </c>
      <c r="C547" s="648">
        <v>57.900000000000006</v>
      </c>
      <c r="D547" s="648">
        <v>75.5</v>
      </c>
      <c r="E547" s="648">
        <v>97.8</v>
      </c>
      <c r="F547" s="648">
        <v>150.69999999999999</v>
      </c>
      <c r="G547" s="648">
        <v>115.2</v>
      </c>
      <c r="H547" s="648">
        <v>112.7</v>
      </c>
      <c r="I547" s="648">
        <v>127.1</v>
      </c>
      <c r="J547" s="648">
        <v>171.2</v>
      </c>
      <c r="K547" s="648">
        <v>128.72929828221203</v>
      </c>
      <c r="L547" s="648">
        <v>136.34510540568246</v>
      </c>
      <c r="M547" s="648">
        <v>143.46746655786399</v>
      </c>
      <c r="N547" s="648">
        <v>217.81538778186788</v>
      </c>
      <c r="O547" s="648">
        <v>178.39265587203263</v>
      </c>
      <c r="P547" s="648">
        <v>212.13868693649474</v>
      </c>
      <c r="Q547" s="648">
        <v>239</v>
      </c>
      <c r="R547" s="648">
        <v>318.5</v>
      </c>
      <c r="S547" s="1906">
        <v>245.9</v>
      </c>
      <c r="T547" s="648">
        <v>257.7</v>
      </c>
      <c r="U547" s="648">
        <v>268.7</v>
      </c>
      <c r="V547" s="648">
        <v>407.8</v>
      </c>
      <c r="W547" s="1906">
        <v>308.7</v>
      </c>
      <c r="X547" s="648">
        <v>346.8</v>
      </c>
      <c r="Y547" s="648">
        <v>445.8</v>
      </c>
      <c r="Z547" s="648">
        <v>660.1</v>
      </c>
      <c r="AA547" s="648">
        <v>533.79999999999995</v>
      </c>
      <c r="AB547" s="648">
        <v>509.3</v>
      </c>
      <c r="AC547" s="648">
        <v>503</v>
      </c>
      <c r="AD547" s="648">
        <v>810.6</v>
      </c>
      <c r="AE547" s="648">
        <v>579.6</v>
      </c>
      <c r="AF547" s="648">
        <v>534.20000000000005</v>
      </c>
      <c r="AG547" s="648">
        <v>550.20000000000005</v>
      </c>
      <c r="AH547" s="648">
        <v>703</v>
      </c>
      <c r="AI547" s="648">
        <v>603.1</v>
      </c>
      <c r="AJ547" s="648">
        <v>583.47</v>
      </c>
      <c r="AK547" s="648">
        <f t="shared" ref="AK547:AL547" si="3708">+AK549*AK541</f>
        <v>550.48511631989811</v>
      </c>
      <c r="AL547" s="499">
        <f t="shared" si="3708"/>
        <v>755.82892700929892</v>
      </c>
      <c r="AM547" s="1916">
        <f t="shared" ref="AM547:AP547" si="3709">+AM549*AM541</f>
        <v>622.28919536416947</v>
      </c>
      <c r="AN547" s="499">
        <f t="shared" si="3709"/>
        <v>647.70355635769215</v>
      </c>
      <c r="AO547" s="499">
        <f t="shared" si="3709"/>
        <v>665.28096103557846</v>
      </c>
      <c r="AP547" s="499">
        <f t="shared" si="3709"/>
        <v>947.46077532699007</v>
      </c>
      <c r="AQ547" s="499">
        <f t="shared" ref="AQ547:AT547" si="3710">+AQ549*AQ541</f>
        <v>782.67803411881232</v>
      </c>
      <c r="AR547" s="499">
        <f t="shared" si="3710"/>
        <v>755.87882105635458</v>
      </c>
      <c r="AS547" s="499">
        <f t="shared" si="3710"/>
        <v>695.7439090978188</v>
      </c>
      <c r="AT547" s="499">
        <f t="shared" si="3710"/>
        <v>933.03844387102026</v>
      </c>
      <c r="AU547" s="499">
        <f t="shared" ref="AU547:AX547" si="3711">+AU549*AU541</f>
        <v>754.8499067234834</v>
      </c>
      <c r="AV547" s="499">
        <f t="shared" si="3711"/>
        <v>755.76657840372877</v>
      </c>
      <c r="AW547" s="499">
        <f t="shared" si="3711"/>
        <v>722.4428306693286</v>
      </c>
      <c r="AX547" s="499">
        <f t="shared" si="3711"/>
        <v>982.11690133053753</v>
      </c>
      <c r="AY547" s="499"/>
      <c r="AZ547" s="499"/>
      <c r="BA547" s="85"/>
      <c r="BB547" s="499">
        <v>933.03844387102026</v>
      </c>
      <c r="BC547" s="2197">
        <f>+AT547/BB547-1</f>
        <v>0</v>
      </c>
      <c r="BD547" s="85"/>
      <c r="BE547" s="496">
        <f>+SUM(C547:F547)</f>
        <v>381.9</v>
      </c>
      <c r="BF547" s="496">
        <f>+SUM(G547:J547)</f>
        <v>526.20000000000005</v>
      </c>
      <c r="BG547" s="496">
        <f>+SUM(K547:N547)</f>
        <v>626.35725802762636</v>
      </c>
      <c r="BH547" s="496">
        <f>+SUM(O547:R547)</f>
        <v>948.03134280852737</v>
      </c>
      <c r="BI547" s="496"/>
      <c r="BJ547" s="2089">
        <f>+SUM(S547:V547)</f>
        <v>1180.0999999999999</v>
      </c>
      <c r="BK547" s="496">
        <f>+SUM(W547:Z547)</f>
        <v>1761.4</v>
      </c>
      <c r="BL547" s="496">
        <f>+SUM(AA547:AD547)</f>
        <v>2356.6999999999998</v>
      </c>
      <c r="BM547" s="496">
        <f>+SUM(AE547:AH547)</f>
        <v>2367</v>
      </c>
      <c r="BN547" s="496">
        <f>+SUM(AI547:AL547)</f>
        <v>2492.8840433291971</v>
      </c>
      <c r="BO547" s="2490">
        <f>+SUM(AM547:AP547)</f>
        <v>2882.7344880844303</v>
      </c>
      <c r="BP547" s="496">
        <f>+SUM(AQ547:AT547)</f>
        <v>3167.3392081440061</v>
      </c>
      <c r="BQ547" s="496">
        <f>+SUM(AU547:AX547)</f>
        <v>3215.1762171270784</v>
      </c>
      <c r="BR547" s="499">
        <f t="shared" ref="BR547" si="3712">+BR549*BR541</f>
        <v>3626.3325045354586</v>
      </c>
      <c r="BS547" s="499">
        <f t="shared" ref="BS547:BU547" si="3713">+BS549*BS541</f>
        <v>4088.5059410679401</v>
      </c>
      <c r="BT547" s="499">
        <f t="shared" si="3713"/>
        <v>4598.4372435346559</v>
      </c>
      <c r="BU547" s="499">
        <f t="shared" si="3713"/>
        <v>5166.1707239558255</v>
      </c>
    </row>
    <row r="548" spans="2:73" s="360" customFormat="1" ht="15" hidden="1" customHeight="1">
      <c r="B548" s="360" t="s">
        <v>316</v>
      </c>
      <c r="G548" s="495">
        <f t="shared" ref="G548:AG548" si="3714">+G547/C547-1</f>
        <v>0.98963730569948183</v>
      </c>
      <c r="H548" s="495">
        <f t="shared" si="3714"/>
        <v>0.49271523178807941</v>
      </c>
      <c r="I548" s="495">
        <f t="shared" si="3714"/>
        <v>0.29959100204498967</v>
      </c>
      <c r="J548" s="495">
        <f t="shared" si="3714"/>
        <v>0.13603185136031848</v>
      </c>
      <c r="K548" s="495">
        <f t="shared" si="3714"/>
        <v>0.11744182536642378</v>
      </c>
      <c r="L548" s="495">
        <f t="shared" si="3714"/>
        <v>0.20980572675849563</v>
      </c>
      <c r="M548" s="495">
        <f t="shared" si="3714"/>
        <v>0.12877629077784425</v>
      </c>
      <c r="N548" s="495">
        <f t="shared" si="3714"/>
        <v>0.27228614358567693</v>
      </c>
      <c r="O548" s="495">
        <f t="shared" si="3714"/>
        <v>0.38579684852273566</v>
      </c>
      <c r="P548" s="495">
        <f t="shared" si="3714"/>
        <v>0.55589514053544775</v>
      </c>
      <c r="Q548" s="495">
        <f t="shared" si="3714"/>
        <v>0.66588290526204674</v>
      </c>
      <c r="R548" s="495">
        <f t="shared" si="3714"/>
        <v>0.46224747132632849</v>
      </c>
      <c r="S548" s="1905">
        <f t="shared" si="3714"/>
        <v>0.37841997361367152</v>
      </c>
      <c r="T548" s="495">
        <f t="shared" si="3714"/>
        <v>0.21477135416202686</v>
      </c>
      <c r="U548" s="495">
        <f t="shared" si="3714"/>
        <v>0.12426778242677816</v>
      </c>
      <c r="V548" s="495">
        <f t="shared" si="3714"/>
        <v>0.28037676609105189</v>
      </c>
      <c r="W548" s="1905">
        <f t="shared" si="3714"/>
        <v>0.255388369255795</v>
      </c>
      <c r="X548" s="495">
        <f t="shared" si="3714"/>
        <v>0.34575087310826547</v>
      </c>
      <c r="Y548" s="495">
        <f t="shared" si="3714"/>
        <v>0.65909936732415342</v>
      </c>
      <c r="Z548" s="495">
        <f t="shared" si="3714"/>
        <v>0.61868563021088763</v>
      </c>
      <c r="AA548" s="495">
        <f t="shared" si="3714"/>
        <v>0.72918691286038206</v>
      </c>
      <c r="AB548" s="495">
        <f t="shared" si="3714"/>
        <v>0.46856978085351786</v>
      </c>
      <c r="AC548" s="495">
        <f t="shared" si="3714"/>
        <v>0.12830865859129648</v>
      </c>
      <c r="AD548" s="495">
        <f t="shared" si="3714"/>
        <v>0.22799575821845175</v>
      </c>
      <c r="AE548" s="495">
        <f t="shared" si="3714"/>
        <v>8.5799925065567662E-2</v>
      </c>
      <c r="AF548" s="495">
        <f t="shared" si="3714"/>
        <v>4.8890634203809125E-2</v>
      </c>
      <c r="AG548" s="495">
        <f t="shared" si="3714"/>
        <v>9.3836978131212723E-2</v>
      </c>
      <c r="AH548" s="495">
        <f t="shared" ref="AH548:AJ548" si="3715">+AH547/AD547-1</f>
        <v>-0.13274117937330376</v>
      </c>
      <c r="AI548" s="495">
        <f t="shared" si="3715"/>
        <v>4.0545203588681744E-2</v>
      </c>
      <c r="AJ548" s="495">
        <f t="shared" si="3715"/>
        <v>9.2231374017222034E-2</v>
      </c>
      <c r="AK548" s="495">
        <f t="shared" ref="AK548" si="3716">+AK547/AG547-1</f>
        <v>5.182048707708109E-4</v>
      </c>
      <c r="AL548" s="495">
        <f t="shared" ref="AL548" si="3717">+AL547/AH547-1</f>
        <v>7.5147833583639967E-2</v>
      </c>
      <c r="AM548" s="1905">
        <f t="shared" ref="AM548" si="3718">+AM547/AI547-1</f>
        <v>3.1817601333393286E-2</v>
      </c>
      <c r="AN548" s="495">
        <f t="shared" ref="AN548" si="3719">+AN547/AJ547-1</f>
        <v>0.11008887579085824</v>
      </c>
      <c r="AO548" s="495">
        <f t="shared" ref="AO548" si="3720">+AO547/AK547-1</f>
        <v>0.20853578291655417</v>
      </c>
      <c r="AP548" s="495">
        <f t="shared" ref="AP548" si="3721">+AP547/AL547-1</f>
        <v>0.25353865335102932</v>
      </c>
      <c r="AQ548" s="495">
        <f t="shared" ref="AQ548" si="3722">+AQ547/AM547-1</f>
        <v>0.25774003461651263</v>
      </c>
      <c r="AR548" s="495">
        <f t="shared" ref="AR548" si="3723">+AR547/AN547-1</f>
        <v>0.16701354135984237</v>
      </c>
      <c r="AS548" s="495">
        <f t="shared" ref="AS548" si="3724">+AS547/AO547-1</f>
        <v>4.5789598449986535E-2</v>
      </c>
      <c r="AT548" s="495">
        <f t="shared" ref="AT548" si="3725">+AT547/AP547-1</f>
        <v>-1.5222088166122028E-2</v>
      </c>
      <c r="AU548" s="495">
        <f t="shared" ref="AU548" si="3726">+AU547/AQ547-1</f>
        <v>-3.5555012638957662E-2</v>
      </c>
      <c r="AV548" s="495">
        <f t="shared" ref="AV548" si="3727">+AV547/AR547-1</f>
        <v>-1.4849291910168372E-4</v>
      </c>
      <c r="AW548" s="495">
        <f t="shared" ref="AW548" si="3728">+AW547/AS547-1</f>
        <v>3.837463932114149E-2</v>
      </c>
      <c r="AX548" s="495">
        <f t="shared" ref="AX548" si="3729">+AX547/AT547-1</f>
        <v>5.2600680906457642E-2</v>
      </c>
      <c r="AY548" s="495"/>
      <c r="AZ548" s="495"/>
      <c r="BA548" s="72"/>
      <c r="BB548" s="495">
        <v>-1.5222088166122028E-2</v>
      </c>
      <c r="BC548" s="2189"/>
      <c r="BD548" s="72"/>
      <c r="BE548" s="495"/>
      <c r="BF548" s="495">
        <f t="shared" ref="BF548:BR548" si="3730">+BF547/BE547-1</f>
        <v>0.37784760408483908</v>
      </c>
      <c r="BG548" s="495">
        <f t="shared" si="3730"/>
        <v>0.19034066519883375</v>
      </c>
      <c r="BH548" s="495">
        <f t="shared" si="3730"/>
        <v>0.51356327504504318</v>
      </c>
      <c r="BI548" s="495"/>
      <c r="BJ548" s="2087">
        <f>+BJ547/BH547-1</f>
        <v>0.24479006833674188</v>
      </c>
      <c r="BK548" s="495">
        <f>+BK547/BJ547-1</f>
        <v>0.49258537412083747</v>
      </c>
      <c r="BL548" s="495">
        <f t="shared" si="3730"/>
        <v>0.33796979675258298</v>
      </c>
      <c r="BM548" s="495">
        <f t="shared" si="3730"/>
        <v>4.3705180973396818E-3</v>
      </c>
      <c r="BN548" s="495">
        <f t="shared" si="3730"/>
        <v>5.3182950286944308E-2</v>
      </c>
      <c r="BO548" s="1905">
        <f t="shared" si="3730"/>
        <v>0.15638531033902225</v>
      </c>
      <c r="BP548" s="495">
        <f t="shared" si="3730"/>
        <v>9.8727344205985057E-2</v>
      </c>
      <c r="BQ548" s="495">
        <f t="shared" si="3730"/>
        <v>1.5103216245380802E-2</v>
      </c>
      <c r="BR548" s="495">
        <f t="shared" si="3730"/>
        <v>0.12787986089787928</v>
      </c>
      <c r="BS548" s="495">
        <f t="shared" ref="BS548" si="3731">+BS547/BR547-1</f>
        <v>0.12744927166894948</v>
      </c>
      <c r="BT548" s="495">
        <f t="shared" ref="BT548" si="3732">+BT547/BS547-1</f>
        <v>0.12472314087759862</v>
      </c>
      <c r="BU548" s="495">
        <f t="shared" ref="BU548" si="3733">+BU547/BT547-1</f>
        <v>0.12346226562500018</v>
      </c>
    </row>
    <row r="549" spans="2:73" s="497" customFormat="1" ht="15" hidden="1" customHeight="1">
      <c r="B549" s="497" t="s">
        <v>317</v>
      </c>
      <c r="C549" s="498">
        <f>+C547/C$541</f>
        <v>0.87462235649546849</v>
      </c>
      <c r="D549" s="498">
        <f t="shared" ref="D549:T549" si="3734">+D547/D$541</f>
        <v>0.89349112426035504</v>
      </c>
      <c r="E549" s="498">
        <f t="shared" si="3734"/>
        <v>0.89315068493150684</v>
      </c>
      <c r="F549" s="498">
        <f t="shared" si="3734"/>
        <v>0.87922987164527411</v>
      </c>
      <c r="G549" s="498">
        <f t="shared" si="3734"/>
        <v>0.88615384615384618</v>
      </c>
      <c r="H549" s="498">
        <f t="shared" si="3734"/>
        <v>0.89373513084853295</v>
      </c>
      <c r="I549" s="498">
        <f t="shared" si="3734"/>
        <v>0.96801218583396786</v>
      </c>
      <c r="J549" s="498">
        <f t="shared" si="3734"/>
        <v>0.89027561102444086</v>
      </c>
      <c r="K549" s="498">
        <f t="shared" si="3734"/>
        <v>0.8911827969673517</v>
      </c>
      <c r="L549" s="498">
        <f t="shared" si="3734"/>
        <v>0.89871459999743153</v>
      </c>
      <c r="M549" s="498">
        <f t="shared" si="3734"/>
        <v>0.89620511946077186</v>
      </c>
      <c r="N549" s="498">
        <f>+N547/N$541</f>
        <v>0.87055508637011469</v>
      </c>
      <c r="O549" s="498">
        <f t="shared" si="3734"/>
        <v>0.8869548610509439</v>
      </c>
      <c r="P549" s="498">
        <f t="shared" si="3734"/>
        <v>0.90073637009837371</v>
      </c>
      <c r="Q549" s="498">
        <f t="shared" si="3734"/>
        <v>0.89379207180254305</v>
      </c>
      <c r="R549" s="498">
        <f t="shared" si="3734"/>
        <v>0.88472222222222219</v>
      </c>
      <c r="S549" s="1907">
        <f t="shared" si="3734"/>
        <v>0.91141586360266857</v>
      </c>
      <c r="T549" s="498">
        <f t="shared" si="3734"/>
        <v>0.90643686246922262</v>
      </c>
      <c r="U549" s="498">
        <f t="shared" ref="U549:Z549" si="3735">+U547/U$541</f>
        <v>0.90685116436044544</v>
      </c>
      <c r="V549" s="498">
        <f t="shared" si="3735"/>
        <v>0.90081731831234824</v>
      </c>
      <c r="W549" s="1907">
        <f t="shared" si="3735"/>
        <v>0.90554414784394255</v>
      </c>
      <c r="X549" s="498">
        <f t="shared" si="3735"/>
        <v>0.90737833594976458</v>
      </c>
      <c r="Y549" s="498">
        <f t="shared" si="3735"/>
        <v>0.90242914979757083</v>
      </c>
      <c r="Z549" s="498">
        <f t="shared" si="3735"/>
        <v>0.90140652737948934</v>
      </c>
      <c r="AA549" s="498">
        <f t="shared" ref="AA549:AB549" si="3736">+AA547/AA$541</f>
        <v>0.91107697559310463</v>
      </c>
      <c r="AB549" s="498">
        <f t="shared" si="3736"/>
        <v>0.90638903719523056</v>
      </c>
      <c r="AC549" s="498">
        <f t="shared" ref="AC549:AD549" si="3737">+AC547/AC$541</f>
        <v>0.90892663534513918</v>
      </c>
      <c r="AD549" s="498">
        <f t="shared" si="3737"/>
        <v>0.90176882856825014</v>
      </c>
      <c r="AE549" s="498">
        <f t="shared" ref="AE549:AF549" si="3738">+AE547/AE$541</f>
        <v>0.90224159402241599</v>
      </c>
      <c r="AF549" s="498">
        <f t="shared" si="3738"/>
        <v>0.89902389767754964</v>
      </c>
      <c r="AG549" s="498">
        <f t="shared" ref="AG549:AH549" si="3739">+AG547/AG$541</f>
        <v>0.91304347826086962</v>
      </c>
      <c r="AH549" s="498">
        <f t="shared" si="3739"/>
        <v>0.79922692132787632</v>
      </c>
      <c r="AI549" s="498">
        <f t="shared" ref="AI549:AJ549" si="3740">+AI547/AI$541</f>
        <v>0.85997433338086415</v>
      </c>
      <c r="AJ549" s="498">
        <f t="shared" si="3740"/>
        <v>0.85995372076228094</v>
      </c>
      <c r="AK549" s="498">
        <f t="shared" ref="AK549" si="3741">+AG549+AK550</f>
        <v>0.8830434782608696</v>
      </c>
      <c r="AL549" s="646">
        <f t="shared" ref="AL549" si="3742">+AH549+AL550</f>
        <v>0.84922692132787636</v>
      </c>
      <c r="AM549" s="1917">
        <f t="shared" ref="AM549" si="3743">+AI549+AM550</f>
        <v>0.86497433338086416</v>
      </c>
      <c r="AN549" s="646">
        <f t="shared" ref="AN549" si="3744">+AJ549+AN550</f>
        <v>0.86495372076228094</v>
      </c>
      <c r="AO549" s="646">
        <f t="shared" ref="AO549" si="3745">+AK549+AO550</f>
        <v>0.8880434782608696</v>
      </c>
      <c r="AP549" s="646">
        <f t="shared" ref="AP549" si="3746">+AL549+AP550</f>
        <v>0.85422692132787637</v>
      </c>
      <c r="AQ549" s="646">
        <f t="shared" ref="AQ549" si="3747">+AM549+AQ550</f>
        <v>0.86997433338086416</v>
      </c>
      <c r="AR549" s="646">
        <f t="shared" ref="AR549" si="3748">+AN549+AR550</f>
        <v>0.86995372076228095</v>
      </c>
      <c r="AS549" s="646">
        <f t="shared" ref="AS549" si="3749">+AO549+AS550</f>
        <v>0.89304347826086961</v>
      </c>
      <c r="AT549" s="646">
        <f t="shared" ref="AT549" si="3750">+AP549+AT550</f>
        <v>0.85922692132787637</v>
      </c>
      <c r="AU549" s="646">
        <f t="shared" ref="AU549" si="3751">+AQ549+AU550</f>
        <v>0.87497433338086417</v>
      </c>
      <c r="AV549" s="646">
        <f t="shared" ref="AV549" si="3752">+AR549+AV550</f>
        <v>0.87495372076228095</v>
      </c>
      <c r="AW549" s="646">
        <f t="shared" ref="AW549" si="3753">+AS549+AW550</f>
        <v>0.89804347826086961</v>
      </c>
      <c r="AX549" s="646">
        <f t="shared" ref="AX549" si="3754">+AT549+AX550</f>
        <v>0.86422692132787637</v>
      </c>
      <c r="AY549" s="646"/>
      <c r="AZ549" s="646"/>
      <c r="BA549" s="2257"/>
      <c r="BB549" s="646">
        <v>0.85922692132787637</v>
      </c>
      <c r="BC549" s="2200">
        <f>+AT549-BB549</f>
        <v>0</v>
      </c>
      <c r="BD549" s="2257"/>
      <c r="BE549" s="498">
        <f t="shared" ref="BE549:BK549" si="3755">+BE547/BE$541</f>
        <v>0.88484708063021311</v>
      </c>
      <c r="BF549" s="498">
        <f t="shared" si="3755"/>
        <v>0.90771088494048646</v>
      </c>
      <c r="BG549" s="498">
        <f t="shared" si="3755"/>
        <v>0.88663260127217114</v>
      </c>
      <c r="BH549" s="498">
        <f t="shared" si="3755"/>
        <v>0.89096812550673099</v>
      </c>
      <c r="BI549" s="498"/>
      <c r="BJ549" s="2090">
        <f t="shared" si="3755"/>
        <v>0.90560969994628182</v>
      </c>
      <c r="BK549" s="498">
        <f t="shared" si="3755"/>
        <v>0.90356006976505598</v>
      </c>
      <c r="BL549" s="498">
        <f t="shared" ref="BL549:BQ549" si="3756">+BL547/BL$541</f>
        <v>0.90638821583785234</v>
      </c>
      <c r="BM549" s="498">
        <f t="shared" si="3756"/>
        <v>0.87060467853464774</v>
      </c>
      <c r="BN549" s="498">
        <f t="shared" si="3756"/>
        <v>0.86163401467048883</v>
      </c>
      <c r="BO549" s="1907">
        <f t="shared" si="3756"/>
        <v>0.86658154030027112</v>
      </c>
      <c r="BP549" s="498">
        <f t="shared" si="3756"/>
        <v>0.87170377100420771</v>
      </c>
      <c r="BQ549" s="498">
        <f t="shared" si="3756"/>
        <v>0.87669954931226812</v>
      </c>
      <c r="BR549" s="646">
        <f t="shared" ref="BR549" si="3757">+BQ549+BR550</f>
        <v>0.87669954931226812</v>
      </c>
      <c r="BS549" s="646">
        <f t="shared" ref="BS549" si="3758">+BR549+BS550</f>
        <v>0.87669954931226812</v>
      </c>
      <c r="BT549" s="646">
        <f t="shared" ref="BT549" si="3759">+BS549+BT550</f>
        <v>0.87669954931226812</v>
      </c>
      <c r="BU549" s="646">
        <f t="shared" ref="BU549" si="3760">+BT549+BU550</f>
        <v>0.87669954931226812</v>
      </c>
    </row>
    <row r="550" spans="2:73" s="357" customFormat="1" ht="15" hidden="1" customHeight="1">
      <c r="C550" s="645"/>
      <c r="D550" s="645"/>
      <c r="E550" s="645"/>
      <c r="F550" s="645"/>
      <c r="G550" s="645">
        <f t="shared" ref="G550:S550" si="3761">+G549-C549</f>
        <v>1.1531489658377692E-2</v>
      </c>
      <c r="H550" s="645">
        <f t="shared" si="3761"/>
        <v>2.440065881779141E-4</v>
      </c>
      <c r="I550" s="645">
        <f t="shared" si="3761"/>
        <v>7.486150090246102E-2</v>
      </c>
      <c r="J550" s="645">
        <f t="shared" si="3761"/>
        <v>1.1045739379166752E-2</v>
      </c>
      <c r="K550" s="645">
        <f t="shared" si="3761"/>
        <v>5.0289508135055172E-3</v>
      </c>
      <c r="L550" s="645">
        <f t="shared" si="3761"/>
        <v>4.9794691488985743E-3</v>
      </c>
      <c r="M550" s="645">
        <f t="shared" si="3761"/>
        <v>-7.1807066373196005E-2</v>
      </c>
      <c r="N550" s="645">
        <f t="shared" si="3761"/>
        <v>-1.9720524654326166E-2</v>
      </c>
      <c r="O550" s="645">
        <f t="shared" si="3761"/>
        <v>-4.227935916407799E-3</v>
      </c>
      <c r="P550" s="645">
        <f t="shared" si="3761"/>
        <v>2.0217701009421774E-3</v>
      </c>
      <c r="Q550" s="645">
        <f t="shared" si="3761"/>
        <v>-2.4130476582288063E-3</v>
      </c>
      <c r="R550" s="645">
        <f t="shared" si="3761"/>
        <v>1.4167135852107493E-2</v>
      </c>
      <c r="S550" s="1908">
        <f t="shared" si="3761"/>
        <v>2.4461002551724675E-2</v>
      </c>
      <c r="T550" s="645">
        <f t="shared" ref="T550:AJ550" si="3762">+T549-P549</f>
        <v>5.7004923708489086E-3</v>
      </c>
      <c r="U550" s="645">
        <f t="shared" si="3762"/>
        <v>1.3059092557902385E-2</v>
      </c>
      <c r="V550" s="645">
        <f t="shared" si="3762"/>
        <v>1.6095096090126049E-2</v>
      </c>
      <c r="W550" s="1908">
        <f t="shared" si="3762"/>
        <v>-5.871715758726026E-3</v>
      </c>
      <c r="X550" s="645">
        <f t="shared" si="3762"/>
        <v>9.4147348054196556E-4</v>
      </c>
      <c r="Y550" s="645">
        <f t="shared" si="3762"/>
        <v>-4.4220145628746099E-3</v>
      </c>
      <c r="Z550" s="645">
        <f t="shared" si="3762"/>
        <v>5.8920906714110544E-4</v>
      </c>
      <c r="AA550" s="645">
        <f t="shared" si="3762"/>
        <v>5.5328277491620836E-3</v>
      </c>
      <c r="AB550" s="645">
        <f t="shared" si="3762"/>
        <v>-9.8929875453401817E-4</v>
      </c>
      <c r="AC550" s="645">
        <f t="shared" si="3762"/>
        <v>6.4974855475683491E-3</v>
      </c>
      <c r="AD550" s="645">
        <f t="shared" si="3762"/>
        <v>3.6230118876079409E-4</v>
      </c>
      <c r="AE550" s="645">
        <f t="shared" si="3762"/>
        <v>-8.8353815706886385E-3</v>
      </c>
      <c r="AF550" s="645">
        <f t="shared" si="3762"/>
        <v>-7.3651395176809187E-3</v>
      </c>
      <c r="AG550" s="645">
        <f t="shared" si="3762"/>
        <v>4.1168429157304454E-3</v>
      </c>
      <c r="AH550" s="645">
        <f t="shared" si="3762"/>
        <v>-0.10254190724037382</v>
      </c>
      <c r="AI550" s="645">
        <f t="shared" si="3762"/>
        <v>-4.226726064155184E-2</v>
      </c>
      <c r="AJ550" s="645">
        <f t="shared" si="3762"/>
        <v>-3.9070176915268706E-2</v>
      </c>
      <c r="AK550" s="645">
        <v>-0.03</v>
      </c>
      <c r="AL550" s="644">
        <v>0.05</v>
      </c>
      <c r="AM550" s="1986">
        <v>5.0000000000000001E-3</v>
      </c>
      <c r="AN550" s="644">
        <v>5.0000000000000001E-3</v>
      </c>
      <c r="AO550" s="644">
        <v>5.0000000000000001E-3</v>
      </c>
      <c r="AP550" s="644">
        <v>5.0000000000000001E-3</v>
      </c>
      <c r="AQ550" s="644">
        <v>5.0000000000000001E-3</v>
      </c>
      <c r="AR550" s="644">
        <v>5.0000000000000001E-3</v>
      </c>
      <c r="AS550" s="644">
        <v>5.0000000000000001E-3</v>
      </c>
      <c r="AT550" s="644">
        <v>5.0000000000000001E-3</v>
      </c>
      <c r="AU550" s="644">
        <v>5.0000000000000001E-3</v>
      </c>
      <c r="AV550" s="644">
        <v>5.0000000000000001E-3</v>
      </c>
      <c r="AW550" s="644">
        <v>5.0000000000000001E-3</v>
      </c>
      <c r="AX550" s="644">
        <v>5.0000000000000001E-3</v>
      </c>
      <c r="AY550" s="644"/>
      <c r="AZ550" s="644"/>
      <c r="BA550" s="85"/>
      <c r="BB550" s="644">
        <v>5.0000000000000001E-3</v>
      </c>
      <c r="BC550" s="2197"/>
      <c r="BD550" s="85"/>
      <c r="BE550" s="645"/>
      <c r="BF550" s="645">
        <f t="shared" ref="BF550:BQ550" si="3763">+BF549-BE549</f>
        <v>2.286380431027335E-2</v>
      </c>
      <c r="BG550" s="645">
        <f t="shared" si="3763"/>
        <v>-2.1078283668315323E-2</v>
      </c>
      <c r="BH550" s="645">
        <f t="shared" si="3763"/>
        <v>4.335524234559851E-3</v>
      </c>
      <c r="BI550" s="645"/>
      <c r="BJ550" s="2091">
        <f>+BJ549-BH549</f>
        <v>1.4641574439550831E-2</v>
      </c>
      <c r="BK550" s="645">
        <f>+BK549-BJ549</f>
        <v>-2.0496301812258366E-3</v>
      </c>
      <c r="BL550" s="645">
        <f t="shared" si="3763"/>
        <v>2.8281460727963559E-3</v>
      </c>
      <c r="BM550" s="645">
        <f t="shared" si="3763"/>
        <v>-3.5783537303204604E-2</v>
      </c>
      <c r="BN550" s="645">
        <f t="shared" si="3763"/>
        <v>-8.9706638641589009E-3</v>
      </c>
      <c r="BO550" s="1908">
        <f t="shared" si="3763"/>
        <v>4.94752562978229E-3</v>
      </c>
      <c r="BP550" s="645">
        <f t="shared" si="3763"/>
        <v>5.1222307039365811E-3</v>
      </c>
      <c r="BQ550" s="645">
        <f t="shared" si="3763"/>
        <v>4.9957783080604168E-3</v>
      </c>
      <c r="BR550" s="644">
        <v>0</v>
      </c>
      <c r="BS550" s="644">
        <v>0</v>
      </c>
      <c r="BT550" s="644">
        <v>0</v>
      </c>
      <c r="BU550" s="644">
        <v>0</v>
      </c>
    </row>
    <row r="551" spans="2:73" s="357" customFormat="1" ht="15" hidden="1" customHeight="1">
      <c r="C551" s="645"/>
      <c r="D551" s="645"/>
      <c r="E551" s="645"/>
      <c r="F551" s="645"/>
      <c r="G551" s="645"/>
      <c r="H551" s="645"/>
      <c r="I551" s="645"/>
      <c r="J551" s="645"/>
      <c r="K551" s="645"/>
      <c r="L551" s="645"/>
      <c r="M551" s="645"/>
      <c r="N551" s="645"/>
      <c r="O551" s="645"/>
      <c r="P551" s="645"/>
      <c r="Q551" s="645"/>
      <c r="R551" s="645"/>
      <c r="S551" s="1908"/>
      <c r="T551" s="645"/>
      <c r="U551" s="645"/>
      <c r="V551" s="645"/>
      <c r="W551" s="1908"/>
      <c r="X551" s="645"/>
      <c r="Y551" s="645"/>
      <c r="Z551" s="645"/>
      <c r="AA551" s="645"/>
      <c r="AB551" s="645"/>
      <c r="AC551" s="645"/>
      <c r="AD551" s="645"/>
      <c r="AE551" s="645"/>
      <c r="AF551" s="645"/>
      <c r="AG551" s="645"/>
      <c r="AH551" s="645"/>
      <c r="AI551" s="645"/>
      <c r="AJ551" s="645"/>
      <c r="AK551" s="645"/>
      <c r="AL551" s="645"/>
      <c r="AM551" s="1908"/>
      <c r="AN551" s="645"/>
      <c r="AO551" s="645"/>
      <c r="AP551" s="645"/>
      <c r="AQ551" s="645"/>
      <c r="AR551" s="645"/>
      <c r="AS551" s="645"/>
      <c r="AT551" s="645"/>
      <c r="AU551" s="645"/>
      <c r="AV551" s="645"/>
      <c r="AW551" s="645"/>
      <c r="AX551" s="645"/>
      <c r="AY551" s="645"/>
      <c r="AZ551" s="645"/>
      <c r="BA551" s="85"/>
      <c r="BB551" s="645"/>
      <c r="BC551" s="2197"/>
      <c r="BD551" s="85"/>
      <c r="BE551" s="411"/>
      <c r="BF551" s="411"/>
      <c r="BG551" s="411"/>
      <c r="BH551" s="411"/>
      <c r="BI551" s="411"/>
      <c r="BJ551" s="2086"/>
      <c r="BK551" s="411"/>
      <c r="BL551" s="411"/>
      <c r="BM551" s="411"/>
      <c r="BN551" s="411"/>
      <c r="BO551" s="1983"/>
      <c r="BP551" s="411"/>
      <c r="BQ551" s="411"/>
      <c r="BR551" s="359"/>
      <c r="BS551" s="359"/>
      <c r="BT551" s="359"/>
      <c r="BU551" s="359"/>
    </row>
    <row r="552" spans="2:73" s="507" customFormat="1" ht="15" hidden="1" customHeight="1">
      <c r="B552" s="507" t="s">
        <v>16</v>
      </c>
      <c r="C552" s="809">
        <v>-7.6999999999999993</v>
      </c>
      <c r="D552" s="809">
        <v>-10.5</v>
      </c>
      <c r="E552" s="809">
        <v>-15.2</v>
      </c>
      <c r="F552" s="809">
        <v>-16.899999999999999</v>
      </c>
      <c r="G552" s="809">
        <v>-16.100000000000001</v>
      </c>
      <c r="H552" s="809">
        <v>-16.2</v>
      </c>
      <c r="I552" s="809">
        <v>-16</v>
      </c>
      <c r="J552" s="809">
        <v>-19.8</v>
      </c>
      <c r="K552" s="809">
        <v>-82.7</v>
      </c>
      <c r="L552" s="809">
        <v>-87.286079372677364</v>
      </c>
      <c r="M552" s="809">
        <v>-84.169215628154717</v>
      </c>
      <c r="N552" s="809">
        <v>-105.99770626154358</v>
      </c>
      <c r="O552" s="809">
        <v>-102.33472131993496</v>
      </c>
      <c r="P552" s="809">
        <v>-119.46955561545373</v>
      </c>
      <c r="Q552" s="809">
        <v>-138.1</v>
      </c>
      <c r="R552" s="809">
        <v>-116.4</v>
      </c>
      <c r="S552" s="1909">
        <f>-145.2+1.9</f>
        <v>-143.29999999999998</v>
      </c>
      <c r="T552" s="809">
        <f>-151.8+2.3</f>
        <v>-149.5</v>
      </c>
      <c r="U552" s="809">
        <f>-163.7+3.5</f>
        <v>-160.19999999999999</v>
      </c>
      <c r="V552" s="809">
        <f>-217.4+7</f>
        <v>-210.4</v>
      </c>
      <c r="W552" s="1909">
        <v>-195.2</v>
      </c>
      <c r="X552" s="809">
        <v>-214.3</v>
      </c>
      <c r="Y552" s="809">
        <v>-241.6</v>
      </c>
      <c r="Z552" s="809">
        <v>-349.2</v>
      </c>
      <c r="AA552" s="809">
        <v>-297.10000000000002</v>
      </c>
      <c r="AB552" s="809">
        <v>-300</v>
      </c>
      <c r="AC552" s="809">
        <v>-311.60000000000002</v>
      </c>
      <c r="AD552" s="809">
        <v>-443.7</v>
      </c>
      <c r="AE552" s="809">
        <v>-340.4</v>
      </c>
      <c r="AF552" s="809">
        <v>-322.89999999999998</v>
      </c>
      <c r="AG552" s="809">
        <v>-355.5</v>
      </c>
      <c r="AH552" s="809">
        <v>-326.3</v>
      </c>
      <c r="AI552" s="809">
        <v>-370.1</v>
      </c>
      <c r="AJ552" s="809">
        <v>-372.2</v>
      </c>
      <c r="AK552" s="809">
        <f t="shared" ref="AK552:AL552" si="3764">AK554*AK$541</f>
        <v>-364.65105219527084</v>
      </c>
      <c r="AL552" s="658">
        <f t="shared" si="3764"/>
        <v>-325.71533811099005</v>
      </c>
      <c r="AM552" s="2430">
        <f t="shared" ref="AM552:AP552" si="3765">AM554*AM$541</f>
        <v>-376.07110069004324</v>
      </c>
      <c r="AN552" s="658">
        <f t="shared" si="3765"/>
        <v>-407.04250501385349</v>
      </c>
      <c r="AO552" s="658">
        <f t="shared" si="3765"/>
        <v>-434.46681412530995</v>
      </c>
      <c r="AP552" s="658">
        <f t="shared" si="3765"/>
        <v>-400.36118439642979</v>
      </c>
      <c r="AQ552" s="658">
        <f t="shared" ref="AQ552:AT552" si="3766">AQ554*AQ$541</f>
        <v>-465.78292771027213</v>
      </c>
      <c r="AR552" s="658">
        <f t="shared" si="3766"/>
        <v>-467.94958412745058</v>
      </c>
      <c r="AS552" s="658">
        <f t="shared" si="3766"/>
        <v>-447.92163213454177</v>
      </c>
      <c r="AT552" s="658">
        <f t="shared" si="3766"/>
        <v>-386.54301672278513</v>
      </c>
      <c r="AU552" s="658">
        <f t="shared" ref="AU552:AX552" si="3767">AU554*AU$541</f>
        <v>-442.34139704586238</v>
      </c>
      <c r="AV552" s="658">
        <f t="shared" si="3767"/>
        <v>-460.88746036708602</v>
      </c>
      <c r="AW552" s="658">
        <f t="shared" si="3767"/>
        <v>-458.49857123428984</v>
      </c>
      <c r="AX552" s="658">
        <f t="shared" si="3767"/>
        <v>-398.83940305239008</v>
      </c>
      <c r="AY552" s="658"/>
      <c r="AZ552" s="658"/>
      <c r="BA552" s="987"/>
      <c r="BB552" s="658">
        <v>-386.54301672278513</v>
      </c>
      <c r="BC552" s="2214">
        <f>+AT552/BB552-1</f>
        <v>0</v>
      </c>
      <c r="BD552" s="987"/>
      <c r="BE552" s="657">
        <f>+SUM(C552:F552)</f>
        <v>-50.3</v>
      </c>
      <c r="BF552" s="657">
        <f>+SUM(G552:J552)</f>
        <v>-68.099999999999994</v>
      </c>
      <c r="BG552" s="657">
        <f>+SUM(K552:N552)</f>
        <v>-360.15300126237565</v>
      </c>
      <c r="BH552" s="657">
        <f>+SUM(O552:R552)</f>
        <v>-476.30427693538866</v>
      </c>
      <c r="BI552" s="657"/>
      <c r="BJ552" s="2088">
        <f>+SUM(S552:V552)</f>
        <v>-663.4</v>
      </c>
      <c r="BK552" s="657">
        <f>+SUM(W552:Z552)</f>
        <v>-1000.3</v>
      </c>
      <c r="BL552" s="657">
        <f>+SUM(AA552:AD552)</f>
        <v>-1352.4</v>
      </c>
      <c r="BM552" s="657">
        <f>+SUM(AE552:AH552)</f>
        <v>-1345.1</v>
      </c>
      <c r="BN552" s="657">
        <f>+SUM(AI552:AL552)</f>
        <v>-1432.6663903062608</v>
      </c>
      <c r="BO552" s="1904">
        <f>+SUM(AM552:AP552)</f>
        <v>-1617.9416042256364</v>
      </c>
      <c r="BP552" s="657">
        <f>+SUM(AQ552:AT552)</f>
        <v>-1768.1971606950497</v>
      </c>
      <c r="BQ552" s="657">
        <f>+SUM(AU552:AX552)</f>
        <v>-1760.5668316996282</v>
      </c>
      <c r="BR552" s="658">
        <f>BR554*BR$541</f>
        <v>-1965.0261442052856</v>
      </c>
      <c r="BS552" s="658">
        <f t="shared" ref="BS552:BU552" si="3768">BS554*BS$541</f>
        <v>-2192.1496947590072</v>
      </c>
      <c r="BT552" s="658">
        <f t="shared" si="3768"/>
        <v>-2439.3356452759376</v>
      </c>
      <c r="BU552" s="658">
        <f t="shared" si="3768"/>
        <v>-2711.0378037712244</v>
      </c>
    </row>
    <row r="553" spans="2:73" s="360" customFormat="1" ht="15" hidden="1" customHeight="1">
      <c r="B553" s="360" t="s">
        <v>316</v>
      </c>
      <c r="C553" s="360" t="str">
        <f>IF(ISNUMBER((C552/#REF!-1)),IF(#REF!=0,"NMF",IF(OR(#REF!*C552&lt;0,C552/#REF!-1&gt;10),"NMF",C552/#REF!-1)),"")</f>
        <v/>
      </c>
      <c r="D553" s="360" t="str">
        <f>IF(ISNUMBER((D552/#REF!-1)),IF(#REF!=0,"NMF",IF(OR(#REF!*D552&lt;0,D552/#REF!-1&gt;10),"NMF",D552/#REF!-1)),"")</f>
        <v/>
      </c>
      <c r="E553" s="360" t="str">
        <f>IF(ISNUMBER((E552/#REF!-1)),IF(#REF!=0,"NMF",IF(OR(#REF!*E552&lt;0,E552/#REF!-1&gt;10),"NMF",E552/#REF!-1)),"")</f>
        <v/>
      </c>
      <c r="F553" s="360" t="str">
        <f>IF(ISNUMBER((F552/A552-1)),IF(A552=0,"NMF",IF(OR(A552*F552&lt;0,F552/A552-1&gt;10),"NMF",F552/A552-1)),"")</f>
        <v/>
      </c>
      <c r="G553" s="495">
        <f t="shared" ref="G553:AD553" si="3769">+G552/C552-1</f>
        <v>1.0909090909090913</v>
      </c>
      <c r="H553" s="495">
        <f t="shared" si="3769"/>
        <v>0.5428571428571427</v>
      </c>
      <c r="I553" s="495">
        <f t="shared" si="3769"/>
        <v>5.2631578947368363E-2</v>
      </c>
      <c r="J553" s="495">
        <f t="shared" si="3769"/>
        <v>0.17159763313609488</v>
      </c>
      <c r="K553" s="495">
        <f t="shared" si="3769"/>
        <v>4.1366459627329188</v>
      </c>
      <c r="L553" s="495">
        <f t="shared" si="3769"/>
        <v>4.3880295909060107</v>
      </c>
      <c r="M553" s="495">
        <f t="shared" si="3769"/>
        <v>4.2605759767596698</v>
      </c>
      <c r="N553" s="495">
        <f t="shared" si="3769"/>
        <v>4.3534195081587663</v>
      </c>
      <c r="O553" s="495">
        <f t="shared" si="3769"/>
        <v>0.23742105586378415</v>
      </c>
      <c r="P553" s="495">
        <f t="shared" si="3769"/>
        <v>0.36871258823947772</v>
      </c>
      <c r="Q553" s="495">
        <f t="shared" si="3769"/>
        <v>0.64074238983172083</v>
      </c>
      <c r="R553" s="495">
        <f t="shared" si="3769"/>
        <v>9.8136970179235172E-2</v>
      </c>
      <c r="S553" s="1905">
        <f t="shared" si="3769"/>
        <v>0.4003067399968081</v>
      </c>
      <c r="T553" s="495">
        <f t="shared" si="3769"/>
        <v>0.25136482872011068</v>
      </c>
      <c r="U553" s="495">
        <f t="shared" si="3769"/>
        <v>0.16002896451846493</v>
      </c>
      <c r="V553" s="495">
        <f t="shared" si="3769"/>
        <v>0.80756013745704469</v>
      </c>
      <c r="W553" s="1905">
        <f t="shared" si="3769"/>
        <v>0.36217725052337757</v>
      </c>
      <c r="X553" s="495">
        <f t="shared" si="3769"/>
        <v>0.43344481605351182</v>
      </c>
      <c r="Y553" s="495">
        <f t="shared" si="3769"/>
        <v>0.5081148564294633</v>
      </c>
      <c r="Z553" s="495">
        <f t="shared" si="3769"/>
        <v>0.65969581749049411</v>
      </c>
      <c r="AA553" s="495">
        <f t="shared" si="3769"/>
        <v>0.52202868852459039</v>
      </c>
      <c r="AB553" s="495">
        <f t="shared" si="3769"/>
        <v>0.39990667288847392</v>
      </c>
      <c r="AC553" s="495">
        <f t="shared" si="3769"/>
        <v>0.28973509933774855</v>
      </c>
      <c r="AD553" s="495">
        <f t="shared" si="3769"/>
        <v>0.27061855670103085</v>
      </c>
      <c r="AE553" s="495">
        <f t="shared" ref="AE553" si="3770">+AE552/AA552-1</f>
        <v>0.14574217435206993</v>
      </c>
      <c r="AF553" s="495">
        <f t="shared" ref="AF553" si="3771">+AF552/AB552-1</f>
        <v>7.6333333333333364E-2</v>
      </c>
      <c r="AG553" s="495">
        <f t="shared" ref="AG553" si="3772">+AG552/AC552-1</f>
        <v>0.14088575096277278</v>
      </c>
      <c r="AH553" s="495">
        <f t="shared" ref="AH553:AI553" si="3773">+AH552/AD552-1</f>
        <v>-0.2645931935992788</v>
      </c>
      <c r="AI553" s="495">
        <f t="shared" si="3773"/>
        <v>8.7250293772032972E-2</v>
      </c>
      <c r="AJ553" s="495">
        <f t="shared" ref="AJ553" si="3774">+AJ552/AF552-1</f>
        <v>0.15267884794053899</v>
      </c>
      <c r="AK553" s="495">
        <f t="shared" ref="AK553" si="3775">+AK552/AG552-1</f>
        <v>2.5741356386134617E-2</v>
      </c>
      <c r="AL553" s="495">
        <f t="shared" ref="AL553" si="3776">+AL552/AH552-1</f>
        <v>-1.7917924885380021E-3</v>
      </c>
      <c r="AM553" s="1905">
        <f t="shared" ref="AM553" si="3777">+AM552/AI552-1</f>
        <v>1.6133749500251815E-2</v>
      </c>
      <c r="AN553" s="495">
        <f t="shared" ref="AN553" si="3778">+AN552/AJ552-1</f>
        <v>9.361231868310993E-2</v>
      </c>
      <c r="AO553" s="495">
        <f t="shared" ref="AO553" si="3779">+AO552/AK552-1</f>
        <v>0.19145909907495007</v>
      </c>
      <c r="AP553" s="495">
        <f t="shared" ref="AP553" si="3780">+AP552/AL552-1</f>
        <v>0.22917510338430414</v>
      </c>
      <c r="AQ553" s="495">
        <f t="shared" ref="AQ553" si="3781">+AQ552/AM552-1</f>
        <v>0.23855017536742107</v>
      </c>
      <c r="AR553" s="495">
        <f t="shared" ref="AR553" si="3782">+AR552/AN552-1</f>
        <v>0.14963321609747893</v>
      </c>
      <c r="AS553" s="495">
        <f t="shared" ref="AS553" si="3783">+AS552/AO552-1</f>
        <v>3.0968574749074218E-2</v>
      </c>
      <c r="AT553" s="495">
        <f t="shared" ref="AT553" si="3784">+AT552/AP552-1</f>
        <v>-3.4514254158970137E-2</v>
      </c>
      <c r="AU553" s="495">
        <f t="shared" ref="AU553" si="3785">+AU552/AQ552-1</f>
        <v>-5.0327157286861657E-2</v>
      </c>
      <c r="AV553" s="495">
        <f t="shared" ref="AV553" si="3786">+AV552/AR552-1</f>
        <v>-1.5091633799681148E-2</v>
      </c>
      <c r="AW553" s="495">
        <f t="shared" ref="AW553" si="3787">+AW552/AS552-1</f>
        <v>2.3613369707875753E-2</v>
      </c>
      <c r="AX553" s="495">
        <f t="shared" ref="AX553" si="3788">+AX552/AT552-1</f>
        <v>3.1811171842805575E-2</v>
      </c>
      <c r="AY553" s="495"/>
      <c r="AZ553" s="495"/>
      <c r="BA553" s="72"/>
      <c r="BB553" s="495">
        <v>-3.4514254158970137E-2</v>
      </c>
      <c r="BC553" s="2189"/>
      <c r="BD553" s="72"/>
      <c r="BE553" s="495"/>
      <c r="BF553" s="495">
        <f t="shared" ref="BF553:BR553" si="3789">+BF552/BE552-1</f>
        <v>0.35387673956262411</v>
      </c>
      <c r="BG553" s="495">
        <f t="shared" si="3789"/>
        <v>4.2885903269071317</v>
      </c>
      <c r="BH553" s="495">
        <f t="shared" si="3789"/>
        <v>0.32250536651337103</v>
      </c>
      <c r="BI553" s="495"/>
      <c r="BJ553" s="2087">
        <f>+BJ552/BH552-1</f>
        <v>0.39280714476975209</v>
      </c>
      <c r="BK553" s="495">
        <f>+BK552/BJ552-1</f>
        <v>0.50783840820018078</v>
      </c>
      <c r="BL553" s="495">
        <f t="shared" si="3789"/>
        <v>0.35199440167949625</v>
      </c>
      <c r="BM553" s="495">
        <f t="shared" si="3789"/>
        <v>-5.397811298432531E-3</v>
      </c>
      <c r="BN553" s="495">
        <f t="shared" si="3789"/>
        <v>6.5100282734563253E-2</v>
      </c>
      <c r="BO553" s="1905">
        <f t="shared" si="3789"/>
        <v>0.12932195183260298</v>
      </c>
      <c r="BP553" s="495">
        <f t="shared" si="3789"/>
        <v>9.286834337962846E-2</v>
      </c>
      <c r="BQ553" s="495">
        <f t="shared" si="3789"/>
        <v>-4.3153157153708044E-3</v>
      </c>
      <c r="BR553" s="495">
        <f t="shared" si="3789"/>
        <v>0.11613266183611737</v>
      </c>
      <c r="BS553" s="495">
        <f t="shared" ref="BS553" si="3790">+BS552/BR552-1</f>
        <v>0.11558296627426135</v>
      </c>
      <c r="BT553" s="495">
        <f t="shared" ref="BT553" si="3791">+BT552/BS552-1</f>
        <v>0.11275961267969192</v>
      </c>
      <c r="BU553" s="495">
        <f t="shared" ref="BU553" si="3792">+BU552/BT552-1</f>
        <v>0.11138367080457745</v>
      </c>
    </row>
    <row r="554" spans="2:73" s="360" customFormat="1" ht="15" hidden="1" customHeight="1">
      <c r="B554" s="360" t="s">
        <v>318</v>
      </c>
      <c r="C554" s="506">
        <f>+C552/C$541</f>
        <v>-0.1163141993957704</v>
      </c>
      <c r="D554" s="506">
        <f>+D552/D$541</f>
        <v>-0.1242603550295858</v>
      </c>
      <c r="E554" s="506">
        <f>+E552/E$541</f>
        <v>-0.13881278538812786</v>
      </c>
      <c r="F554" s="506">
        <f>+F552/F$541</f>
        <v>-9.8599766627771285E-2</v>
      </c>
      <c r="G554" s="506">
        <f t="shared" ref="G554:AH554" si="3793">+G552/G$541</f>
        <v>-0.12384615384615386</v>
      </c>
      <c r="H554" s="506">
        <f t="shared" si="3793"/>
        <v>-0.12846946867565423</v>
      </c>
      <c r="I554" s="506">
        <f t="shared" si="3793"/>
        <v>-0.12185833968012184</v>
      </c>
      <c r="J554" s="506">
        <f t="shared" si="3793"/>
        <v>-0.10296411856474259</v>
      </c>
      <c r="K554" s="506">
        <f t="shared" si="3793"/>
        <v>-0.57252558891159633</v>
      </c>
      <c r="L554" s="506">
        <f t="shared" si="3793"/>
        <v>-0.57534352755350493</v>
      </c>
      <c r="M554" s="506">
        <f t="shared" si="3793"/>
        <v>-0.5257838850630705</v>
      </c>
      <c r="N554" s="506">
        <f t="shared" si="3793"/>
        <v>-0.42364703095248324</v>
      </c>
      <c r="O554" s="506">
        <f t="shared" si="3793"/>
        <v>-0.50880053377376611</v>
      </c>
      <c r="P554" s="506">
        <f t="shared" si="3793"/>
        <v>-0.50726520191266944</v>
      </c>
      <c r="Q554" s="506">
        <f t="shared" si="3793"/>
        <v>-0.51645474943904268</v>
      </c>
      <c r="R554" s="506">
        <f t="shared" si="3793"/>
        <v>-0.32333333333333336</v>
      </c>
      <c r="S554" s="1910">
        <f t="shared" si="3793"/>
        <v>-0.53113417346182346</v>
      </c>
      <c r="T554" s="506">
        <f t="shared" si="3793"/>
        <v>-0.52585297221245164</v>
      </c>
      <c r="U554" s="506">
        <f t="shared" si="3793"/>
        <v>-0.54066824164697935</v>
      </c>
      <c r="V554" s="506">
        <f t="shared" si="3793"/>
        <v>-0.46476695383256023</v>
      </c>
      <c r="W554" s="1910">
        <f t="shared" si="3793"/>
        <v>-0.57260193605162801</v>
      </c>
      <c r="X554" s="506">
        <f t="shared" si="3793"/>
        <v>-0.56070120355834652</v>
      </c>
      <c r="Y554" s="506">
        <f t="shared" si="3793"/>
        <v>-0.48906882591093115</v>
      </c>
      <c r="Z554" s="506">
        <f t="shared" si="3793"/>
        <v>-0.4768537484637444</v>
      </c>
      <c r="AA554" s="506">
        <f t="shared" si="3793"/>
        <v>-0.50708311998634581</v>
      </c>
      <c r="AB554" s="506">
        <f t="shared" si="3793"/>
        <v>-0.53390282968499736</v>
      </c>
      <c r="AC554" s="506">
        <f t="shared" si="3793"/>
        <v>-0.56306469100108425</v>
      </c>
      <c r="AD554" s="506">
        <f t="shared" si="3793"/>
        <v>-0.49360329291356103</v>
      </c>
      <c r="AE554" s="506">
        <f t="shared" si="3793"/>
        <v>-0.52988792029887921</v>
      </c>
      <c r="AF554" s="506">
        <f t="shared" si="3793"/>
        <v>-0.54341972399865357</v>
      </c>
      <c r="AG554" s="506">
        <f t="shared" si="3793"/>
        <v>-0.58994357782940587</v>
      </c>
      <c r="AH554" s="506">
        <f t="shared" si="3793"/>
        <v>-0.37096407457935426</v>
      </c>
      <c r="AI554" s="506">
        <f t="shared" ref="AI554:AJ554" si="3794">+AI552/AI$541</f>
        <v>-0.52773420789961512</v>
      </c>
      <c r="AJ554" s="506">
        <f t="shared" si="3794"/>
        <v>-0.54857109168889739</v>
      </c>
      <c r="AK554" s="506">
        <f>+AG554+0.5%</f>
        <v>-0.58494357782940587</v>
      </c>
      <c r="AL554" s="494">
        <f>+AH554+0.5%</f>
        <v>-0.36596407457935426</v>
      </c>
      <c r="AM554" s="2428">
        <f t="shared" ref="AM554:AP554" si="3795">+AI554+0.5%</f>
        <v>-0.52273420789961511</v>
      </c>
      <c r="AN554" s="494">
        <f t="shared" si="3795"/>
        <v>-0.54357109168889739</v>
      </c>
      <c r="AO554" s="494">
        <f t="shared" si="3795"/>
        <v>-0.57994357782940587</v>
      </c>
      <c r="AP554" s="494">
        <f t="shared" si="3795"/>
        <v>-0.36096407457935425</v>
      </c>
      <c r="AQ554" s="494">
        <f t="shared" ref="AQ554" si="3796">+AM554+0.5%</f>
        <v>-0.51773420789961511</v>
      </c>
      <c r="AR554" s="494">
        <f t="shared" ref="AR554" si="3797">+AN554+0.5%</f>
        <v>-0.53857109168889739</v>
      </c>
      <c r="AS554" s="494">
        <f t="shared" ref="AS554" si="3798">+AO554+0.5%</f>
        <v>-0.57494357782940586</v>
      </c>
      <c r="AT554" s="494">
        <f t="shared" ref="AT554" si="3799">+AP554+0.5%</f>
        <v>-0.35596407457935425</v>
      </c>
      <c r="AU554" s="494">
        <f t="shared" ref="AU554" si="3800">+AQ554+0.5%</f>
        <v>-0.5127342078996151</v>
      </c>
      <c r="AV554" s="494">
        <f t="shared" ref="AV554" si="3801">+AR554+0.5%</f>
        <v>-0.53357109168889738</v>
      </c>
      <c r="AW554" s="494">
        <f t="shared" ref="AW554" si="3802">+AS554+0.5%</f>
        <v>-0.56994357782940586</v>
      </c>
      <c r="AX554" s="494">
        <f t="shared" ref="AX554" si="3803">+AT554+0.5%</f>
        <v>-0.35096407457935425</v>
      </c>
      <c r="AY554" s="494"/>
      <c r="AZ554" s="494"/>
      <c r="BA554" s="72"/>
      <c r="BB554" s="494">
        <v>-0.35596407457935425</v>
      </c>
      <c r="BC554" s="2189"/>
      <c r="BD554" s="72"/>
      <c r="BE554" s="506">
        <f t="shared" ref="BE554:BK554" si="3804">+BE552/BE$541</f>
        <v>-0.1165430954587581</v>
      </c>
      <c r="BF554" s="506">
        <f t="shared" si="3804"/>
        <v>-0.11747455580472656</v>
      </c>
      <c r="BG554" s="506">
        <f t="shared" si="3804"/>
        <v>-0.50981031715155034</v>
      </c>
      <c r="BH554" s="506">
        <f t="shared" si="3804"/>
        <v>-0.44763491419467966</v>
      </c>
      <c r="BI554" s="506"/>
      <c r="BJ554" s="2092">
        <f t="shared" si="3804"/>
        <v>-0.5090936996393215</v>
      </c>
      <c r="BK554" s="506">
        <f t="shared" si="3804"/>
        <v>-0.51313224581922645</v>
      </c>
      <c r="BL554" s="506">
        <f t="shared" ref="BL554:BQ554" si="3805">+BL552/BL$541</f>
        <v>-0.52013384100611515</v>
      </c>
      <c r="BM554" s="506">
        <f t="shared" si="3805"/>
        <v>-0.49474032661468298</v>
      </c>
      <c r="BN554" s="506">
        <f t="shared" si="3805"/>
        <v>-0.49518311807014448</v>
      </c>
      <c r="BO554" s="1910">
        <f t="shared" si="3805"/>
        <v>-0.48637095552890169</v>
      </c>
      <c r="BP554" s="506">
        <f t="shared" si="3805"/>
        <v>-0.48663689979703911</v>
      </c>
      <c r="BQ554" s="506">
        <f t="shared" si="3805"/>
        <v>-0.48006331337707392</v>
      </c>
      <c r="BR554" s="494">
        <f t="shared" ref="BR554" si="3806">+BQ554+0.5%</f>
        <v>-0.47506331337707391</v>
      </c>
      <c r="BS554" s="494">
        <f t="shared" ref="BS554" si="3807">+BR554+0.5%</f>
        <v>-0.47006331337707391</v>
      </c>
      <c r="BT554" s="494">
        <f t="shared" ref="BT554" si="3808">+BS554+0.5%</f>
        <v>-0.46506331337707391</v>
      </c>
      <c r="BU554" s="494">
        <f t="shared" ref="BU554" si="3809">+BT554+0.5%</f>
        <v>-0.4600633133770739</v>
      </c>
    </row>
    <row r="555" spans="2:73" s="507" customFormat="1" ht="15" hidden="1" customHeight="1">
      <c r="B555" s="507" t="s">
        <v>17</v>
      </c>
      <c r="C555" s="810">
        <v>-49.5</v>
      </c>
      <c r="D555" s="810">
        <v>-56.3</v>
      </c>
      <c r="E555" s="809">
        <v>-75.3</v>
      </c>
      <c r="F555" s="809">
        <v>-86.5</v>
      </c>
      <c r="G555" s="809">
        <v>-91.8</v>
      </c>
      <c r="H555" s="809">
        <v>-86.1</v>
      </c>
      <c r="I555" s="809">
        <v>-99</v>
      </c>
      <c r="J555" s="809">
        <v>-105</v>
      </c>
      <c r="K555" s="809">
        <v>-44.6</v>
      </c>
      <c r="L555" s="809">
        <v>-44.657337766032072</v>
      </c>
      <c r="M555" s="809">
        <v>-57.880501490235964</v>
      </c>
      <c r="N555" s="809">
        <v>-57.746402947376481</v>
      </c>
      <c r="O555" s="809">
        <v>-57.65876062149502</v>
      </c>
      <c r="P555" s="809">
        <v>-72.53032882599345</v>
      </c>
      <c r="Q555" s="809">
        <v>-110.5</v>
      </c>
      <c r="R555" s="809">
        <v>-137.6</v>
      </c>
      <c r="S555" s="1909">
        <f>-82.5+0.2</f>
        <v>-82.3</v>
      </c>
      <c r="T555" s="809">
        <f>-93.5-0.5</f>
        <v>-94</v>
      </c>
      <c r="U555" s="809">
        <f>-88.1+0.2</f>
        <v>-87.899999999999991</v>
      </c>
      <c r="V555" s="809">
        <f>-86.6-1.2</f>
        <v>-87.8</v>
      </c>
      <c r="W555" s="1909">
        <v>-91.5</v>
      </c>
      <c r="X555" s="809">
        <v>-102.5</v>
      </c>
      <c r="Y555" s="809">
        <v>-120.6</v>
      </c>
      <c r="Z555" s="809">
        <v>-110.5</v>
      </c>
      <c r="AA555" s="809">
        <v>-154.9</v>
      </c>
      <c r="AB555" s="809">
        <v>-165.4</v>
      </c>
      <c r="AC555" s="809">
        <v>-152.30000000000001</v>
      </c>
      <c r="AD555" s="809">
        <v>-204</v>
      </c>
      <c r="AE555" s="809">
        <v>-175</v>
      </c>
      <c r="AF555" s="809">
        <v>-187.5</v>
      </c>
      <c r="AG555" s="809">
        <v>-173.8</v>
      </c>
      <c r="AH555" s="809">
        <v>-207.2</v>
      </c>
      <c r="AI555" s="809">
        <v>-186.7</v>
      </c>
      <c r="AJ555" s="809">
        <v>-195</v>
      </c>
      <c r="AK555" s="809">
        <f t="shared" ref="AK555" si="3810">+AG555*(1+AK556)</f>
        <v>-187.70400000000004</v>
      </c>
      <c r="AL555" s="658">
        <f t="shared" ref="AL555" si="3811">+AH555*(1+AL556)</f>
        <v>-223.77600000000001</v>
      </c>
      <c r="AM555" s="2430">
        <f t="shared" ref="AM555" si="3812">+AI555*(1+AM556)</f>
        <v>-201.636</v>
      </c>
      <c r="AN555" s="658">
        <f t="shared" ref="AN555" si="3813">+AJ555*(1+AN556)</f>
        <v>-210.60000000000002</v>
      </c>
      <c r="AO555" s="658">
        <f t="shared" ref="AO555" si="3814">+AK555*(1+AO556)</f>
        <v>-202.72032000000004</v>
      </c>
      <c r="AP555" s="658">
        <f t="shared" ref="AP555" si="3815">+AL555*(1+AP556)</f>
        <v>-241.67808000000002</v>
      </c>
      <c r="AQ555" s="658">
        <f t="shared" ref="AQ555" si="3816">+AM555*(1+AQ556)</f>
        <v>-217.76688000000001</v>
      </c>
      <c r="AR555" s="658">
        <f t="shared" ref="AR555" si="3817">+AN555*(1+AR556)</f>
        <v>-227.44800000000004</v>
      </c>
      <c r="AS555" s="658">
        <f t="shared" ref="AS555" si="3818">+AO555*(1+AS556)</f>
        <v>-218.93794560000006</v>
      </c>
      <c r="AT555" s="658">
        <f t="shared" ref="AT555" si="3819">+AP555*(1+AT556)</f>
        <v>-261.01232640000006</v>
      </c>
      <c r="AU555" s="658">
        <f t="shared" ref="AU555" si="3820">+AQ555*(1+AU556)</f>
        <v>-235.18823040000004</v>
      </c>
      <c r="AV555" s="658">
        <f t="shared" ref="AV555" si="3821">+AR555*(1+AV556)</f>
        <v>-245.64384000000007</v>
      </c>
      <c r="AW555" s="658">
        <f t="shared" ref="AW555" si="3822">+AS555*(1+AW556)</f>
        <v>-236.45298124800007</v>
      </c>
      <c r="AX555" s="658">
        <f t="shared" ref="AX555" si="3823">+AT555*(1+AX556)</f>
        <v>-281.89331251200008</v>
      </c>
      <c r="AY555" s="658"/>
      <c r="AZ555" s="658"/>
      <c r="BA555" s="983"/>
      <c r="BB555" s="658">
        <v>-261.01232640000006</v>
      </c>
      <c r="BC555" s="2202">
        <f>+AT555/BB555-1</f>
        <v>0</v>
      </c>
      <c r="BD555" s="987"/>
      <c r="BE555" s="657">
        <f>+SUM(C555:F555)</f>
        <v>-267.60000000000002</v>
      </c>
      <c r="BF555" s="657">
        <f>+SUM(G555:J555)</f>
        <v>-381.9</v>
      </c>
      <c r="BG555" s="657">
        <f>+SUM(K555:N555)</f>
        <v>-204.8842422036445</v>
      </c>
      <c r="BH555" s="657">
        <f>+SUM(O555:R555)</f>
        <v>-378.28908944748844</v>
      </c>
      <c r="BI555" s="657"/>
      <c r="BJ555" s="2088">
        <f>+SUM(S555:V555)</f>
        <v>-352</v>
      </c>
      <c r="BK555" s="657">
        <f>+SUM(W555:Z555)</f>
        <v>-425.1</v>
      </c>
      <c r="BL555" s="657">
        <f>+SUM(AA555:AD555)</f>
        <v>-676.6</v>
      </c>
      <c r="BM555" s="657">
        <f>+SUM(AE555:AH555)</f>
        <v>-743.5</v>
      </c>
      <c r="BN555" s="657">
        <f>+SUM(AI555:AL555)</f>
        <v>-793.18000000000006</v>
      </c>
      <c r="BO555" s="1904">
        <f>+SUM(AM555:AP555)</f>
        <v>-856.63440000000003</v>
      </c>
      <c r="BP555" s="657">
        <f>+SUM(AQ555:AT555)</f>
        <v>-925.16515200000026</v>
      </c>
      <c r="BQ555" s="657">
        <f>+SUM(AU555:AX555)</f>
        <v>-999.17836416000034</v>
      </c>
      <c r="BR555" s="658">
        <f t="shared" ref="BR555" si="3824">+BQ555*(1+BR556)</f>
        <v>-1079.1126332928004</v>
      </c>
      <c r="BS555" s="658">
        <f t="shared" ref="BS555" si="3825">+BR555*(1+BS556)</f>
        <v>-1165.4416439562244</v>
      </c>
      <c r="BT555" s="658">
        <f t="shared" ref="BT555" si="3826">+BS555*(1+BT556)</f>
        <v>-1258.6769754727225</v>
      </c>
      <c r="BU555" s="658">
        <f t="shared" ref="BU555" si="3827">+BT555*(1+BU556)</f>
        <v>-1359.3711335105404</v>
      </c>
    </row>
    <row r="556" spans="2:73" s="360" customFormat="1" ht="15" hidden="1" customHeight="1">
      <c r="B556" s="360" t="s">
        <v>316</v>
      </c>
      <c r="C556" s="360" t="str">
        <f>IF(ISNUMBER((C555/#REF!-1)),IF(#REF!=0,"NMF",IF(OR(#REF!*C555&lt;0,C555/#REF!-1&gt;10),"NMF",C555/#REF!-1)),"")</f>
        <v/>
      </c>
      <c r="D556" s="360" t="str">
        <f>IF(ISNUMBER((D555/#REF!-1)),IF(#REF!=0,"NMF",IF(OR(#REF!*D555&lt;0,D555/#REF!-1&gt;10),"NMF",D555/#REF!-1)),"")</f>
        <v/>
      </c>
      <c r="E556" s="360" t="str">
        <f>IF(ISNUMBER((E555/#REF!-1)),IF(#REF!=0,"NMF",IF(OR(#REF!*E555&lt;0,E555/#REF!-1&gt;10),"NMF",E555/#REF!-1)),"")</f>
        <v/>
      </c>
      <c r="F556" s="360" t="str">
        <f>IF(ISNUMBER((F555/A555-1)),IF(A555=0,"NMF",IF(OR(A555*F555&lt;0,F555/A555-1&gt;10),"NMF",F555/A555-1)),"")</f>
        <v/>
      </c>
      <c r="G556" s="495">
        <f t="shared" ref="G556:AJ556" si="3828">+G555/C555-1</f>
        <v>0.8545454545454545</v>
      </c>
      <c r="H556" s="495">
        <f t="shared" si="3828"/>
        <v>0.52930728241563063</v>
      </c>
      <c r="I556" s="495">
        <f t="shared" si="3828"/>
        <v>0.31474103585657365</v>
      </c>
      <c r="J556" s="495">
        <f t="shared" si="3828"/>
        <v>0.21387283236994215</v>
      </c>
      <c r="K556" s="495">
        <f t="shared" si="3828"/>
        <v>-0.51416122004357301</v>
      </c>
      <c r="L556" s="495">
        <f t="shared" si="3828"/>
        <v>-0.48133173326327439</v>
      </c>
      <c r="M556" s="495">
        <f t="shared" si="3828"/>
        <v>-0.41534846979559636</v>
      </c>
      <c r="N556" s="495">
        <f t="shared" si="3828"/>
        <v>-0.45003425764403349</v>
      </c>
      <c r="O556" s="495">
        <f t="shared" si="3828"/>
        <v>0.29279732335190634</v>
      </c>
      <c r="P556" s="495">
        <f t="shared" si="3828"/>
        <v>0.62415254590394653</v>
      </c>
      <c r="Q556" s="495">
        <f t="shared" si="3828"/>
        <v>0.90910578096218764</v>
      </c>
      <c r="R556" s="495">
        <f t="shared" si="3828"/>
        <v>1.382832401273427</v>
      </c>
      <c r="S556" s="1905">
        <f t="shared" si="3828"/>
        <v>0.42736332021189494</v>
      </c>
      <c r="T556" s="495">
        <f t="shared" si="3828"/>
        <v>0.29600956622593233</v>
      </c>
      <c r="U556" s="495">
        <f t="shared" si="3828"/>
        <v>-0.2045248868778281</v>
      </c>
      <c r="V556" s="495">
        <f t="shared" si="3828"/>
        <v>-0.36191860465116277</v>
      </c>
      <c r="W556" s="1905">
        <f t="shared" si="3828"/>
        <v>0.11178614823815303</v>
      </c>
      <c r="X556" s="495">
        <f t="shared" si="3828"/>
        <v>9.0425531914893664E-2</v>
      </c>
      <c r="Y556" s="495">
        <f t="shared" si="3828"/>
        <v>0.37201365187713309</v>
      </c>
      <c r="Z556" s="495">
        <f t="shared" si="3828"/>
        <v>0.25854214123006836</v>
      </c>
      <c r="AA556" s="495">
        <f t="shared" si="3828"/>
        <v>0.69289617486338795</v>
      </c>
      <c r="AB556" s="495">
        <f t="shared" si="3828"/>
        <v>0.61365853658536595</v>
      </c>
      <c r="AC556" s="495">
        <f t="shared" si="3828"/>
        <v>0.2628524046434495</v>
      </c>
      <c r="AD556" s="495">
        <f t="shared" si="3828"/>
        <v>0.84615384615384626</v>
      </c>
      <c r="AE556" s="495">
        <f t="shared" si="3828"/>
        <v>0.12976113621691399</v>
      </c>
      <c r="AF556" s="495">
        <f t="shared" si="3828"/>
        <v>0.13361547762998782</v>
      </c>
      <c r="AG556" s="495">
        <f t="shared" si="3828"/>
        <v>0.14116874589625739</v>
      </c>
      <c r="AH556" s="495">
        <f t="shared" si="3828"/>
        <v>1.5686274509803866E-2</v>
      </c>
      <c r="AI556" s="495">
        <f t="shared" si="3828"/>
        <v>6.6857142857142726E-2</v>
      </c>
      <c r="AJ556" s="495">
        <f t="shared" si="3828"/>
        <v>4.0000000000000036E-2</v>
      </c>
      <c r="AK556" s="495">
        <v>0.08</v>
      </c>
      <c r="AL556" s="508">
        <v>0.08</v>
      </c>
      <c r="AM556" s="2431">
        <v>0.08</v>
      </c>
      <c r="AN556" s="508">
        <v>0.08</v>
      </c>
      <c r="AO556" s="508">
        <v>0.08</v>
      </c>
      <c r="AP556" s="508">
        <v>0.08</v>
      </c>
      <c r="AQ556" s="508">
        <v>0.08</v>
      </c>
      <c r="AR556" s="508">
        <v>0.08</v>
      </c>
      <c r="AS556" s="508">
        <v>0.08</v>
      </c>
      <c r="AT556" s="508">
        <v>0.08</v>
      </c>
      <c r="AU556" s="508">
        <v>0.08</v>
      </c>
      <c r="AV556" s="508">
        <v>0.08</v>
      </c>
      <c r="AW556" s="508">
        <v>0.08</v>
      </c>
      <c r="AX556" s="508">
        <v>0.08</v>
      </c>
      <c r="AY556" s="508"/>
      <c r="AZ556" s="508"/>
      <c r="BA556" s="72"/>
      <c r="BB556" s="508">
        <v>0.08</v>
      </c>
      <c r="BC556" s="2189"/>
      <c r="BD556" s="72"/>
      <c r="BE556" s="495"/>
      <c r="BF556" s="495">
        <f t="shared" ref="BF556:BQ556" si="3829">+BF555/BE555-1</f>
        <v>0.42713004484304906</v>
      </c>
      <c r="BG556" s="495">
        <f t="shared" si="3829"/>
        <v>-0.46351337469587717</v>
      </c>
      <c r="BH556" s="495">
        <f t="shared" si="3829"/>
        <v>0.84635521687162418</v>
      </c>
      <c r="BI556" s="495"/>
      <c r="BJ556" s="2087">
        <f>+BJ555/BH555-1</f>
        <v>-6.94947070397538E-2</v>
      </c>
      <c r="BK556" s="495">
        <f>+BK555/BJ555-1</f>
        <v>0.20767045454545463</v>
      </c>
      <c r="BL556" s="495">
        <f t="shared" si="3829"/>
        <v>0.59162549988238067</v>
      </c>
      <c r="BM556" s="495">
        <f t="shared" si="3829"/>
        <v>9.8876736624297967E-2</v>
      </c>
      <c r="BN556" s="495">
        <f t="shared" si="3829"/>
        <v>6.6819098856758741E-2</v>
      </c>
      <c r="BO556" s="1905">
        <f t="shared" si="3829"/>
        <v>7.9999999999999849E-2</v>
      </c>
      <c r="BP556" s="495">
        <f t="shared" si="3829"/>
        <v>8.0000000000000293E-2</v>
      </c>
      <c r="BQ556" s="495">
        <f t="shared" si="3829"/>
        <v>8.0000000000000071E-2</v>
      </c>
      <c r="BR556" s="508">
        <v>0.08</v>
      </c>
      <c r="BS556" s="508">
        <v>0.08</v>
      </c>
      <c r="BT556" s="508">
        <v>0.08</v>
      </c>
      <c r="BU556" s="508">
        <v>0.08</v>
      </c>
    </row>
    <row r="557" spans="2:73" s="360" customFormat="1" ht="15" hidden="1" customHeight="1">
      <c r="B557" s="360" t="s">
        <v>318</v>
      </c>
      <c r="C557" s="506">
        <f t="shared" ref="C557:Z557" si="3830">+C555/C$541</f>
        <v>-0.74773413897280983</v>
      </c>
      <c r="D557" s="506">
        <f t="shared" si="3830"/>
        <v>-0.66627218934911236</v>
      </c>
      <c r="E557" s="506">
        <f t="shared" si="3830"/>
        <v>-0.68767123287671228</v>
      </c>
      <c r="F557" s="506">
        <f t="shared" si="3830"/>
        <v>-0.50466744457409562</v>
      </c>
      <c r="G557" s="506">
        <f t="shared" si="3830"/>
        <v>-0.70615384615384613</v>
      </c>
      <c r="H557" s="506">
        <f t="shared" si="3830"/>
        <v>-0.68279143536875497</v>
      </c>
      <c r="I557" s="506">
        <f t="shared" si="3830"/>
        <v>-0.75399847677075393</v>
      </c>
      <c r="J557" s="506">
        <f t="shared" si="3830"/>
        <v>-0.54602184087363492</v>
      </c>
      <c r="K557" s="506">
        <f t="shared" si="3830"/>
        <v>-0.30876228857868437</v>
      </c>
      <c r="L557" s="506">
        <f t="shared" si="3830"/>
        <v>-0.29435747860500044</v>
      </c>
      <c r="M557" s="506">
        <f t="shared" si="3830"/>
        <v>-0.36156491082655817</v>
      </c>
      <c r="N557" s="506">
        <f t="shared" si="3830"/>
        <v>-0.23079831648882998</v>
      </c>
      <c r="O557" s="506">
        <f t="shared" si="3830"/>
        <v>-0.28667501902148257</v>
      </c>
      <c r="P557" s="506">
        <f t="shared" si="3830"/>
        <v>-0.30796223947744145</v>
      </c>
      <c r="Q557" s="506">
        <f t="shared" si="3830"/>
        <v>-0.41323859386686618</v>
      </c>
      <c r="R557" s="506">
        <f t="shared" si="3830"/>
        <v>-0.38222222222222219</v>
      </c>
      <c r="S557" s="1910">
        <f t="shared" si="3830"/>
        <v>-0.30504077094143806</v>
      </c>
      <c r="T557" s="506">
        <f t="shared" si="3830"/>
        <v>-0.33063665142455151</v>
      </c>
      <c r="U557" s="506">
        <f t="shared" si="3830"/>
        <v>-0.2966587917651029</v>
      </c>
      <c r="V557" s="506">
        <f t="shared" si="3830"/>
        <v>-0.19394742655180031</v>
      </c>
      <c r="W557" s="1910">
        <f t="shared" si="3830"/>
        <v>-0.26840715752420069</v>
      </c>
      <c r="X557" s="506">
        <f t="shared" si="3830"/>
        <v>-0.26818419675562533</v>
      </c>
      <c r="Y557" s="506">
        <f t="shared" si="3830"/>
        <v>-0.24412955465587044</v>
      </c>
      <c r="Z557" s="506">
        <f t="shared" si="3830"/>
        <v>-0.1508944421685102</v>
      </c>
      <c r="AA557" s="506">
        <f>+AA555/AA$541</f>
        <v>-0.26437958696023212</v>
      </c>
      <c r="AB557" s="506">
        <f>+AB555/AB$541</f>
        <v>-0.29435842676632856</v>
      </c>
      <c r="AC557" s="506">
        <f>+AC555/AC$541</f>
        <v>-0.27520780628839903</v>
      </c>
      <c r="AD557" s="506">
        <f>+AD555/AD$541</f>
        <v>-0.22694404271887864</v>
      </c>
      <c r="AE557" s="506">
        <f t="shared" ref="AE557:AH557" si="3831">+AE555/AE$541</f>
        <v>-0.27241594022415944</v>
      </c>
      <c r="AF557" s="506">
        <f t="shared" si="3831"/>
        <v>-0.31555031975765735</v>
      </c>
      <c r="AG557" s="506">
        <f t="shared" si="3831"/>
        <v>-0.28841686027215402</v>
      </c>
      <c r="AH557" s="506">
        <f t="shared" si="3831"/>
        <v>-0.23556161891768984</v>
      </c>
      <c r="AI557" s="506">
        <f t="shared" ref="AI557:AL557" si="3832">+AI555/AI$541</f>
        <v>-0.26621987737059744</v>
      </c>
      <c r="AJ557" s="506">
        <f t="shared" si="3832"/>
        <v>-0.28740290940175978</v>
      </c>
      <c r="AK557" s="506">
        <f t="shared" si="3832"/>
        <v>-0.30109949956786319</v>
      </c>
      <c r="AL557" s="506">
        <f t="shared" si="3832"/>
        <v>-0.25142806362150366</v>
      </c>
      <c r="AM557" s="1910">
        <f t="shared" ref="AM557:AP557" si="3833">+AM555/AM$541</f>
        <v>-0.28027156181543145</v>
      </c>
      <c r="AN557" s="506">
        <f t="shared" si="3833"/>
        <v>-0.28123861881644441</v>
      </c>
      <c r="AO557" s="506">
        <f t="shared" si="3833"/>
        <v>-0.27059914326532042</v>
      </c>
      <c r="AP557" s="506">
        <f t="shared" si="3833"/>
        <v>-0.21789600963647535</v>
      </c>
      <c r="AQ557" s="506">
        <f t="shared" ref="AQ557:AT557" si="3834">+AQ555/AQ$541</f>
        <v>-0.24205559374580768</v>
      </c>
      <c r="AR557" s="506">
        <f t="shared" si="3834"/>
        <v>-0.26177375045832529</v>
      </c>
      <c r="AS557" s="506">
        <f t="shared" si="3834"/>
        <v>-0.28102452914815762</v>
      </c>
      <c r="AT557" s="506">
        <f t="shared" si="3834"/>
        <v>-0.24036396261535065</v>
      </c>
      <c r="AU557" s="506">
        <f t="shared" ref="AU557:AX557" si="3835">+AU555/AU$541</f>
        <v>-0.27261534151404193</v>
      </c>
      <c r="AV557" s="506">
        <f t="shared" si="3835"/>
        <v>-0.28438276834665871</v>
      </c>
      <c r="AW557" s="506">
        <f t="shared" si="3835"/>
        <v>-0.29392645163129766</v>
      </c>
      <c r="AX557" s="506">
        <f t="shared" si="3835"/>
        <v>-0.2480557958885701</v>
      </c>
      <c r="AY557" s="506"/>
      <c r="AZ557" s="506"/>
      <c r="BA557" s="72"/>
      <c r="BB557" s="506">
        <v>-0.24036396261535065</v>
      </c>
      <c r="BC557" s="2189"/>
      <c r="BD557" s="72"/>
      <c r="BE557" s="506">
        <f t="shared" ref="BE557:BK557" si="3836">+BE555/BE$541</f>
        <v>-0.62001853568118626</v>
      </c>
      <c r="BF557" s="506">
        <f t="shared" si="3836"/>
        <v>-0.65878902880800405</v>
      </c>
      <c r="BG557" s="506">
        <f t="shared" si="3836"/>
        <v>-0.29002146346435831</v>
      </c>
      <c r="BH557" s="506">
        <f t="shared" si="3836"/>
        <v>-0.35551938602176475</v>
      </c>
      <c r="BI557" s="506"/>
      <c r="BJ557" s="2092">
        <f t="shared" si="3836"/>
        <v>-0.27012508633259147</v>
      </c>
      <c r="BK557" s="506">
        <f t="shared" si="3836"/>
        <v>-0.21806709756848264</v>
      </c>
      <c r="BL557" s="506">
        <f>+BL555/BL$541</f>
        <v>-0.26022076073997158</v>
      </c>
      <c r="BM557" s="506">
        <f>+BM555/BM$541</f>
        <v>-0.27346623510372225</v>
      </c>
      <c r="BN557" s="506">
        <f>+BN555/BN$541</f>
        <v>-0.27415269056944586</v>
      </c>
      <c r="BO557" s="1910">
        <f>+BO555/BO$541</f>
        <v>-0.25751367699474953</v>
      </c>
      <c r="BP557" s="506">
        <f>+BP555/BP$541</f>
        <v>-0.25462064490170461</v>
      </c>
      <c r="BQ557" s="506">
        <f t="shared" ref="BQ557" si="3837">+BQ555/BQ$541</f>
        <v>-0.27245138753992559</v>
      </c>
      <c r="BR557" s="506">
        <f>+BR555/BR$541</f>
        <v>-0.26088549742246125</v>
      </c>
      <c r="BS557" s="506">
        <f t="shared" ref="BS557:BU557" si="3838">+BS555/BS$541</f>
        <v>-0.24990599958362447</v>
      </c>
      <c r="BT557" s="506">
        <f t="shared" si="3838"/>
        <v>-0.23996881520524077</v>
      </c>
      <c r="BU557" s="506">
        <f t="shared" si="3838"/>
        <v>-0.23068538067674363</v>
      </c>
    </row>
    <row r="558" spans="2:73" s="507" customFormat="1" ht="15" hidden="1" customHeight="1">
      <c r="B558" s="507" t="s">
        <v>383</v>
      </c>
      <c r="C558" s="810">
        <v>-0.1</v>
      </c>
      <c r="D558" s="810">
        <v>0.2</v>
      </c>
      <c r="E558" s="809">
        <v>-1</v>
      </c>
      <c r="F558" s="809">
        <v>0.3</v>
      </c>
      <c r="G558" s="809">
        <v>0</v>
      </c>
      <c r="H558" s="809">
        <v>0.4</v>
      </c>
      <c r="I558" s="809">
        <v>-0.2</v>
      </c>
      <c r="J558" s="809">
        <v>0.1</v>
      </c>
      <c r="K558" s="809">
        <v>2.8778620741423344E-2</v>
      </c>
      <c r="L558" s="809">
        <v>-0.14849730667723682</v>
      </c>
      <c r="M558" s="809">
        <v>0.37169331387754778</v>
      </c>
      <c r="N558" s="809">
        <v>1.0891324925761348</v>
      </c>
      <c r="O558" s="809">
        <v>-4.0058903269996726</v>
      </c>
      <c r="P558" s="809">
        <v>-12.851232114644045</v>
      </c>
      <c r="Q558" s="809">
        <v>16.5</v>
      </c>
      <c r="R558" s="809">
        <v>2.2999999999999998</v>
      </c>
      <c r="S558" s="1909">
        <v>-0.3</v>
      </c>
      <c r="T558" s="809">
        <v>-0.1</v>
      </c>
      <c r="U558" s="809">
        <v>0.4</v>
      </c>
      <c r="V558" s="809">
        <f>-0.9</f>
        <v>-0.9</v>
      </c>
      <c r="W558" s="1909">
        <v>0.1</v>
      </c>
      <c r="X558" s="809">
        <v>4.5999999999999996</v>
      </c>
      <c r="Y558" s="809">
        <v>-1.3</v>
      </c>
      <c r="Z558" s="809">
        <v>-0.9</v>
      </c>
      <c r="AA558" s="809">
        <v>1.5</v>
      </c>
      <c r="AB558" s="809">
        <v>1.9</v>
      </c>
      <c r="AC558" s="809">
        <v>0.1</v>
      </c>
      <c r="AD558" s="809">
        <v>-1.7</v>
      </c>
      <c r="AE558" s="809">
        <v>1.7</v>
      </c>
      <c r="AF558" s="809">
        <v>2.2000000000000002</v>
      </c>
      <c r="AG558" s="809">
        <v>-17.7</v>
      </c>
      <c r="AH558" s="809">
        <v>-31.1</v>
      </c>
      <c r="AI558" s="809">
        <v>-0.4</v>
      </c>
      <c r="AJ558" s="809">
        <v>-16</v>
      </c>
      <c r="AK558" s="809">
        <f t="shared" ref="AK558:AL558" si="3839">AK560*AK$541</f>
        <v>-14.70076805329581</v>
      </c>
      <c r="AL558" s="658">
        <f t="shared" si="3839"/>
        <v>-20.988252840988505</v>
      </c>
      <c r="AM558" s="2430">
        <f t="shared" ref="AM558:AP558" si="3840">AM560*AM$541</f>
        <v>-16.965457333616651</v>
      </c>
      <c r="AN558" s="658">
        <f t="shared" si="3840"/>
        <v>-17.658749340195602</v>
      </c>
      <c r="AO558" s="658">
        <f t="shared" si="3840"/>
        <v>-17.666373066644184</v>
      </c>
      <c r="AP558" s="658">
        <f t="shared" si="3840"/>
        <v>-26.155589731841008</v>
      </c>
      <c r="AQ558" s="658">
        <f t="shared" ref="AQ558:AT558" si="3841">AQ560*AQ$541</f>
        <v>-21.215498316899403</v>
      </c>
      <c r="AR558" s="658">
        <f t="shared" si="3841"/>
        <v>-20.48955652363356</v>
      </c>
      <c r="AS558" s="658">
        <f t="shared" si="3841"/>
        <v>-18.371869051447362</v>
      </c>
      <c r="AT558" s="658">
        <f t="shared" si="3841"/>
        <v>-25.607559701815244</v>
      </c>
      <c r="AU558" s="658">
        <f t="shared" ref="AU558:AX558" si="3842">AU560*AU$541</f>
        <v>-20.344256542001755</v>
      </c>
      <c r="AV558" s="658">
        <f t="shared" si="3842"/>
        <v>-20.369441983459811</v>
      </c>
      <c r="AW558" s="658">
        <f t="shared" si="3842"/>
        <v>-18.970669318083363</v>
      </c>
      <c r="AX558" s="658">
        <f t="shared" si="3842"/>
        <v>-26.798588845110643</v>
      </c>
      <c r="AY558" s="658"/>
      <c r="AZ558" s="658"/>
      <c r="BA558" s="983"/>
      <c r="BB558" s="658">
        <v>-25.607559701815244</v>
      </c>
      <c r="BC558" s="2202">
        <f>+AT558/BB558-1</f>
        <v>0</v>
      </c>
      <c r="BD558" s="987"/>
      <c r="BE558" s="657">
        <f>+SUM(C558:F558)</f>
        <v>-0.60000000000000009</v>
      </c>
      <c r="BF558" s="657">
        <f>+SUM(G558:J558)</f>
        <v>0.30000000000000004</v>
      </c>
      <c r="BG558" s="657">
        <f>+SUM(K558:N558)</f>
        <v>1.3411071205178691</v>
      </c>
      <c r="BH558" s="657">
        <f>+SUM(O558:R558)</f>
        <v>1.9428775583562823</v>
      </c>
      <c r="BI558" s="657"/>
      <c r="BJ558" s="2088">
        <f>+SUM(S558:V558)</f>
        <v>-0.9</v>
      </c>
      <c r="BK558" s="657">
        <f>+SUM(W558:Z558)</f>
        <v>2.4999999999999996</v>
      </c>
      <c r="BL558" s="657">
        <f>+SUM(AA558:AD558)</f>
        <v>1.8</v>
      </c>
      <c r="BM558" s="657">
        <f>+SUM(AE558:AH558)</f>
        <v>-44.9</v>
      </c>
      <c r="BN558" s="657">
        <f>+SUM(AI558:AL558)</f>
        <v>-52.089020894284317</v>
      </c>
      <c r="BO558" s="1904">
        <f>+SUM(AM558:AP558)</f>
        <v>-78.446169472297441</v>
      </c>
      <c r="BP558" s="657">
        <f>+SUM(AQ558:AT558)</f>
        <v>-85.684483593795576</v>
      </c>
      <c r="BQ558" s="657">
        <f>+SUM(AU558:AX558)</f>
        <v>-86.482956688655577</v>
      </c>
      <c r="BR558" s="658">
        <f>BR560*BR$541</f>
        <v>-97.542385160038165</v>
      </c>
      <c r="BS558" s="658">
        <f t="shared" ref="BS558:BU558" si="3843">BS560*BS$541</f>
        <v>-109.97409110553717</v>
      </c>
      <c r="BT558" s="658">
        <f t="shared" si="3843"/>
        <v>-123.69040516337894</v>
      </c>
      <c r="BU558" s="658">
        <f t="shared" si="3843"/>
        <v>-138.96150282092393</v>
      </c>
    </row>
    <row r="559" spans="2:73" s="360" customFormat="1" ht="15" hidden="1" customHeight="1">
      <c r="B559" s="360" t="s">
        <v>316</v>
      </c>
      <c r="C559" s="360" t="str">
        <f>IF(ISNUMBER((C558/#REF!-1)),IF(#REF!=0,"NMF",IF(OR(#REF!*C558&lt;0,C558/#REF!-1&gt;10),"NMF",C558/#REF!-1)),"")</f>
        <v/>
      </c>
      <c r="D559" s="360" t="str">
        <f>IF(ISNUMBER((D558/#REF!-1)),IF(#REF!=0,"NMF",IF(OR(#REF!*D558&lt;0,D558/#REF!-1&gt;10),"NMF",D558/#REF!-1)),"")</f>
        <v/>
      </c>
      <c r="E559" s="360" t="str">
        <f>IF(ISNUMBER((E558/#REF!-1)),IF(#REF!=0,"NMF",IF(OR(#REF!*E558&lt;0,E558/#REF!-1&gt;10),"NMF",E558/#REF!-1)),"")</f>
        <v/>
      </c>
      <c r="F559" s="360" t="str">
        <f>IF(ISNUMBER((F558/A558-1)),IF(A558=0,"NMF",IF(OR(A558*F558&lt;0,F558/A558-1&gt;10),"NMF",F558/A558-1)),"")</f>
        <v/>
      </c>
      <c r="G559" s="495">
        <f t="shared" ref="G559:AD559" si="3844">+G558/C558-1</f>
        <v>-1</v>
      </c>
      <c r="H559" s="495">
        <f t="shared" si="3844"/>
        <v>1</v>
      </c>
      <c r="I559" s="495">
        <f t="shared" si="3844"/>
        <v>-0.8</v>
      </c>
      <c r="J559" s="495">
        <f t="shared" si="3844"/>
        <v>-0.66666666666666663</v>
      </c>
      <c r="K559" s="495" t="e">
        <f t="shared" si="3844"/>
        <v>#DIV/0!</v>
      </c>
      <c r="L559" s="495">
        <f t="shared" si="3844"/>
        <v>-1.371243266693092</v>
      </c>
      <c r="M559" s="495">
        <f t="shared" si="3844"/>
        <v>-2.8584665693877387</v>
      </c>
      <c r="N559" s="495">
        <f t="shared" si="3844"/>
        <v>9.8913249257613476</v>
      </c>
      <c r="O559" s="495">
        <f t="shared" si="3844"/>
        <v>-140.19674479860245</v>
      </c>
      <c r="P559" s="495">
        <f t="shared" si="3844"/>
        <v>85.541853197220391</v>
      </c>
      <c r="Q559" s="495">
        <f t="shared" si="3844"/>
        <v>43.391436122081629</v>
      </c>
      <c r="R559" s="495">
        <f t="shared" si="3844"/>
        <v>1.1117724571413614</v>
      </c>
      <c r="S559" s="1905">
        <f t="shared" si="3844"/>
        <v>-0.92511028123311267</v>
      </c>
      <c r="T559" s="495">
        <f t="shared" si="3844"/>
        <v>-0.99221864494330858</v>
      </c>
      <c r="U559" s="495">
        <f t="shared" si="3844"/>
        <v>-0.97575757575757571</v>
      </c>
      <c r="V559" s="495">
        <f t="shared" si="3844"/>
        <v>-1.3913043478260869</v>
      </c>
      <c r="W559" s="1905">
        <f t="shared" si="3844"/>
        <v>-1.3333333333333335</v>
      </c>
      <c r="X559" s="495">
        <f t="shared" si="3844"/>
        <v>-46.999999999999993</v>
      </c>
      <c r="Y559" s="495">
        <f t="shared" si="3844"/>
        <v>-4.25</v>
      </c>
      <c r="Z559" s="495">
        <f t="shared" si="3844"/>
        <v>0</v>
      </c>
      <c r="AA559" s="495">
        <f t="shared" si="3844"/>
        <v>14</v>
      </c>
      <c r="AB559" s="495">
        <f t="shared" si="3844"/>
        <v>-0.58695652173913038</v>
      </c>
      <c r="AC559" s="495">
        <f t="shared" si="3844"/>
        <v>-1.0769230769230769</v>
      </c>
      <c r="AD559" s="495">
        <f t="shared" si="3844"/>
        <v>0.88888888888888884</v>
      </c>
      <c r="AE559" s="495">
        <f t="shared" ref="AE559" si="3845">+AE558/AA558-1</f>
        <v>0.1333333333333333</v>
      </c>
      <c r="AF559" s="495">
        <f t="shared" ref="AF559" si="3846">+AF558/AB558-1</f>
        <v>0.15789473684210531</v>
      </c>
      <c r="AG559" s="495">
        <f t="shared" ref="AG559" si="3847">+AG558/AC558-1</f>
        <v>-177.99999999999997</v>
      </c>
      <c r="AH559" s="495">
        <f t="shared" ref="AH559" si="3848">+AH558/AD558-1</f>
        <v>17.294117647058826</v>
      </c>
      <c r="AI559" s="495">
        <f t="shared" ref="AI559" si="3849">+AI558/AE558-1</f>
        <v>-1.2352941176470589</v>
      </c>
      <c r="AJ559" s="495">
        <f t="shared" ref="AJ559" si="3850">+AJ558/AF558-1</f>
        <v>-8.2727272727272734</v>
      </c>
      <c r="AK559" s="495">
        <f t="shared" ref="AK559" si="3851">+AK558/AG558-1</f>
        <v>-0.16944813258215752</v>
      </c>
      <c r="AL559" s="495">
        <f t="shared" ref="AL559" si="3852">+AL558/AH558-1</f>
        <v>-0.32513656459844043</v>
      </c>
      <c r="AM559" s="1905">
        <f t="shared" ref="AM559" si="3853">+AM558/AI558-1</f>
        <v>41.413643334041623</v>
      </c>
      <c r="AN559" s="495">
        <f t="shared" ref="AN559" si="3854">+AN558/AJ558-1</f>
        <v>0.10367183376222511</v>
      </c>
      <c r="AO559" s="495">
        <f t="shared" ref="AO559" si="3855">+AO558/AK558-1</f>
        <v>0.20173129748030449</v>
      </c>
      <c r="AP559" s="495">
        <f t="shared" ref="AP559" si="3856">+AP558/AL558-1</f>
        <v>0.24620138369788824</v>
      </c>
      <c r="AQ559" s="495">
        <f t="shared" ref="AQ559" si="3857">+AQ558/AM558-1</f>
        <v>0.25051143035569079</v>
      </c>
      <c r="AR559" s="495">
        <f t="shared" ref="AR559" si="3858">+AR558/AN558-1</f>
        <v>0.16030621019090829</v>
      </c>
      <c r="AS559" s="495">
        <f t="shared" ref="AS559" si="3859">+AS558/AO558-1</f>
        <v>3.9934398653406866E-2</v>
      </c>
      <c r="AT559" s="495">
        <f t="shared" ref="AT559" si="3860">+AT558/AP558-1</f>
        <v>-2.0952692546580498E-2</v>
      </c>
      <c r="AU559" s="495">
        <f t="shared" ref="AU559" si="3861">+AU558/AQ558-1</f>
        <v>-4.10662885162425E-2</v>
      </c>
      <c r="AV559" s="495">
        <f t="shared" ref="AV559" si="3862">+AV558/AR558-1</f>
        <v>-5.8622323052821557E-3</v>
      </c>
      <c r="AW559" s="495">
        <f t="shared" ref="AW559" si="3863">+AW558/AS558-1</f>
        <v>3.2593323246489447E-2</v>
      </c>
      <c r="AX559" s="495">
        <f t="shared" ref="AX559" si="3864">+AX558/AT558-1</f>
        <v>4.6510841218929899E-2</v>
      </c>
      <c r="AY559" s="495"/>
      <c r="AZ559" s="495"/>
      <c r="BA559" s="72"/>
      <c r="BB559" s="495">
        <v>-2.0952692546580498E-2</v>
      </c>
      <c r="BC559" s="2189"/>
      <c r="BD559" s="72"/>
      <c r="BE559" s="495"/>
      <c r="BF559" s="495">
        <f>+BF558/BE558-1</f>
        <v>-1.5</v>
      </c>
      <c r="BG559" s="495">
        <f>+BG558/BF558-1</f>
        <v>3.4703570683928966</v>
      </c>
      <c r="BH559" s="495">
        <f>+BH558/BG558-1</f>
        <v>0.44871168651020166</v>
      </c>
      <c r="BI559" s="495"/>
      <c r="BJ559" s="2087">
        <f>+BJ558/BH558-1</f>
        <v>-1.4632304265027489</v>
      </c>
      <c r="BK559" s="495">
        <f>+BK558/BJ558-1</f>
        <v>-3.7777777777777772</v>
      </c>
      <c r="BL559" s="495">
        <f t="shared" ref="BL559:BR559" si="3865">+BL558/BK558-1</f>
        <v>-0.2799999999999998</v>
      </c>
      <c r="BM559" s="495">
        <f t="shared" si="3865"/>
        <v>-25.944444444444443</v>
      </c>
      <c r="BN559" s="495">
        <f t="shared" si="3865"/>
        <v>0.16011182392615408</v>
      </c>
      <c r="BO559" s="1905">
        <f t="shared" si="3865"/>
        <v>0.50600199668766033</v>
      </c>
      <c r="BP559" s="495">
        <f t="shared" si="3865"/>
        <v>9.2271097112705869E-2</v>
      </c>
      <c r="BQ559" s="495">
        <f t="shared" si="3865"/>
        <v>9.3187594926209538E-3</v>
      </c>
      <c r="BR559" s="495">
        <f t="shared" si="3865"/>
        <v>0.12787986089787928</v>
      </c>
      <c r="BS559" s="495">
        <f t="shared" ref="BS559" si="3866">+BS558/BR558-1</f>
        <v>0.12744927166894948</v>
      </c>
      <c r="BT559" s="495">
        <f t="shared" ref="BT559" si="3867">+BT558/BS558-1</f>
        <v>0.12472314087759862</v>
      </c>
      <c r="BU559" s="495">
        <f t="shared" ref="BU559" si="3868">+BU558/BT558-1</f>
        <v>0.12346226562500018</v>
      </c>
    </row>
    <row r="560" spans="2:73" s="360" customFormat="1" ht="15" hidden="1" customHeight="1">
      <c r="B560" s="360" t="s">
        <v>318</v>
      </c>
      <c r="C560" s="506">
        <f t="shared" ref="C560:AC560" si="3869">+C558/C$541</f>
        <v>-1.5105740181268886E-3</v>
      </c>
      <c r="D560" s="506">
        <f t="shared" si="3869"/>
        <v>2.3668639053254438E-3</v>
      </c>
      <c r="E560" s="506">
        <f t="shared" si="3869"/>
        <v>-9.1324200913242004E-3</v>
      </c>
      <c r="F560" s="506">
        <f t="shared" si="3869"/>
        <v>1.7502917152858808E-3</v>
      </c>
      <c r="G560" s="506">
        <f t="shared" si="3869"/>
        <v>0</v>
      </c>
      <c r="H560" s="506">
        <f t="shared" si="3869"/>
        <v>3.1720856463124509E-3</v>
      </c>
      <c r="I560" s="506">
        <f t="shared" si="3869"/>
        <v>-1.5232292460015233E-3</v>
      </c>
      <c r="J560" s="506">
        <f t="shared" si="3869"/>
        <v>5.2002080083203323E-4</v>
      </c>
      <c r="K560" s="506">
        <f t="shared" si="3869"/>
        <v>1.9923212561120775E-4</v>
      </c>
      <c r="L560" s="506">
        <f t="shared" si="3869"/>
        <v>-9.7881546370176282E-4</v>
      </c>
      <c r="M560" s="506">
        <f t="shared" si="3869"/>
        <v>2.3218744901447393E-3</v>
      </c>
      <c r="N560" s="506">
        <f t="shared" si="3869"/>
        <v>4.3529974663343981E-3</v>
      </c>
      <c r="O560" s="506">
        <f t="shared" si="3869"/>
        <v>-1.9916985264898119E-2</v>
      </c>
      <c r="P560" s="506">
        <f t="shared" si="3869"/>
        <v>-5.4566059276596524E-2</v>
      </c>
      <c r="Q560" s="506">
        <f t="shared" si="3869"/>
        <v>6.1705310396409876E-2</v>
      </c>
      <c r="R560" s="506">
        <f t="shared" si="3869"/>
        <v>6.3888888888888884E-3</v>
      </c>
      <c r="S560" s="1910">
        <f t="shared" si="3869"/>
        <v>-1.111934766493699E-3</v>
      </c>
      <c r="T560" s="506">
        <f t="shared" si="3869"/>
        <v>-3.5174111853675694E-4</v>
      </c>
      <c r="U560" s="506">
        <f t="shared" si="3869"/>
        <v>1.3499831252109348E-3</v>
      </c>
      <c r="V560" s="506">
        <f t="shared" si="3869"/>
        <v>-1.988071570576541E-3</v>
      </c>
      <c r="W560" s="1910">
        <f t="shared" si="3869"/>
        <v>2.9334115576415377E-4</v>
      </c>
      <c r="X560" s="506">
        <f t="shared" si="3869"/>
        <v>1.2035583464154892E-2</v>
      </c>
      <c r="Y560" s="506">
        <f t="shared" si="3869"/>
        <v>-2.631578947368421E-3</v>
      </c>
      <c r="Z560" s="506">
        <f t="shared" si="3869"/>
        <v>-1.2290045063498567E-3</v>
      </c>
      <c r="AA560" s="506">
        <f t="shared" si="3869"/>
        <v>2.5601638504864311E-3</v>
      </c>
      <c r="AB560" s="506">
        <f t="shared" si="3869"/>
        <v>3.3813845880049831E-3</v>
      </c>
      <c r="AC560" s="506">
        <f t="shared" si="3869"/>
        <v>1.8070112034694616E-4</v>
      </c>
      <c r="AD560" s="506">
        <f t="shared" ref="AD560:AF560" si="3870">+AD558/AD$541</f>
        <v>-1.8912003559906551E-3</v>
      </c>
      <c r="AE560" s="506">
        <f t="shared" si="3870"/>
        <v>2.6463262764632629E-3</v>
      </c>
      <c r="AF560" s="506">
        <f t="shared" si="3870"/>
        <v>3.7024570851565131E-3</v>
      </c>
      <c r="AG560" s="506">
        <f t="shared" ref="AG560:AJ560" si="3871">+AG558/AG$541</f>
        <v>-2.9372718221042149E-2</v>
      </c>
      <c r="AH560" s="506">
        <f t="shared" si="3871"/>
        <v>-3.5356980445657119E-2</v>
      </c>
      <c r="AI560" s="506">
        <f t="shared" si="3871"/>
        <v>-5.7036931413089983E-4</v>
      </c>
      <c r="AJ560" s="506">
        <f t="shared" si="3871"/>
        <v>-2.3581777181682854E-2</v>
      </c>
      <c r="AK560" s="506">
        <f t="shared" ref="AK560" si="3872">+AJ560</f>
        <v>-2.3581777181682854E-2</v>
      </c>
      <c r="AL560" s="494">
        <f t="shared" ref="AL560" si="3873">+AK560</f>
        <v>-2.3581777181682854E-2</v>
      </c>
      <c r="AM560" s="2428">
        <f t="shared" ref="AM560" si="3874">+AL560</f>
        <v>-2.3581777181682854E-2</v>
      </c>
      <c r="AN560" s="494">
        <f t="shared" ref="AN560" si="3875">+AM560</f>
        <v>-2.3581777181682854E-2</v>
      </c>
      <c r="AO560" s="494">
        <f t="shared" ref="AO560" si="3876">+AN560</f>
        <v>-2.3581777181682854E-2</v>
      </c>
      <c r="AP560" s="494">
        <f t="shared" ref="AP560" si="3877">+AO560</f>
        <v>-2.3581777181682854E-2</v>
      </c>
      <c r="AQ560" s="494">
        <f t="shared" ref="AQ560" si="3878">+AP560</f>
        <v>-2.3581777181682854E-2</v>
      </c>
      <c r="AR560" s="494">
        <f t="shared" ref="AR560" si="3879">+AQ560</f>
        <v>-2.3581777181682854E-2</v>
      </c>
      <c r="AS560" s="494">
        <f t="shared" ref="AS560" si="3880">+AR560</f>
        <v>-2.3581777181682854E-2</v>
      </c>
      <c r="AT560" s="494">
        <f t="shared" ref="AT560" si="3881">+AS560</f>
        <v>-2.3581777181682854E-2</v>
      </c>
      <c r="AU560" s="494">
        <f t="shared" ref="AU560" si="3882">+AT560</f>
        <v>-2.3581777181682854E-2</v>
      </c>
      <c r="AV560" s="494">
        <f t="shared" ref="AV560" si="3883">+AU560</f>
        <v>-2.3581777181682854E-2</v>
      </c>
      <c r="AW560" s="494">
        <f t="shared" ref="AW560" si="3884">+AV560</f>
        <v>-2.3581777181682854E-2</v>
      </c>
      <c r="AX560" s="494">
        <f t="shared" ref="AX560" si="3885">+AW560</f>
        <v>-2.3581777181682854E-2</v>
      </c>
      <c r="AY560" s="494"/>
      <c r="AZ560" s="494"/>
      <c r="BA560" s="72"/>
      <c r="BB560" s="494">
        <v>-2.3581777181682854E-2</v>
      </c>
      <c r="BC560" s="2189"/>
      <c r="BD560" s="72"/>
      <c r="BE560" s="506">
        <f t="shared" ref="BE560:BK560" si="3886">+BE558/BE$541</f>
        <v>-1.3901760889712699E-3</v>
      </c>
      <c r="BF560" s="506">
        <f t="shared" si="3886"/>
        <v>5.1750905640848724E-4</v>
      </c>
      <c r="BG560" s="506">
        <f t="shared" si="3886"/>
        <v>1.8983883073275473E-3</v>
      </c>
      <c r="BH560" s="506">
        <f t="shared" si="3886"/>
        <v>1.8259332767729046E-3</v>
      </c>
      <c r="BI560" s="506"/>
      <c r="BJ560" s="2092">
        <f t="shared" si="3886"/>
        <v>-6.9066073210037593E-4</v>
      </c>
      <c r="BK560" s="506">
        <f t="shared" si="3886"/>
        <v>1.2824458807838307E-3</v>
      </c>
      <c r="BL560" s="506">
        <f t="shared" ref="BL560:BQ560" si="3887">+BL558/BL$541</f>
        <v>6.9228106611284187E-4</v>
      </c>
      <c r="BM560" s="506">
        <f t="shared" si="3887"/>
        <v>-1.6514638811240254E-2</v>
      </c>
      <c r="BN560" s="506">
        <f t="shared" si="3887"/>
        <v>-1.8003914908716969E-2</v>
      </c>
      <c r="BO560" s="1910">
        <f t="shared" si="3887"/>
        <v>-2.3581777181682854E-2</v>
      </c>
      <c r="BP560" s="506">
        <f t="shared" si="3887"/>
        <v>-2.3581777181682858E-2</v>
      </c>
      <c r="BQ560" s="506">
        <f t="shared" si="3887"/>
        <v>-2.3581777181682858E-2</v>
      </c>
      <c r="BR560" s="494">
        <f t="shared" ref="BR560" si="3888">+BQ560</f>
        <v>-2.3581777181682858E-2</v>
      </c>
      <c r="BS560" s="494">
        <f t="shared" ref="BS560" si="3889">+BR560</f>
        <v>-2.3581777181682858E-2</v>
      </c>
      <c r="BT560" s="494">
        <f t="shared" ref="BT560" si="3890">+BS560</f>
        <v>-2.3581777181682858E-2</v>
      </c>
      <c r="BU560" s="494">
        <f t="shared" ref="BU560" si="3891">+BT560</f>
        <v>-2.3581777181682858E-2</v>
      </c>
    </row>
    <row r="561" spans="1:73" s="507" customFormat="1" ht="15" hidden="1" customHeight="1">
      <c r="B561" s="507" t="s">
        <v>322</v>
      </c>
      <c r="C561" s="507">
        <f>C552+C555+C558</f>
        <v>-57.300000000000004</v>
      </c>
      <c r="D561" s="507">
        <f t="shared" ref="D561:Z561" si="3892">D552+D555+D558</f>
        <v>-66.599999999999994</v>
      </c>
      <c r="E561" s="657">
        <f t="shared" si="3892"/>
        <v>-91.5</v>
      </c>
      <c r="F561" s="657">
        <f t="shared" si="3892"/>
        <v>-103.10000000000001</v>
      </c>
      <c r="G561" s="657">
        <f t="shared" si="3892"/>
        <v>-107.9</v>
      </c>
      <c r="H561" s="657">
        <f t="shared" si="3892"/>
        <v>-101.89999999999999</v>
      </c>
      <c r="I561" s="657">
        <f t="shared" si="3892"/>
        <v>-115.2</v>
      </c>
      <c r="J561" s="657">
        <f t="shared" si="3892"/>
        <v>-124.7</v>
      </c>
      <c r="K561" s="657">
        <f t="shared" si="3892"/>
        <v>-127.27122137925859</v>
      </c>
      <c r="L561" s="657">
        <f t="shared" si="3892"/>
        <v>-132.09191444538666</v>
      </c>
      <c r="M561" s="657">
        <f t="shared" si="3892"/>
        <v>-141.67802380451312</v>
      </c>
      <c r="N561" s="657">
        <f t="shared" si="3892"/>
        <v>-162.65497671634392</v>
      </c>
      <c r="O561" s="657">
        <f t="shared" si="3892"/>
        <v>-163.99937226842965</v>
      </c>
      <c r="P561" s="657">
        <f t="shared" si="3892"/>
        <v>-204.85111655609123</v>
      </c>
      <c r="Q561" s="657">
        <f t="shared" si="3892"/>
        <v>-232.1</v>
      </c>
      <c r="R561" s="657">
        <f t="shared" si="3892"/>
        <v>-251.7</v>
      </c>
      <c r="S561" s="1904">
        <f t="shared" si="3892"/>
        <v>-225.89999999999998</v>
      </c>
      <c r="T561" s="657">
        <f t="shared" si="3892"/>
        <v>-243.6</v>
      </c>
      <c r="U561" s="657">
        <f t="shared" si="3892"/>
        <v>-247.69999999999996</v>
      </c>
      <c r="V561" s="657">
        <f t="shared" si="3892"/>
        <v>-299.09999999999997</v>
      </c>
      <c r="W561" s="1904">
        <f t="shared" si="3892"/>
        <v>-286.59999999999997</v>
      </c>
      <c r="X561" s="657">
        <f t="shared" si="3892"/>
        <v>-312.2</v>
      </c>
      <c r="Y561" s="657">
        <f t="shared" si="3892"/>
        <v>-363.5</v>
      </c>
      <c r="Z561" s="657">
        <f t="shared" si="3892"/>
        <v>-460.59999999999997</v>
      </c>
      <c r="AA561" s="657">
        <f>AA552+AA555+AA558</f>
        <v>-450.5</v>
      </c>
      <c r="AB561" s="657">
        <f>AB552+AB555+AB558</f>
        <v>-463.5</v>
      </c>
      <c r="AC561" s="657">
        <f>AC552+AC555+AC558</f>
        <v>-463.8</v>
      </c>
      <c r="AD561" s="657">
        <f>AD552+AD555+AD558</f>
        <v>-649.40000000000009</v>
      </c>
      <c r="AE561" s="657">
        <f t="shared" ref="AE561:AH561" si="3893">AE552+AE555+AE558</f>
        <v>-513.69999999999993</v>
      </c>
      <c r="AF561" s="657">
        <f t="shared" si="3893"/>
        <v>-508.2</v>
      </c>
      <c r="AG561" s="657">
        <f t="shared" ref="AG561" si="3894">AG552+AG555+AG558</f>
        <v>-547</v>
      </c>
      <c r="AH561" s="657">
        <f t="shared" si="3893"/>
        <v>-564.6</v>
      </c>
      <c r="AI561" s="657">
        <f t="shared" ref="AI561:AL561" si="3895">AI552+AI555+AI558</f>
        <v>-557.19999999999993</v>
      </c>
      <c r="AJ561" s="657">
        <f t="shared" si="3895"/>
        <v>-583.20000000000005</v>
      </c>
      <c r="AK561" s="657">
        <f t="shared" si="3895"/>
        <v>-567.05582024856676</v>
      </c>
      <c r="AL561" s="658">
        <f t="shared" si="3895"/>
        <v>-570.47959095197848</v>
      </c>
      <c r="AM561" s="2430">
        <f t="shared" ref="AM561:AP561" si="3896">AM552+AM555+AM558</f>
        <v>-594.67255802365992</v>
      </c>
      <c r="AN561" s="658">
        <f t="shared" si="3896"/>
        <v>-635.30125435404909</v>
      </c>
      <c r="AO561" s="658">
        <f t="shared" si="3896"/>
        <v>-654.85350719195412</v>
      </c>
      <c r="AP561" s="658">
        <f t="shared" si="3896"/>
        <v>-668.19485412827089</v>
      </c>
      <c r="AQ561" s="658">
        <f t="shared" ref="AQ561:AT561" si="3897">AQ552+AQ555+AQ558</f>
        <v>-704.7653060271715</v>
      </c>
      <c r="AR561" s="658">
        <f t="shared" si="3897"/>
        <v>-715.88714065108422</v>
      </c>
      <c r="AS561" s="658">
        <f t="shared" si="3897"/>
        <v>-685.23144678598919</v>
      </c>
      <c r="AT561" s="658">
        <f t="shared" si="3897"/>
        <v>-673.16290282460045</v>
      </c>
      <c r="AU561" s="658">
        <f t="shared" ref="AU561:AX561" si="3898">AU552+AU555+AU558</f>
        <v>-697.87388398786413</v>
      </c>
      <c r="AV561" s="658">
        <f t="shared" si="3898"/>
        <v>-726.9007423505459</v>
      </c>
      <c r="AW561" s="658">
        <f t="shared" si="3898"/>
        <v>-713.92222180037322</v>
      </c>
      <c r="AX561" s="658">
        <f t="shared" si="3898"/>
        <v>-707.53130440950088</v>
      </c>
      <c r="AY561" s="658"/>
      <c r="AZ561" s="658"/>
      <c r="BA561" s="983"/>
      <c r="BB561" s="658">
        <v>-673.16290282460045</v>
      </c>
      <c r="BC561" s="2202">
        <f>+AT561/BB561-1</f>
        <v>0</v>
      </c>
      <c r="BD561" s="987"/>
      <c r="BE561" s="657">
        <f>+SUM(C561:F561)</f>
        <v>-318.5</v>
      </c>
      <c r="BF561" s="657">
        <f>+SUM(G561:J561)</f>
        <v>-449.7</v>
      </c>
      <c r="BG561" s="657">
        <f>+SUM(K561:N561)</f>
        <v>-563.69613634550228</v>
      </c>
      <c r="BH561" s="657">
        <f>+SUM(O561:R561)</f>
        <v>-852.65048882452083</v>
      </c>
      <c r="BI561" s="657"/>
      <c r="BJ561" s="2088">
        <f>+SUM(S561:V561)</f>
        <v>-1016.3</v>
      </c>
      <c r="BK561" s="657">
        <f>+SUM(W561:Z561)</f>
        <v>-1422.8999999999999</v>
      </c>
      <c r="BL561" s="657">
        <f>+SUM(AA561:AD561)</f>
        <v>-2027.2</v>
      </c>
      <c r="BM561" s="657">
        <f>+SUM(AE561:AH561)</f>
        <v>-2133.5</v>
      </c>
      <c r="BN561" s="657">
        <f>+SUM(AI561:AL561)</f>
        <v>-2277.9354112005453</v>
      </c>
      <c r="BO561" s="1904">
        <f>+SUM(AM561:AP561)</f>
        <v>-2553.0221736979338</v>
      </c>
      <c r="BP561" s="657">
        <f>+SUM(AQ561:AT561)</f>
        <v>-2779.0467962888451</v>
      </c>
      <c r="BQ561" s="657">
        <f>+SUM(AU561:AX561)</f>
        <v>-2846.2281525482845</v>
      </c>
      <c r="BR561" s="658">
        <f t="shared" ref="BR561" si="3899">BR552+BR555+BR558</f>
        <v>-3141.6811626581239</v>
      </c>
      <c r="BS561" s="658">
        <f t="shared" ref="BS561:BU561" si="3900">BS552+BS555+BS558</f>
        <v>-3467.5654298207687</v>
      </c>
      <c r="BT561" s="658">
        <f t="shared" si="3900"/>
        <v>-3821.7030259120388</v>
      </c>
      <c r="BU561" s="658">
        <f t="shared" si="3900"/>
        <v>-4209.3704401026889</v>
      </c>
    </row>
    <row r="562" spans="1:73" s="360" customFormat="1" ht="15" hidden="1" customHeight="1">
      <c r="B562" s="360" t="s">
        <v>316</v>
      </c>
      <c r="C562" s="360" t="str">
        <f>IF(ISNUMBER((C561/#REF!-1)),IF(#REF!=0,"NMF",IF(OR(#REF!*C561&lt;0,C561/#REF!-1&gt;10),"NMF",C561/#REF!-1)),"")</f>
        <v/>
      </c>
      <c r="D562" s="360" t="str">
        <f>IF(ISNUMBER((D561/#REF!-1)),IF(#REF!=0,"NMF",IF(OR(#REF!*D561&lt;0,D561/#REF!-1&gt;10),"NMF",D561/#REF!-1)),"")</f>
        <v/>
      </c>
      <c r="E562" s="360" t="str">
        <f>IF(ISNUMBER((E561/#REF!-1)),IF(#REF!=0,"NMF",IF(OR(#REF!*E561&lt;0,E561/#REF!-1&gt;10),"NMF",E561/#REF!-1)),"")</f>
        <v/>
      </c>
      <c r="F562" s="360" t="str">
        <f>IF(ISNUMBER((F561/A561-1)),IF(A561=0,"NMF",IF(OR(A561*F561&lt;0,F561/A561-1&gt;10),"NMF",F561/A561-1)),"")</f>
        <v/>
      </c>
      <c r="G562" s="495">
        <f t="shared" ref="G562:AD562" si="3901">+G561/C561-1</f>
        <v>0.8830715532286213</v>
      </c>
      <c r="H562" s="495">
        <f t="shared" si="3901"/>
        <v>0.53003003003003002</v>
      </c>
      <c r="I562" s="495">
        <f t="shared" si="3901"/>
        <v>0.25901639344262306</v>
      </c>
      <c r="J562" s="495">
        <f t="shared" si="3901"/>
        <v>0.20950533462657606</v>
      </c>
      <c r="K562" s="495">
        <f t="shared" si="3901"/>
        <v>0.179529391837429</v>
      </c>
      <c r="L562" s="495">
        <f t="shared" si="3901"/>
        <v>0.29628964126974155</v>
      </c>
      <c r="M562" s="495">
        <f t="shared" si="3901"/>
        <v>0.22984395663639856</v>
      </c>
      <c r="N562" s="495">
        <f t="shared" si="3901"/>
        <v>0.30437030245664731</v>
      </c>
      <c r="O562" s="495">
        <f t="shared" si="3901"/>
        <v>0.28858174291990135</v>
      </c>
      <c r="P562" s="495">
        <f t="shared" si="3901"/>
        <v>0.55082252699719048</v>
      </c>
      <c r="Q562" s="495">
        <f t="shared" si="3901"/>
        <v>0.63822160817439721</v>
      </c>
      <c r="R562" s="495">
        <f t="shared" si="3901"/>
        <v>0.54744727201887478</v>
      </c>
      <c r="S562" s="1905">
        <f t="shared" si="3901"/>
        <v>0.37744429673946001</v>
      </c>
      <c r="T562" s="495">
        <f t="shared" si="3901"/>
        <v>0.18915632043088593</v>
      </c>
      <c r="U562" s="495">
        <f t="shared" si="3901"/>
        <v>6.7212408444635718E-2</v>
      </c>
      <c r="V562" s="495">
        <f t="shared" si="3901"/>
        <v>0.1883194278903455</v>
      </c>
      <c r="W562" s="1905">
        <f t="shared" si="3901"/>
        <v>0.26870296591412135</v>
      </c>
      <c r="X562" s="495">
        <f t="shared" si="3901"/>
        <v>0.28160919540229878</v>
      </c>
      <c r="Y562" s="495">
        <f t="shared" si="3901"/>
        <v>0.46750100928542615</v>
      </c>
      <c r="Z562" s="495">
        <f t="shared" si="3901"/>
        <v>0.53995319291206956</v>
      </c>
      <c r="AA562" s="495">
        <f t="shared" si="3901"/>
        <v>0.57187718073970717</v>
      </c>
      <c r="AB562" s="495">
        <f t="shared" si="3901"/>
        <v>0.48462524023062148</v>
      </c>
      <c r="AC562" s="495">
        <f t="shared" si="3901"/>
        <v>0.27592847317744162</v>
      </c>
      <c r="AD562" s="495">
        <f t="shared" si="3901"/>
        <v>0.40990013026487215</v>
      </c>
      <c r="AE562" s="495">
        <f t="shared" ref="AE562" si="3902">+AE561/AA561-1</f>
        <v>0.14028856825749147</v>
      </c>
      <c r="AF562" s="495">
        <f t="shared" ref="AF562" si="3903">+AF561/AB561-1</f>
        <v>9.6440129449838263E-2</v>
      </c>
      <c r="AG562" s="495">
        <f t="shared" ref="AG562" si="3904">+AG561/AC561-1</f>
        <v>0.17938766709788689</v>
      </c>
      <c r="AH562" s="495">
        <f t="shared" ref="AH562" si="3905">+AH561/AD561-1</f>
        <v>-0.13058207576224212</v>
      </c>
      <c r="AI562" s="495">
        <f t="shared" ref="AI562" si="3906">+AI561/AE561-1</f>
        <v>8.4679774187268908E-2</v>
      </c>
      <c r="AJ562" s="495">
        <f t="shared" ref="AJ562" si="3907">+AJ561/AF561-1</f>
        <v>0.14757969303423857</v>
      </c>
      <c r="AK562" s="495">
        <f t="shared" ref="AK562" si="3908">+AK561/AG561-1</f>
        <v>3.6665119284399861E-2</v>
      </c>
      <c r="AL562" s="495">
        <f t="shared" ref="AL562" si="3909">+AL561/AH561-1</f>
        <v>1.0413728218169327E-2</v>
      </c>
      <c r="AM562" s="1905">
        <f t="shared" ref="AM562" si="3910">+AM561/AI561-1</f>
        <v>6.7251539884529699E-2</v>
      </c>
      <c r="AN562" s="495">
        <f t="shared" ref="AN562" si="3911">+AN561/AJ561-1</f>
        <v>8.9336855888287214E-2</v>
      </c>
      <c r="AO562" s="495">
        <f t="shared" ref="AO562" si="3912">+AO561/AK561-1</f>
        <v>0.15483076587575018</v>
      </c>
      <c r="AP562" s="495">
        <f t="shared" ref="AP562" si="3913">+AP561/AL561-1</f>
        <v>0.17128616821021003</v>
      </c>
      <c r="AQ562" s="495">
        <f t="shared" ref="AQ562" si="3914">+AQ561/AM561-1</f>
        <v>0.18513171075086232</v>
      </c>
      <c r="AR562" s="495">
        <f t="shared" ref="AR562" si="3915">+AR561/AN561-1</f>
        <v>0.12684672939764918</v>
      </c>
      <c r="AS562" s="495">
        <f t="shared" ref="AS562" si="3916">+AS561/AO561-1</f>
        <v>4.6388908756551217E-2</v>
      </c>
      <c r="AT562" s="495">
        <f t="shared" ref="AT562" si="3917">+AT561/AP561-1</f>
        <v>7.4350298653689251E-3</v>
      </c>
      <c r="AU562" s="495">
        <f t="shared" ref="AU562" si="3918">+AU561/AQ561-1</f>
        <v>-9.7783219184766068E-3</v>
      </c>
      <c r="AV562" s="495">
        <f t="shared" ref="AV562" si="3919">+AV561/AR561-1</f>
        <v>1.538455026506691E-2</v>
      </c>
      <c r="AW562" s="495">
        <f t="shared" ref="AW562" si="3920">+AW561/AS561-1</f>
        <v>4.1870196046832397E-2</v>
      </c>
      <c r="AX562" s="495">
        <f t="shared" ref="AX562" si="3921">+AX561/AT561-1</f>
        <v>5.1055103364564758E-2</v>
      </c>
      <c r="AY562" s="495"/>
      <c r="AZ562" s="495"/>
      <c r="BA562" s="72"/>
      <c r="BB562" s="495">
        <v>7.4350298653689251E-3</v>
      </c>
      <c r="BC562" s="2189"/>
      <c r="BD562" s="72"/>
      <c r="BE562" s="495"/>
      <c r="BF562" s="495">
        <f t="shared" ref="BF562:BR562" si="3922">+BF561/BE561-1</f>
        <v>0.4119309262166404</v>
      </c>
      <c r="BG562" s="495">
        <f t="shared" si="3922"/>
        <v>0.25349374326329177</v>
      </c>
      <c r="BH562" s="495">
        <f t="shared" si="3922"/>
        <v>0.51260658686138627</v>
      </c>
      <c r="BI562" s="495"/>
      <c r="BJ562" s="2087">
        <f>+BJ561/BH561-1</f>
        <v>0.19193035519288704</v>
      </c>
      <c r="BK562" s="495">
        <f>+BK561/BJ561-1</f>
        <v>0.40007871691429697</v>
      </c>
      <c r="BL562" s="495">
        <f t="shared" si="3922"/>
        <v>0.42469604329186894</v>
      </c>
      <c r="BM562" s="495">
        <f t="shared" si="3922"/>
        <v>5.2436858721389035E-2</v>
      </c>
      <c r="BN562" s="495">
        <f t="shared" si="3922"/>
        <v>6.7698810030721868E-2</v>
      </c>
      <c r="BO562" s="1905">
        <f t="shared" si="3922"/>
        <v>0.12076144088405427</v>
      </c>
      <c r="BP562" s="495">
        <f t="shared" si="3922"/>
        <v>8.8532181553098388E-2</v>
      </c>
      <c r="BQ562" s="495">
        <f t="shared" si="3922"/>
        <v>2.417424433052151E-2</v>
      </c>
      <c r="BR562" s="495">
        <f t="shared" si="3922"/>
        <v>0.10380510425536849</v>
      </c>
      <c r="BS562" s="495">
        <f t="shared" ref="BS562" si="3923">+BS561/BR561-1</f>
        <v>0.10372926159283447</v>
      </c>
      <c r="BT562" s="495">
        <f t="shared" ref="BT562" si="3924">+BT561/BS561-1</f>
        <v>0.10212859807798202</v>
      </c>
      <c r="BU562" s="495">
        <f t="shared" ref="BU562" si="3925">+BU561/BT561-1</f>
        <v>0.10143839318810866</v>
      </c>
    </row>
    <row r="563" spans="1:73" s="360" customFormat="1" ht="15" hidden="1" customHeight="1">
      <c r="B563" s="360" t="s">
        <v>318</v>
      </c>
      <c r="C563" s="506">
        <f t="shared" ref="C563:Z563" si="3926">+C561/C$541</f>
        <v>-0.86555891238670712</v>
      </c>
      <c r="D563" s="506">
        <f t="shared" si="3926"/>
        <v>-0.78816568047337277</v>
      </c>
      <c r="E563" s="506">
        <f t="shared" si="3926"/>
        <v>-0.83561643835616439</v>
      </c>
      <c r="F563" s="506">
        <f t="shared" si="3926"/>
        <v>-0.60151691948658115</v>
      </c>
      <c r="G563" s="506">
        <f t="shared" si="3926"/>
        <v>-0.83000000000000007</v>
      </c>
      <c r="H563" s="506">
        <f t="shared" si="3926"/>
        <v>-0.80808881839809676</v>
      </c>
      <c r="I563" s="506">
        <f t="shared" si="3926"/>
        <v>-0.87738004569687733</v>
      </c>
      <c r="J563" s="506">
        <f t="shared" si="3926"/>
        <v>-0.64846593863754542</v>
      </c>
      <c r="K563" s="506">
        <f t="shared" si="3926"/>
        <v>-0.88108864536466958</v>
      </c>
      <c r="L563" s="506">
        <f t="shared" si="3926"/>
        <v>-0.87067982162220714</v>
      </c>
      <c r="M563" s="506">
        <f t="shared" si="3926"/>
        <v>-0.8850269213994838</v>
      </c>
      <c r="N563" s="506">
        <f t="shared" si="3926"/>
        <v>-0.65009234997497878</v>
      </c>
      <c r="O563" s="506">
        <f t="shared" si="3926"/>
        <v>-0.81539253806014689</v>
      </c>
      <c r="P563" s="506">
        <f t="shared" si="3926"/>
        <v>-0.86979350066670746</v>
      </c>
      <c r="Q563" s="506">
        <f t="shared" si="3926"/>
        <v>-0.86798803290949889</v>
      </c>
      <c r="R563" s="506">
        <f t="shared" si="3926"/>
        <v>-0.6991666666666666</v>
      </c>
      <c r="S563" s="1910">
        <f t="shared" si="3926"/>
        <v>-0.8372868791697553</v>
      </c>
      <c r="T563" s="506">
        <f t="shared" si="3926"/>
        <v>-0.85684136475553985</v>
      </c>
      <c r="U563" s="506">
        <f t="shared" si="3926"/>
        <v>-0.83597705028687119</v>
      </c>
      <c r="V563" s="506">
        <f t="shared" si="3926"/>
        <v>-0.66070245195493693</v>
      </c>
      <c r="W563" s="1910">
        <f t="shared" si="3926"/>
        <v>-0.84071575242006447</v>
      </c>
      <c r="X563" s="506">
        <f t="shared" si="3926"/>
        <v>-0.81684981684981683</v>
      </c>
      <c r="Y563" s="506">
        <f t="shared" si="3926"/>
        <v>-0.73582995951417007</v>
      </c>
      <c r="Z563" s="506">
        <f t="shared" si="3926"/>
        <v>-0.62897719513860439</v>
      </c>
      <c r="AA563" s="506">
        <f>+AA561/AA$541</f>
        <v>-0.76890254309609152</v>
      </c>
      <c r="AB563" s="506">
        <f>+AB561/AB$541</f>
        <v>-0.8248798718633209</v>
      </c>
      <c r="AC563" s="506">
        <f>+AC561/AC$541</f>
        <v>-0.83809179616913632</v>
      </c>
      <c r="AD563" s="506">
        <f>+AD561/AD$541</f>
        <v>-0.72243853598843044</v>
      </c>
      <c r="AE563" s="506">
        <f>+AE561/AE$541</f>
        <v>-0.79965753424657526</v>
      </c>
      <c r="AF563" s="506">
        <f t="shared" ref="AF563:AH563" si="3927">+AF561/AF$541</f>
        <v>-0.85526758667115443</v>
      </c>
      <c r="AG563" s="506">
        <f t="shared" si="3927"/>
        <v>-0.90773315632260199</v>
      </c>
      <c r="AH563" s="506">
        <f t="shared" si="3927"/>
        <v>-0.64188267394270127</v>
      </c>
      <c r="AI563" s="506">
        <f t="shared" ref="AI563:AL563" si="3928">+AI561/AI$541</f>
        <v>-0.79452445458434329</v>
      </c>
      <c r="AJ563" s="506">
        <f t="shared" si="3928"/>
        <v>-0.85955577827234009</v>
      </c>
      <c r="AK563" s="506">
        <f t="shared" si="3928"/>
        <v>-0.90962485457895204</v>
      </c>
      <c r="AL563" s="506">
        <f t="shared" si="3928"/>
        <v>-0.64097391538254067</v>
      </c>
      <c r="AM563" s="1910">
        <f t="shared" ref="AM563:AP563" si="3929">+AM561/AM$541</f>
        <v>-0.82658754689672953</v>
      </c>
      <c r="AN563" s="506">
        <f t="shared" si="3929"/>
        <v>-0.84839148768702455</v>
      </c>
      <c r="AO563" s="506">
        <f t="shared" si="3929"/>
        <v>-0.87412449827640915</v>
      </c>
      <c r="AP563" s="506">
        <f t="shared" si="3929"/>
        <v>-0.60244186139751255</v>
      </c>
      <c r="AQ563" s="506">
        <f t="shared" ref="AQ563:AT563" si="3930">+AQ561/AQ$541</f>
        <v>-0.78337157882710562</v>
      </c>
      <c r="AR563" s="506">
        <f t="shared" si="3930"/>
        <v>-0.82392661932890565</v>
      </c>
      <c r="AS563" s="506">
        <f t="shared" si="3930"/>
        <v>-0.8795498841592464</v>
      </c>
      <c r="AT563" s="506">
        <f t="shared" si="3930"/>
        <v>-0.61990981437638781</v>
      </c>
      <c r="AU563" s="506">
        <f t="shared" ref="AU563:AX563" si="3931">+AU561/AU$541</f>
        <v>-0.80893132659533984</v>
      </c>
      <c r="AV563" s="506">
        <f t="shared" si="3931"/>
        <v>-0.8415356372172389</v>
      </c>
      <c r="AW563" s="506">
        <f t="shared" si="3931"/>
        <v>-0.88745180664238621</v>
      </c>
      <c r="AX563" s="506">
        <f t="shared" si="3931"/>
        <v>-0.62260164764960724</v>
      </c>
      <c r="AY563" s="506"/>
      <c r="AZ563" s="506"/>
      <c r="BA563" s="72"/>
      <c r="BB563" s="506">
        <v>-0.61990981437638781</v>
      </c>
      <c r="BC563" s="2189"/>
      <c r="BD563" s="72"/>
      <c r="BE563" s="506">
        <f t="shared" ref="BE563:BK563" si="3932">+BE561/BE$541</f>
        <v>-0.73795180722891562</v>
      </c>
      <c r="BF563" s="506">
        <f t="shared" si="3932"/>
        <v>-0.77574607555632213</v>
      </c>
      <c r="BG563" s="506">
        <f t="shared" si="3932"/>
        <v>-0.79793339230858107</v>
      </c>
      <c r="BH563" s="506">
        <f t="shared" si="3932"/>
        <v>-0.80132836693967158</v>
      </c>
      <c r="BI563" s="506"/>
      <c r="BJ563" s="2092">
        <f t="shared" si="3932"/>
        <v>-0.77990944670401341</v>
      </c>
      <c r="BK563" s="506">
        <f t="shared" si="3932"/>
        <v>-0.72991689750692523</v>
      </c>
      <c r="BL563" s="506">
        <f>+BL561/BL$541</f>
        <v>-0.77966232067997387</v>
      </c>
      <c r="BM563" s="506">
        <f>+BM561/BM$541</f>
        <v>-0.78472120052964556</v>
      </c>
      <c r="BN563" s="506">
        <f>+BN561/BN$541</f>
        <v>-0.78733972354830739</v>
      </c>
      <c r="BO563" s="1910">
        <f>+BO561/BO$541</f>
        <v>-0.76746640970533408</v>
      </c>
      <c r="BP563" s="506">
        <f>+BP561/BP$541</f>
        <v>-0.76483932188042647</v>
      </c>
      <c r="BQ563" s="506">
        <f t="shared" ref="BQ563" si="3933">+BQ561/BQ$541</f>
        <v>-0.77609647809868243</v>
      </c>
      <c r="BR563" s="506">
        <f>+BR561/BR$541</f>
        <v>-0.75953058798121798</v>
      </c>
      <c r="BS563" s="506">
        <f t="shared" ref="BS563:BU563" si="3934">+BS561/BS$541</f>
        <v>-0.74355109014238119</v>
      </c>
      <c r="BT563" s="506">
        <f t="shared" si="3934"/>
        <v>-0.72861390576399743</v>
      </c>
      <c r="BU563" s="506">
        <f t="shared" si="3934"/>
        <v>-0.71433047123550042</v>
      </c>
    </row>
    <row r="564" spans="1:73" s="357" customFormat="1" ht="15" hidden="1" customHeight="1">
      <c r="G564" s="411"/>
      <c r="H564" s="411"/>
      <c r="I564" s="411"/>
      <c r="J564" s="411"/>
      <c r="K564" s="411"/>
      <c r="L564" s="411"/>
      <c r="M564" s="411"/>
      <c r="N564" s="411"/>
      <c r="O564" s="411"/>
      <c r="P564" s="411"/>
      <c r="Q564" s="411"/>
      <c r="R564" s="411"/>
      <c r="S564" s="1983"/>
      <c r="T564" s="411"/>
      <c r="U564" s="359"/>
      <c r="V564" s="359"/>
      <c r="W564" s="1911"/>
      <c r="X564" s="359"/>
      <c r="Y564" s="359"/>
      <c r="Z564" s="359"/>
      <c r="AA564" s="359"/>
      <c r="AB564" s="359"/>
      <c r="AC564" s="359"/>
      <c r="AD564" s="359"/>
      <c r="AE564" s="359"/>
      <c r="AF564" s="359"/>
      <c r="AG564" s="359"/>
      <c r="AH564" s="359"/>
      <c r="AI564" s="359"/>
      <c r="AJ564" s="359"/>
      <c r="AK564" s="359"/>
      <c r="AM564" s="1890"/>
      <c r="BA564" s="85"/>
      <c r="BC564" s="2197"/>
      <c r="BD564" s="85"/>
      <c r="BE564" s="411"/>
      <c r="BF564" s="411"/>
      <c r="BG564" s="411"/>
      <c r="BH564" s="411"/>
      <c r="BI564" s="411"/>
      <c r="BJ564" s="2086"/>
      <c r="BK564" s="411"/>
      <c r="BL564" s="411"/>
      <c r="BM564" s="411"/>
      <c r="BN564" s="1261">
        <f>+BN565*1</f>
        <v>214.94863212865187</v>
      </c>
      <c r="BO564" s="2491">
        <f>+BO565*1</f>
        <v>329.71231438649613</v>
      </c>
      <c r="BP564" s="1261">
        <f>+BP565*1</f>
        <v>388.29241185516059</v>
      </c>
      <c r="BQ564" s="1261">
        <f>+BQ565*1</f>
        <v>368.94806457879417</v>
      </c>
      <c r="BR564" s="359"/>
      <c r="BS564" s="359"/>
      <c r="BT564" s="359"/>
      <c r="BU564" s="359"/>
    </row>
    <row r="565" spans="1:73" s="503" customFormat="1" ht="15" hidden="1" customHeight="1">
      <c r="A565" s="502"/>
      <c r="B565" s="503" t="s">
        <v>323</v>
      </c>
      <c r="C565" s="510">
        <f>+C547+C561</f>
        <v>0.60000000000000142</v>
      </c>
      <c r="D565" s="510">
        <f t="shared" ref="D565:Z565" si="3935">+D547+D561</f>
        <v>8.9000000000000057</v>
      </c>
      <c r="E565" s="510">
        <f t="shared" si="3935"/>
        <v>6.2999999999999972</v>
      </c>
      <c r="F565" s="510">
        <f t="shared" si="3935"/>
        <v>47.59999999999998</v>
      </c>
      <c r="G565" s="510">
        <f t="shared" si="3935"/>
        <v>7.2999999999999972</v>
      </c>
      <c r="H565" s="510">
        <f t="shared" si="3935"/>
        <v>10.800000000000011</v>
      </c>
      <c r="I565" s="510">
        <f t="shared" si="3935"/>
        <v>11.899999999999991</v>
      </c>
      <c r="J565" s="510">
        <f t="shared" si="3935"/>
        <v>46.499999999999986</v>
      </c>
      <c r="K565" s="510">
        <f t="shared" si="3935"/>
        <v>1.4580769029534366</v>
      </c>
      <c r="L565" s="510">
        <f t="shared" si="3935"/>
        <v>4.2531909602957967</v>
      </c>
      <c r="M565" s="510">
        <f t="shared" si="3935"/>
        <v>1.789442753350869</v>
      </c>
      <c r="N565" s="510">
        <f t="shared" si="3935"/>
        <v>55.160411065523959</v>
      </c>
      <c r="O565" s="510">
        <f t="shared" si="3935"/>
        <v>14.393283603602981</v>
      </c>
      <c r="P565" s="510">
        <f t="shared" si="3935"/>
        <v>7.2875703804035084</v>
      </c>
      <c r="Q565" s="510">
        <f>+Q547+Q561</f>
        <v>6.9000000000000057</v>
      </c>
      <c r="R565" s="510">
        <f t="shared" si="3935"/>
        <v>66.800000000000011</v>
      </c>
      <c r="S565" s="1912">
        <f t="shared" si="3935"/>
        <v>20.000000000000028</v>
      </c>
      <c r="T565" s="510">
        <f t="shared" si="3935"/>
        <v>14.099999999999994</v>
      </c>
      <c r="U565" s="510">
        <f t="shared" si="3935"/>
        <v>21.000000000000028</v>
      </c>
      <c r="V565" s="510">
        <f t="shared" si="3935"/>
        <v>108.70000000000005</v>
      </c>
      <c r="W565" s="1912">
        <f t="shared" si="3935"/>
        <v>22.100000000000023</v>
      </c>
      <c r="X565" s="510">
        <f t="shared" si="3935"/>
        <v>34.600000000000023</v>
      </c>
      <c r="Y565" s="510">
        <f t="shared" si="3935"/>
        <v>82.300000000000011</v>
      </c>
      <c r="Z565" s="510">
        <f t="shared" si="3935"/>
        <v>199.50000000000006</v>
      </c>
      <c r="AA565" s="510">
        <f>+AA547+AA561</f>
        <v>83.299999999999955</v>
      </c>
      <c r="AB565" s="510">
        <f>+AB547+AB561</f>
        <v>45.800000000000011</v>
      </c>
      <c r="AC565" s="510">
        <f>+AC547+AC561</f>
        <v>39.199999999999989</v>
      </c>
      <c r="AD565" s="510">
        <f>+AD547+AD561</f>
        <v>161.19999999999993</v>
      </c>
      <c r="AE565" s="510">
        <f t="shared" ref="AE565:AH565" si="3936">+AE547+AE561</f>
        <v>65.900000000000091</v>
      </c>
      <c r="AF565" s="510">
        <f>+AF547+AF561</f>
        <v>26.000000000000057</v>
      </c>
      <c r="AG565" s="510">
        <f t="shared" si="3936"/>
        <v>3.2000000000000455</v>
      </c>
      <c r="AH565" s="510">
        <f t="shared" si="3936"/>
        <v>138.39999999999998</v>
      </c>
      <c r="AI565" s="510">
        <f t="shared" ref="AI565:AL565" si="3937">+AI547+AI561</f>
        <v>45.900000000000091</v>
      </c>
      <c r="AJ565" s="510">
        <f t="shared" si="3937"/>
        <v>0.26999999999998181</v>
      </c>
      <c r="AK565" s="510">
        <f t="shared" si="3937"/>
        <v>-16.570703928668649</v>
      </c>
      <c r="AL565" s="510">
        <f t="shared" si="3937"/>
        <v>185.34933605732044</v>
      </c>
      <c r="AM565" s="1912">
        <f t="shared" ref="AM565:AP565" si="3938">+AM547+AM561</f>
        <v>27.616637340509556</v>
      </c>
      <c r="AN565" s="510">
        <f t="shared" si="3938"/>
        <v>12.402302003643058</v>
      </c>
      <c r="AO565" s="510">
        <f t="shared" si="3938"/>
        <v>10.427453843624335</v>
      </c>
      <c r="AP565" s="510">
        <f t="shared" si="3938"/>
        <v>279.26592119871918</v>
      </c>
      <c r="AQ565" s="510">
        <f t="shared" ref="AQ565:AT565" si="3939">+AQ547+AQ561</f>
        <v>77.912728091640815</v>
      </c>
      <c r="AR565" s="510">
        <f t="shared" si="3939"/>
        <v>39.991680405270358</v>
      </c>
      <c r="AS565" s="510">
        <f t="shared" si="3939"/>
        <v>10.512462311829609</v>
      </c>
      <c r="AT565" s="510">
        <f t="shared" si="3939"/>
        <v>259.87554104641981</v>
      </c>
      <c r="AU565" s="510">
        <f t="shared" ref="AU565:AX565" si="3940">+AU547+AU561</f>
        <v>56.976022735619267</v>
      </c>
      <c r="AV565" s="510">
        <f t="shared" si="3940"/>
        <v>28.865836053182875</v>
      </c>
      <c r="AW565" s="510">
        <f t="shared" si="3940"/>
        <v>8.5206088689553781</v>
      </c>
      <c r="AX565" s="510">
        <f t="shared" si="3940"/>
        <v>274.58559692103665</v>
      </c>
      <c r="AY565" s="507"/>
      <c r="AZ565" s="507"/>
      <c r="BA565" s="85"/>
      <c r="BB565" s="510">
        <v>259.87554104641981</v>
      </c>
      <c r="BC565" s="2198">
        <f>+AT565/BB565-1</f>
        <v>0</v>
      </c>
      <c r="BD565" s="85"/>
      <c r="BE565" s="510">
        <f>+SUM(C565:F565)</f>
        <v>63.399999999999984</v>
      </c>
      <c r="BF565" s="510">
        <f>+SUM(G565:J565)</f>
        <v>76.499999999999986</v>
      </c>
      <c r="BG565" s="510">
        <f>+SUM(K565:N565)</f>
        <v>62.661121682124062</v>
      </c>
      <c r="BH565" s="507">
        <f>+SUM(O565:R565)</f>
        <v>95.380853984006507</v>
      </c>
      <c r="BI565" s="507"/>
      <c r="BJ565" s="2148">
        <f>+SUM(S565:V565)</f>
        <v>163.8000000000001</v>
      </c>
      <c r="BK565" s="510">
        <f>+SUM(W565:Z565)</f>
        <v>338.50000000000011</v>
      </c>
      <c r="BL565" s="510">
        <f>+SUM(AA565:AD565)</f>
        <v>329.49999999999989</v>
      </c>
      <c r="BM565" s="510">
        <f>+SUM(AE565:AH565)</f>
        <v>233.50000000000017</v>
      </c>
      <c r="BN565" s="510">
        <f>+SUM(AI565:AL565)</f>
        <v>214.94863212865187</v>
      </c>
      <c r="BO565" s="1912">
        <f>+SUM(AM565:AP565)</f>
        <v>329.71231438649613</v>
      </c>
      <c r="BP565" s="510">
        <f>+SUM(AQ565:AT565)</f>
        <v>388.29241185516059</v>
      </c>
      <c r="BQ565" s="510">
        <f>+SUM(AU565:AX565)</f>
        <v>368.94806457879417</v>
      </c>
      <c r="BR565" s="510">
        <f t="shared" ref="BR565" si="3941">+BR547+BR561</f>
        <v>484.65134187733474</v>
      </c>
      <c r="BS565" s="510">
        <f t="shared" ref="BS565:BU565" si="3942">+BS547+BS561</f>
        <v>620.94051124717134</v>
      </c>
      <c r="BT565" s="510">
        <f t="shared" si="3942"/>
        <v>776.73421762261705</v>
      </c>
      <c r="BU565" s="510">
        <f t="shared" si="3942"/>
        <v>956.80028385313653</v>
      </c>
    </row>
    <row r="566" spans="1:73" s="360" customFormat="1" ht="15" hidden="1" customHeight="1">
      <c r="B566" s="360" t="s">
        <v>316</v>
      </c>
      <c r="C566" s="495"/>
      <c r="D566" s="495"/>
      <c r="E566" s="495"/>
      <c r="F566" s="495"/>
      <c r="G566" s="495">
        <f t="shared" ref="G566:AD566" si="3943">+G565/C565-1</f>
        <v>11.166666666666632</v>
      </c>
      <c r="H566" s="495">
        <f t="shared" si="3943"/>
        <v>0.21348314606741625</v>
      </c>
      <c r="I566" s="495">
        <f t="shared" si="3943"/>
        <v>0.8888888888888884</v>
      </c>
      <c r="J566" s="495">
        <f t="shared" si="3943"/>
        <v>-2.3109243697478909E-2</v>
      </c>
      <c r="K566" s="495">
        <f t="shared" si="3943"/>
        <v>-0.80026343795158394</v>
      </c>
      <c r="L566" s="495">
        <f t="shared" si="3943"/>
        <v>-0.60618602219483408</v>
      </c>
      <c r="M566" s="495">
        <f t="shared" si="3943"/>
        <v>-0.84962665938227977</v>
      </c>
      <c r="N566" s="495">
        <f t="shared" si="3943"/>
        <v>0.18624539925858019</v>
      </c>
      <c r="O566" s="495">
        <f t="shared" si="3943"/>
        <v>8.8714159551175804</v>
      </c>
      <c r="P566" s="495">
        <f t="shared" si="3943"/>
        <v>0.71343597041236073</v>
      </c>
      <c r="Q566" s="495">
        <f t="shared" si="3943"/>
        <v>2.8559490026038699</v>
      </c>
      <c r="R566" s="495">
        <f t="shared" si="3943"/>
        <v>0.21101345529585736</v>
      </c>
      <c r="S566" s="1905">
        <f t="shared" si="3943"/>
        <v>0.3895369917531224</v>
      </c>
      <c r="T566" s="495">
        <f t="shared" si="3943"/>
        <v>0.93480121137701944</v>
      </c>
      <c r="U566" s="495">
        <f t="shared" si="3943"/>
        <v>2.0434782608695667</v>
      </c>
      <c r="V566" s="495">
        <f t="shared" si="3943"/>
        <v>0.62724550898203635</v>
      </c>
      <c r="W566" s="1905">
        <f t="shared" si="3943"/>
        <v>0.10499999999999954</v>
      </c>
      <c r="X566" s="495">
        <f t="shared" si="3943"/>
        <v>1.4539007092198606</v>
      </c>
      <c r="Y566" s="495">
        <f t="shared" si="3943"/>
        <v>2.9190476190476145</v>
      </c>
      <c r="Z566" s="495">
        <f t="shared" si="3943"/>
        <v>0.83532658693652229</v>
      </c>
      <c r="AA566" s="495">
        <f t="shared" si="3943"/>
        <v>2.7692307692307634</v>
      </c>
      <c r="AB566" s="495">
        <f t="shared" si="3943"/>
        <v>0.32369942196531731</v>
      </c>
      <c r="AC566" s="495">
        <f t="shared" si="3943"/>
        <v>-0.52369380315917402</v>
      </c>
      <c r="AD566" s="495">
        <f t="shared" si="3943"/>
        <v>-0.19197994987468725</v>
      </c>
      <c r="AE566" s="495">
        <f t="shared" ref="AE566" si="3944">+AE565/AA565-1</f>
        <v>-0.208883553421367</v>
      </c>
      <c r="AF566" s="495">
        <f t="shared" ref="AF566" si="3945">+AF565/AB565-1</f>
        <v>-0.43231441048034824</v>
      </c>
      <c r="AG566" s="495">
        <f t="shared" ref="AG566" si="3946">+AG565/AC565-1</f>
        <v>-0.91836734693877431</v>
      </c>
      <c r="AH566" s="495">
        <f t="shared" ref="AH566" si="3947">+AH565/AD565-1</f>
        <v>-0.14143920595533477</v>
      </c>
      <c r="AI566" s="495">
        <f t="shared" ref="AI566" si="3948">+AI565/AE565-1</f>
        <v>-0.30349013657056101</v>
      </c>
      <c r="AJ566" s="495">
        <f t="shared" ref="AJ566" si="3949">+AJ565/AF565-1</f>
        <v>-0.98961538461538534</v>
      </c>
      <c r="AK566" s="495">
        <f t="shared" ref="AK566" si="3950">+AK565/AG565-1</f>
        <v>-6.1783449777088792</v>
      </c>
      <c r="AL566" s="495">
        <f t="shared" ref="AL566" si="3951">+AL565/AH565-1</f>
        <v>0.3392293067725467</v>
      </c>
      <c r="AM566" s="1905">
        <f t="shared" ref="AM566" si="3952">+AM565/AI565-1</f>
        <v>-0.39833034116537036</v>
      </c>
      <c r="AN566" s="495">
        <f t="shared" ref="AN566" si="3953">+AN565/AJ565-1</f>
        <v>44.934451865347754</v>
      </c>
      <c r="AO566" s="495">
        <f t="shared" ref="AO566" si="3954">+AO565/AK565-1</f>
        <v>-1.6292704213720217</v>
      </c>
      <c r="AP566" s="495">
        <f t="shared" ref="AP566" si="3955">+AP565/AL565-1</f>
        <v>0.50670041306408797</v>
      </c>
      <c r="AQ566" s="495">
        <f t="shared" ref="AQ566" si="3956">+AQ565/AM565-1</f>
        <v>1.8212242906689537</v>
      </c>
      <c r="AR566" s="495">
        <f t="shared" ref="AR566" si="3957">+AR565/AN565-1</f>
        <v>2.2245368959345759</v>
      </c>
      <c r="AS566" s="495">
        <f t="shared" ref="AS566" si="3958">+AS565/AO565-1</f>
        <v>8.1523706055290912E-3</v>
      </c>
      <c r="AT566" s="495">
        <f t="shared" ref="AT566" si="3959">+AT565/AP565-1</f>
        <v>-6.9433391904992314E-2</v>
      </c>
      <c r="AU566" s="495">
        <f t="shared" ref="AU566" si="3960">+AU565/AQ565-1</f>
        <v>-0.26871996230700368</v>
      </c>
      <c r="AV566" s="495">
        <f t="shared" ref="AV566" si="3961">+AV565/AR565-1</f>
        <v>-0.2782039724097527</v>
      </c>
      <c r="AW566" s="495">
        <f t="shared" ref="AW566" si="3962">+AW565/AS565-1</f>
        <v>-0.18947544198401645</v>
      </c>
      <c r="AX566" s="495">
        <f t="shared" ref="AX566" si="3963">+AX565/AT565-1</f>
        <v>5.660423376276591E-2</v>
      </c>
      <c r="AY566" s="495"/>
      <c r="AZ566" s="495"/>
      <c r="BA566" s="72"/>
      <c r="BB566" s="495">
        <v>-6.9433391904992314E-2</v>
      </c>
      <c r="BC566" s="2189"/>
      <c r="BD566" s="72"/>
      <c r="BE566" s="495"/>
      <c r="BF566" s="495">
        <f t="shared" ref="BF566:BR566" si="3964">+BF565/BE565-1</f>
        <v>0.20662460567823349</v>
      </c>
      <c r="BG566" s="495">
        <f t="shared" si="3964"/>
        <v>-0.18090037016831273</v>
      </c>
      <c r="BH566" s="495">
        <f t="shared" si="3964"/>
        <v>0.52216959134353824</v>
      </c>
      <c r="BI566" s="495"/>
      <c r="BJ566" s="2087">
        <f>+BJ565/BH565-1</f>
        <v>0.71732578560751969</v>
      </c>
      <c r="BK566" s="495">
        <f>+BK565/BJ565-1</f>
        <v>1.0665445665445659</v>
      </c>
      <c r="BL566" s="495">
        <f t="shared" si="3964"/>
        <v>-2.6587887740030181E-2</v>
      </c>
      <c r="BM566" s="495">
        <f t="shared" si="3964"/>
        <v>-0.29135053110773823</v>
      </c>
      <c r="BN566" s="495">
        <f t="shared" si="3964"/>
        <v>-7.9449112939393163E-2</v>
      </c>
      <c r="BO566" s="1905">
        <f t="shared" si="3964"/>
        <v>0.53391213110467928</v>
      </c>
      <c r="BP566" s="495">
        <f t="shared" si="3964"/>
        <v>0.17767033535785859</v>
      </c>
      <c r="BQ566" s="495">
        <f t="shared" si="3964"/>
        <v>-4.9819019599028791E-2</v>
      </c>
      <c r="BR566" s="495">
        <f t="shared" si="3964"/>
        <v>0.31360315558405771</v>
      </c>
      <c r="BS566" s="495">
        <f t="shared" ref="BS566" si="3965">+BS565/BR565-1</f>
        <v>0.28121075419271491</v>
      </c>
      <c r="BT566" s="495">
        <f t="shared" ref="BT566" si="3966">+BT565/BS565-1</f>
        <v>0.25089956856338946</v>
      </c>
      <c r="BU566" s="495">
        <f t="shared" ref="BU566" si="3967">+BU565/BT565-1</f>
        <v>0.23182455741637753</v>
      </c>
    </row>
    <row r="567" spans="1:73" s="357" customFormat="1" ht="15" hidden="1" customHeight="1">
      <c r="B567" s="357" t="s">
        <v>324</v>
      </c>
      <c r="C567" s="509">
        <f t="shared" ref="C567:S567" si="3968">+C565/C$541</f>
        <v>9.0634441087613527E-3</v>
      </c>
      <c r="D567" s="509">
        <f t="shared" si="3968"/>
        <v>0.10532544378698232</v>
      </c>
      <c r="E567" s="509">
        <f t="shared" si="3968"/>
        <v>5.7534246575342438E-2</v>
      </c>
      <c r="F567" s="509">
        <f t="shared" si="3968"/>
        <v>0.27771295215869302</v>
      </c>
      <c r="G567" s="509">
        <f t="shared" si="3968"/>
        <v>5.6153846153846131E-2</v>
      </c>
      <c r="H567" s="509">
        <f t="shared" si="3968"/>
        <v>8.564631245043626E-2</v>
      </c>
      <c r="I567" s="509">
        <f t="shared" si="3968"/>
        <v>9.0632140137090561E-2</v>
      </c>
      <c r="J567" s="509">
        <f t="shared" si="3968"/>
        <v>0.24180967238689538</v>
      </c>
      <c r="K567" s="509">
        <f t="shared" si="3968"/>
        <v>1.0094151602682138E-2</v>
      </c>
      <c r="L567" s="509">
        <f t="shared" si="3968"/>
        <v>2.803477837522448E-2</v>
      </c>
      <c r="M567" s="509">
        <f t="shared" si="3968"/>
        <v>1.1178198061288083E-2</v>
      </c>
      <c r="N567" s="509">
        <f t="shared" si="3968"/>
        <v>0.22046273639513589</v>
      </c>
      <c r="O567" s="509">
        <f t="shared" si="3968"/>
        <v>7.1562322990797081E-2</v>
      </c>
      <c r="P567" s="509">
        <f t="shared" si="3968"/>
        <v>3.0942869431666253E-2</v>
      </c>
      <c r="Q567" s="509">
        <f t="shared" si="3968"/>
        <v>2.580403889304415E-2</v>
      </c>
      <c r="R567" s="509">
        <f t="shared" si="3968"/>
        <v>0.18555555555555558</v>
      </c>
      <c r="S567" s="1913">
        <f t="shared" si="3968"/>
        <v>7.4128984432913367E-2</v>
      </c>
      <c r="T567" s="509">
        <f t="shared" ref="T567:Z567" si="3969">+T565/T$541</f>
        <v>4.9595497713682705E-2</v>
      </c>
      <c r="U567" s="509">
        <f t="shared" si="3969"/>
        <v>7.0874114073574176E-2</v>
      </c>
      <c r="V567" s="509">
        <f t="shared" si="3969"/>
        <v>0.24011486635741119</v>
      </c>
      <c r="W567" s="1913">
        <f t="shared" si="3969"/>
        <v>6.4828395423878041E-2</v>
      </c>
      <c r="X567" s="509">
        <f t="shared" si="3969"/>
        <v>9.0528519099947732E-2</v>
      </c>
      <c r="Y567" s="509">
        <f t="shared" si="3969"/>
        <v>0.16659919028340084</v>
      </c>
      <c r="Z567" s="509">
        <f t="shared" si="3969"/>
        <v>0.272429332240885</v>
      </c>
      <c r="AA567" s="509">
        <f>+AA565/AA$541</f>
        <v>0.14217443249701306</v>
      </c>
      <c r="AB567" s="509">
        <f>+AB565/AB$541</f>
        <v>8.1509165331909619E-2</v>
      </c>
      <c r="AC567" s="509">
        <f>+AC565/AC$541</f>
        <v>7.0834839176002876E-2</v>
      </c>
      <c r="AD567" s="509">
        <f>+AD565/AD$541</f>
        <v>0.17933029257981969</v>
      </c>
      <c r="AE567" s="509">
        <f t="shared" ref="AE567:AH567" si="3970">+AE565/AE$541</f>
        <v>0.10258405977584074</v>
      </c>
      <c r="AF567" s="509">
        <f t="shared" si="3970"/>
        <v>4.3756311006395245E-2</v>
      </c>
      <c r="AG567" s="509">
        <f t="shared" si="3970"/>
        <v>5.3103219382675823E-3</v>
      </c>
      <c r="AH567" s="509">
        <f t="shared" si="3970"/>
        <v>0.15734424738517505</v>
      </c>
      <c r="AI567" s="509">
        <f t="shared" ref="AI567:AL567" si="3971">+AI565/AI$541</f>
        <v>6.544987879652088E-2</v>
      </c>
      <c r="AJ567" s="509">
        <f t="shared" si="3971"/>
        <v>3.9794248994087138E-4</v>
      </c>
      <c r="AK567" s="509">
        <f t="shared" si="3971"/>
        <v>-2.6581376318082481E-2</v>
      </c>
      <c r="AL567" s="509">
        <f t="shared" si="3971"/>
        <v>0.20825300594533563</v>
      </c>
      <c r="AM567" s="1913">
        <f t="shared" ref="AM567:AP567" si="3972">+AM565/AM$541</f>
        <v>3.8386786484134662E-2</v>
      </c>
      <c r="AN567" s="509">
        <f t="shared" si="3972"/>
        <v>1.6562233075256384E-2</v>
      </c>
      <c r="AO567" s="509">
        <f t="shared" si="3972"/>
        <v>1.3918979984460449E-2</v>
      </c>
      <c r="AP567" s="509">
        <f t="shared" si="3972"/>
        <v>0.25178505993036387</v>
      </c>
      <c r="AQ567" s="509">
        <f t="shared" ref="AQ567:AT567" si="3973">+AQ565/AQ$541</f>
        <v>8.6602754553758529E-2</v>
      </c>
      <c r="AR567" s="509">
        <f t="shared" si="3973"/>
        <v>4.6027101433375274E-2</v>
      </c>
      <c r="AS567" s="509">
        <f t="shared" si="3973"/>
        <v>1.3493594101623228E-2</v>
      </c>
      <c r="AT567" s="509">
        <f t="shared" si="3973"/>
        <v>0.23931710695148861</v>
      </c>
      <c r="AU567" s="509">
        <f t="shared" ref="AU567:AX567" si="3974">+AU565/AU$541</f>
        <v>6.6043006785524341E-2</v>
      </c>
      <c r="AV567" s="509">
        <f t="shared" si="3974"/>
        <v>3.3418083545042013E-2</v>
      </c>
      <c r="AW567" s="509">
        <f t="shared" si="3974"/>
        <v>1.0591671618483352E-2</v>
      </c>
      <c r="AX567" s="509">
        <f t="shared" si="3974"/>
        <v>0.24162527367826908</v>
      </c>
      <c r="AY567" s="509"/>
      <c r="AZ567" s="509"/>
      <c r="BA567" s="85"/>
      <c r="BB567" s="509">
        <v>0.23931710695148861</v>
      </c>
      <c r="BC567" s="2197"/>
      <c r="BD567" s="85"/>
      <c r="BE567" s="509">
        <f t="shared" ref="BE567:BK567" si="3975">+BE565/BE$541</f>
        <v>0.14689527340129746</v>
      </c>
      <c r="BF567" s="509">
        <f t="shared" si="3975"/>
        <v>0.13196480938416419</v>
      </c>
      <c r="BG567" s="509">
        <f t="shared" si="3975"/>
        <v>8.8699208963590015E-2</v>
      </c>
      <c r="BH567" s="509">
        <f t="shared" si="3975"/>
        <v>8.9639758567059372E-2</v>
      </c>
      <c r="BI567" s="509"/>
      <c r="BJ567" s="2093">
        <f t="shared" si="3975"/>
        <v>0.12570025324226849</v>
      </c>
      <c r="BK567" s="509">
        <f t="shared" si="3975"/>
        <v>0.17364317225813078</v>
      </c>
      <c r="BL567" s="509">
        <f>+BL565/BL$541</f>
        <v>0.12672589515787849</v>
      </c>
      <c r="BM567" s="509">
        <f>+BM565/BM$541</f>
        <v>8.5883478005002276E-2</v>
      </c>
      <c r="BN567" s="509">
        <f>+BN565/BN$541</f>
        <v>7.4294291122181513E-2</v>
      </c>
      <c r="BO567" s="1913">
        <f>+BO565/BO$541</f>
        <v>9.9115130594936957E-2</v>
      </c>
      <c r="BP567" s="509">
        <f>+BP565/BP$541</f>
        <v>0.10686444912378115</v>
      </c>
      <c r="BQ567" s="509">
        <f t="shared" ref="BQ567" si="3976">+BQ565/BQ$541</f>
        <v>0.10060307121358567</v>
      </c>
      <c r="BR567" s="509">
        <f>+BR565/BR$541</f>
        <v>0.11716896133105013</v>
      </c>
      <c r="BS567" s="509">
        <f t="shared" ref="BS567:BU567" si="3977">+BS565/BS$541</f>
        <v>0.13314845916988685</v>
      </c>
      <c r="BT567" s="509">
        <f t="shared" si="3977"/>
        <v>0.14808564354827072</v>
      </c>
      <c r="BU567" s="509">
        <f t="shared" si="3977"/>
        <v>0.16236907807676773</v>
      </c>
    </row>
    <row r="568" spans="1:73" s="357" customFormat="1" ht="15" hidden="1" customHeight="1">
      <c r="G568" s="411"/>
      <c r="H568" s="411"/>
      <c r="I568" s="411"/>
      <c r="J568" s="411"/>
      <c r="K568" s="411"/>
      <c r="L568" s="411"/>
      <c r="M568" s="411"/>
      <c r="N568" s="411"/>
      <c r="O568" s="411"/>
      <c r="P568" s="411"/>
      <c r="Q568" s="411"/>
      <c r="R568" s="411"/>
      <c r="S568" s="1983"/>
      <c r="T568" s="411"/>
      <c r="U568" s="359"/>
      <c r="V568" s="359"/>
      <c r="W568" s="1911"/>
      <c r="X568" s="359"/>
      <c r="Y568" s="359"/>
      <c r="Z568" s="359"/>
      <c r="AA568" s="359"/>
      <c r="AB568" s="359"/>
      <c r="AC568" s="359"/>
      <c r="AD568" s="359"/>
      <c r="AE568" s="359"/>
      <c r="AF568" s="359"/>
      <c r="AG568" s="359"/>
      <c r="AH568" s="359"/>
      <c r="AI568" s="359"/>
      <c r="AJ568" s="359"/>
      <c r="AK568" s="359"/>
      <c r="AM568" s="1890"/>
      <c r="BA568" s="85"/>
      <c r="BC568" s="2197"/>
      <c r="BD568" s="85"/>
      <c r="BE568" s="411"/>
      <c r="BF568" s="411"/>
      <c r="BG568" s="411"/>
      <c r="BH568" s="411"/>
      <c r="BI568" s="411"/>
      <c r="BJ568" s="2086"/>
      <c r="BK568" s="411"/>
      <c r="BL568" s="411"/>
      <c r="BM568" s="411"/>
      <c r="BN568" s="1260"/>
      <c r="BO568" s="2492"/>
      <c r="BP568" s="1260"/>
      <c r="BQ568" s="1260"/>
      <c r="BR568" s="359"/>
      <c r="BS568" s="359"/>
      <c r="BT568" s="359"/>
      <c r="BU568" s="359"/>
    </row>
    <row r="569" spans="1:73" s="357" customFormat="1" ht="15" hidden="1" customHeight="1">
      <c r="B569" s="357" t="s">
        <v>325</v>
      </c>
      <c r="C569" s="648">
        <v>7.4999999999999964</v>
      </c>
      <c r="D569" s="648">
        <v>4.399999999999995</v>
      </c>
      <c r="E569" s="648">
        <v>7.0000000000000036</v>
      </c>
      <c r="F569" s="648">
        <v>7.8000000000000185</v>
      </c>
      <c r="G569" s="648">
        <v>8.6000000000000032</v>
      </c>
      <c r="H569" s="648">
        <v>8.3999999999999879</v>
      </c>
      <c r="I569" s="648">
        <v>12.20000000000001</v>
      </c>
      <c r="J569" s="648">
        <v>9.3000000000000114</v>
      </c>
      <c r="K569" s="648">
        <v>10.740966199449014</v>
      </c>
      <c r="L569" s="648">
        <v>10.102564094413987</v>
      </c>
      <c r="M569" s="648">
        <v>13.565508976242146</v>
      </c>
      <c r="N569" s="648">
        <v>13.55672494658063</v>
      </c>
      <c r="O569" s="648">
        <v>12.609340525092648</v>
      </c>
      <c r="P569" s="648">
        <v>17.982457262319912</v>
      </c>
      <c r="Q569" s="648">
        <v>17.199999999999996</v>
      </c>
      <c r="R569" s="648">
        <v>19.099999999999994</v>
      </c>
      <c r="S569" s="1906">
        <f>17.1+23.3</f>
        <v>40.400000000000006</v>
      </c>
      <c r="T569" s="648">
        <f>19.9+23.3</f>
        <v>43.2</v>
      </c>
      <c r="U569" s="648">
        <f>18.2+30</f>
        <v>48.2</v>
      </c>
      <c r="V569" s="648">
        <f>21.5+33.2</f>
        <v>54.7</v>
      </c>
      <c r="W569" s="1906">
        <v>55.7</v>
      </c>
      <c r="X569" s="648">
        <v>68.099999999999994</v>
      </c>
      <c r="Y569" s="648">
        <v>72.2</v>
      </c>
      <c r="Z569" s="648">
        <v>72.099999999999994</v>
      </c>
      <c r="AA569" s="648">
        <v>73.2</v>
      </c>
      <c r="AB569" s="648">
        <v>72</v>
      </c>
      <c r="AC569" s="648">
        <v>69</v>
      </c>
      <c r="AD569" s="648">
        <v>79.2</v>
      </c>
      <c r="AE569" s="648">
        <v>73.8</v>
      </c>
      <c r="AF569" s="648">
        <v>70.5</v>
      </c>
      <c r="AG569" s="648">
        <v>77.8</v>
      </c>
      <c r="AH569" s="648">
        <v>81.2</v>
      </c>
      <c r="AI569" s="648">
        <v>83.7</v>
      </c>
      <c r="AJ569" s="648">
        <v>85.4</v>
      </c>
      <c r="AK569" s="648">
        <f t="shared" ref="AK569:AL569" si="3978">+AK571*AK$89</f>
        <v>78.336978907111273</v>
      </c>
      <c r="AL569" s="1292">
        <f t="shared" si="3978"/>
        <v>52.942769649540665</v>
      </c>
      <c r="AM569" s="2432">
        <f t="shared" ref="AM569:AP569" si="3979">+AM571*AM$89</f>
        <v>32.268356583872077</v>
      </c>
      <c r="AN569" s="1292">
        <f t="shared" si="3979"/>
        <v>34.491255529091532</v>
      </c>
      <c r="AO569" s="1292">
        <f t="shared" si="3979"/>
        <v>33.111024157876834</v>
      </c>
      <c r="AP569" s="1292">
        <f t="shared" si="3979"/>
        <v>38.007213337870027</v>
      </c>
      <c r="AQ569" s="1292">
        <f t="shared" ref="AQ569:AT569" si="3980">+AQ571*AQ$89</f>
        <v>31.745321537938075</v>
      </c>
      <c r="AR569" s="1292">
        <f t="shared" si="3980"/>
        <v>30.597550187138488</v>
      </c>
      <c r="AS569" s="1292">
        <f t="shared" si="3980"/>
        <v>34.752773052058529</v>
      </c>
      <c r="AT569" s="1292">
        <f t="shared" si="3980"/>
        <v>35.014290575025527</v>
      </c>
      <c r="AU569" s="1292">
        <f t="shared" ref="AU569:AX569" si="3981">+AU571*AU$89</f>
        <v>25.896966445259736</v>
      </c>
      <c r="AV569" s="1292">
        <f t="shared" si="3981"/>
        <v>26.362709892238762</v>
      </c>
      <c r="AW569" s="1292">
        <f t="shared" si="3981"/>
        <v>45.20689129090001</v>
      </c>
      <c r="AX569" s="1292">
        <f t="shared" si="3981"/>
        <v>31.671918103659291</v>
      </c>
      <c r="AY569" s="1292"/>
      <c r="AZ569" s="1292"/>
      <c r="BA569" s="85"/>
      <c r="BB569" s="1292">
        <v>34.752773052058529</v>
      </c>
      <c r="BC569" s="2197"/>
      <c r="BD569" s="85"/>
      <c r="BE569" s="496">
        <f>+SUM(C569:F569)</f>
        <v>26.700000000000014</v>
      </c>
      <c r="BF569" s="496">
        <f>+SUM(G569:J569)</f>
        <v>38.500000000000014</v>
      </c>
      <c r="BG569" s="496">
        <f>+SUM(K569:N569)</f>
        <v>47.965764216685777</v>
      </c>
      <c r="BH569" s="496">
        <f>+SUM(O569:R569)</f>
        <v>66.891797787412543</v>
      </c>
      <c r="BI569" s="496"/>
      <c r="BJ569" s="2089">
        <f>+SUM(S569:V569)</f>
        <v>186.5</v>
      </c>
      <c r="BK569" s="496">
        <f>+SUM(W569:Z569)</f>
        <v>268.10000000000002</v>
      </c>
      <c r="BL569" s="496">
        <f>+SUM(AA569:AD569)</f>
        <v>293.39999999999998</v>
      </c>
      <c r="BM569" s="496">
        <f>+SUM(AE569:AH569)</f>
        <v>303.3</v>
      </c>
      <c r="BN569" s="496">
        <f>+SUM(AI569:AL569)</f>
        <v>300.37974855665198</v>
      </c>
      <c r="BO569" s="2490">
        <f>+SUM(AM569:AP569)</f>
        <v>137.87784960871045</v>
      </c>
      <c r="BP569" s="496">
        <f>+SUM(AQ569:AT569)</f>
        <v>132.10993535216062</v>
      </c>
      <c r="BQ569" s="496">
        <f>+SUM(AU569:AX569)</f>
        <v>129.1384857320578</v>
      </c>
      <c r="BR569" s="1292">
        <f>+BR571*BR$89</f>
        <v>114.46128540119703</v>
      </c>
      <c r="BS569" s="1292">
        <f t="shared" ref="BS569:BU569" si="3982">+BS571*BS$89</f>
        <v>107.97626922804956</v>
      </c>
      <c r="BT569" s="1292">
        <f t="shared" si="3982"/>
        <v>104.98931882212062</v>
      </c>
      <c r="BU569" s="1292">
        <f t="shared" si="3982"/>
        <v>103.52261981669044</v>
      </c>
    </row>
    <row r="570" spans="1:73" s="360" customFormat="1" ht="15" hidden="1" customHeight="1">
      <c r="B570" s="360" t="s">
        <v>318</v>
      </c>
      <c r="C570" s="506">
        <f t="shared" ref="C570:AD570" si="3983">+C569/C$541</f>
        <v>0.11329305135951659</v>
      </c>
      <c r="D570" s="506">
        <f t="shared" si="3983"/>
        <v>5.2071005917159706E-2</v>
      </c>
      <c r="E570" s="506">
        <f t="shared" si="3983"/>
        <v>6.3926940639269444E-2</v>
      </c>
      <c r="F570" s="506">
        <f t="shared" si="3983"/>
        <v>4.550758459743301E-2</v>
      </c>
      <c r="G570" s="506">
        <f t="shared" si="3983"/>
        <v>6.6153846153846174E-2</v>
      </c>
      <c r="H570" s="506">
        <f t="shared" si="3983"/>
        <v>6.6613798572561361E-2</v>
      </c>
      <c r="I570" s="506">
        <f t="shared" si="3983"/>
        <v>9.2916984006092981E-2</v>
      </c>
      <c r="J570" s="506">
        <f t="shared" si="3983"/>
        <v>4.8361934477379152E-2</v>
      </c>
      <c r="K570" s="506">
        <f t="shared" si="3983"/>
        <v>7.4358863347268406E-2</v>
      </c>
      <c r="L570" s="506">
        <f t="shared" si="3983"/>
        <v>6.6590742821643539E-2</v>
      </c>
      <c r="M570" s="506">
        <f t="shared" si="3983"/>
        <v>8.4740316981173236E-2</v>
      </c>
      <c r="N570" s="506">
        <f t="shared" si="3983"/>
        <v>5.4182929759698274E-2</v>
      </c>
      <c r="O570" s="506">
        <f t="shared" si="3983"/>
        <v>6.2692692245134823E-2</v>
      </c>
      <c r="P570" s="506">
        <f t="shared" si="3983"/>
        <v>7.6353132537112386E-2</v>
      </c>
      <c r="Q570" s="506">
        <f t="shared" si="3983"/>
        <v>6.4323111443530284E-2</v>
      </c>
      <c r="R570" s="506">
        <f t="shared" si="3983"/>
        <v>5.3055555555555536E-2</v>
      </c>
      <c r="S570" s="1910">
        <f t="shared" si="3983"/>
        <v>0.14974054855448482</v>
      </c>
      <c r="T570" s="506">
        <f t="shared" si="3983"/>
        <v>0.15195216320787899</v>
      </c>
      <c r="U570" s="506">
        <f t="shared" si="3983"/>
        <v>0.16267296658791766</v>
      </c>
      <c r="V570" s="506">
        <f t="shared" si="3983"/>
        <v>0.12083057212281866</v>
      </c>
      <c r="W570" s="1910">
        <f t="shared" si="3983"/>
        <v>0.16339102376063364</v>
      </c>
      <c r="X570" s="506">
        <f t="shared" si="3983"/>
        <v>0.17817896389324961</v>
      </c>
      <c r="Y570" s="506">
        <f t="shared" si="3983"/>
        <v>0.14615384615384616</v>
      </c>
      <c r="Z570" s="506">
        <f t="shared" si="3983"/>
        <v>9.8456916564249625E-2</v>
      </c>
      <c r="AA570" s="506">
        <f t="shared" si="3983"/>
        <v>0.12493599590373784</v>
      </c>
      <c r="AB570" s="506">
        <f t="shared" ref="AB570" si="3984">+AB569/AB$541</f>
        <v>0.12813667912439936</v>
      </c>
      <c r="AC570" s="506">
        <f t="shared" si="3983"/>
        <v>0.12468377303939285</v>
      </c>
      <c r="AD570" s="506">
        <f t="shared" si="3983"/>
        <v>8.8107687173211713E-2</v>
      </c>
      <c r="AE570" s="506">
        <f>+AE569/AE$541</f>
        <v>0.11488169364881694</v>
      </c>
      <c r="AF570" s="506">
        <f>+AF569/AF$541</f>
        <v>0.11864692022887915</v>
      </c>
      <c r="AG570" s="506">
        <f t="shared" ref="AG570:AH570" si="3985">+AG569/AG$541</f>
        <v>0.12910720212412877</v>
      </c>
      <c r="AH570" s="506">
        <f t="shared" si="3985"/>
        <v>9.2314688494770356E-2</v>
      </c>
      <c r="AI570" s="506">
        <f t="shared" ref="AI570" si="3986">+AI569/AI$541</f>
        <v>0.11934977898189078</v>
      </c>
      <c r="AJ570" s="506">
        <f t="shared" ref="AJ570:AL570" si="3987">+AJ569/AJ$541</f>
        <v>0.12586773570723225</v>
      </c>
      <c r="AK570" s="506">
        <f t="shared" si="3987"/>
        <v>0.12566181406144492</v>
      </c>
      <c r="AL570" s="506">
        <f t="shared" si="3987"/>
        <v>5.948492267152565E-2</v>
      </c>
      <c r="AM570" s="1910">
        <f t="shared" ref="AM570:AP570" si="3988">+AM569/AM$541</f>
        <v>4.4852619060976644E-2</v>
      </c>
      <c r="AN570" s="506">
        <f t="shared" si="3988"/>
        <v>4.6060176003071003E-2</v>
      </c>
      <c r="AO570" s="506">
        <f t="shared" si="3988"/>
        <v>4.4197911535256047E-2</v>
      </c>
      <c r="AP570" s="506">
        <f t="shared" si="3988"/>
        <v>3.4267154570758344E-2</v>
      </c>
      <c r="AQ570" s="506">
        <f t="shared" ref="AQ570:AT570" si="3989">+AQ569/AQ$541</f>
        <v>3.5286048335344551E-2</v>
      </c>
      <c r="AR570" s="506">
        <f t="shared" si="3989"/>
        <v>3.5215238064630484E-2</v>
      </c>
      <c r="AS570" s="506">
        <f t="shared" si="3989"/>
        <v>4.460798997991295E-2</v>
      </c>
      <c r="AT570" s="506">
        <f t="shared" si="3989"/>
        <v>3.2244353157025681E-2</v>
      </c>
      <c r="AU570" s="506">
        <f t="shared" ref="AU570:AX570" si="3990">+AU569/AU$541</f>
        <v>3.0018127776398146E-2</v>
      </c>
      <c r="AV570" s="506">
        <f t="shared" si="3990"/>
        <v>3.0520205270666269E-2</v>
      </c>
      <c r="AW570" s="506">
        <f t="shared" si="3990"/>
        <v>5.619510938827902E-2</v>
      </c>
      <c r="AX570" s="506">
        <f t="shared" si="3990"/>
        <v>2.7870128533774186E-2</v>
      </c>
      <c r="AY570" s="506"/>
      <c r="AZ570" s="506"/>
      <c r="BA570" s="72"/>
      <c r="BB570" s="506">
        <v>3.2003523963321755E-2</v>
      </c>
      <c r="BC570" s="2189"/>
      <c r="BD570" s="72"/>
      <c r="BE570" s="506">
        <f t="shared" ref="BE570:BK570" si="3991">+BE569/BE$541</f>
        <v>6.1862835959221527E-2</v>
      </c>
      <c r="BF570" s="506">
        <f t="shared" si="3991"/>
        <v>6.6413662239089205E-2</v>
      </c>
      <c r="BG570" s="506">
        <f t="shared" si="3991"/>
        <v>6.7897369679033842E-2</v>
      </c>
      <c r="BH570" s="506">
        <f t="shared" si="3991"/>
        <v>6.2865495047734157E-2</v>
      </c>
      <c r="BI570" s="506"/>
      <c r="BJ570" s="2092">
        <f t="shared" si="3991"/>
        <v>0.14312025170746678</v>
      </c>
      <c r="BK570" s="506">
        <f t="shared" si="3991"/>
        <v>0.13752949625525804</v>
      </c>
      <c r="BL570" s="506">
        <f>+BL569/BL$541</f>
        <v>0.11284181377639321</v>
      </c>
      <c r="BM570" s="506">
        <f t="shared" ref="BM570:BN570" si="3992">+BM569/BM$541</f>
        <v>0.11155656907459174</v>
      </c>
      <c r="BN570" s="506">
        <f t="shared" si="3992"/>
        <v>0.10382248198313088</v>
      </c>
      <c r="BO570" s="1910">
        <f t="shared" ref="BO570:BP570" si="3993">+BO569/BO$541</f>
        <v>4.1447590744509107E-2</v>
      </c>
      <c r="BP570" s="506">
        <f t="shared" si="3993"/>
        <v>3.6358824005175705E-2</v>
      </c>
      <c r="BQ570" s="506">
        <f t="shared" ref="BQ570" si="3994">+BQ569/BQ$541</f>
        <v>3.5212891796434012E-2</v>
      </c>
      <c r="BR570" s="506">
        <f>+BR569/BR$541</f>
        <v>2.7672078387579395E-2</v>
      </c>
      <c r="BS570" s="506">
        <f t="shared" ref="BS570:BU570" si="3995">+BS569/BS$541</f>
        <v>2.3153383640167769E-2</v>
      </c>
      <c r="BT570" s="506">
        <f t="shared" si="3995"/>
        <v>2.0016384614874979E-2</v>
      </c>
      <c r="BU570" s="506">
        <f t="shared" si="3995"/>
        <v>1.7567796146586236E-2</v>
      </c>
    </row>
    <row r="571" spans="1:73" s="360" customFormat="1" ht="15" hidden="1" customHeight="1">
      <c r="B571" s="360" t="s">
        <v>384</v>
      </c>
      <c r="C571" s="506">
        <f t="shared" ref="C571:AA571" si="3996">+C569/C$89</f>
        <v>0.13119434598202204</v>
      </c>
      <c r="D571" s="506">
        <f t="shared" si="3996"/>
        <v>8.311330801210963E-2</v>
      </c>
      <c r="E571" s="506">
        <f t="shared" si="3996"/>
        <v>0.11197340328905403</v>
      </c>
      <c r="F571" s="506">
        <f t="shared" si="3996"/>
        <v>0.11676254505773533</v>
      </c>
      <c r="G571" s="506">
        <f t="shared" si="3996"/>
        <v>0.13634929288149988</v>
      </c>
      <c r="H571" s="506">
        <f t="shared" si="3996"/>
        <v>0.13048613356841979</v>
      </c>
      <c r="I571" s="506">
        <f t="shared" si="3996"/>
        <v>0.12509933111567825</v>
      </c>
      <c r="J571" s="506">
        <f t="shared" si="3996"/>
        <v>0.1431918842367037</v>
      </c>
      <c r="K571" s="506">
        <f t="shared" si="3996"/>
        <v>0.15952139140013569</v>
      </c>
      <c r="L571" s="506">
        <f t="shared" si="3996"/>
        <v>0.15164251885854496</v>
      </c>
      <c r="M571" s="506">
        <f t="shared" si="3996"/>
        <v>0.16332499245121221</v>
      </c>
      <c r="N571" s="506">
        <f t="shared" si="3996"/>
        <v>8.1522747108045968E-2</v>
      </c>
      <c r="O571" s="506">
        <f t="shared" si="3996"/>
        <v>9.8309560335216872E-2</v>
      </c>
      <c r="P571" s="506">
        <f t="shared" si="3996"/>
        <v>0.12430507837688355</v>
      </c>
      <c r="Q571" s="506">
        <f t="shared" si="3996"/>
        <v>0.12020890647341312</v>
      </c>
      <c r="R571" s="506">
        <f t="shared" si="3996"/>
        <v>0.11167811399281263</v>
      </c>
      <c r="S571" s="1910">
        <f t="shared" si="3996"/>
        <v>0.15285660234581916</v>
      </c>
      <c r="T571" s="506">
        <f t="shared" si="3996"/>
        <v>0.15859030837004406</v>
      </c>
      <c r="U571" s="506">
        <f t="shared" si="3996"/>
        <v>0.17043847241867044</v>
      </c>
      <c r="V571" s="506">
        <f t="shared" si="3996"/>
        <v>0.1836803223640027</v>
      </c>
      <c r="W571" s="1910">
        <f t="shared" si="3996"/>
        <v>8.9006072227548749E-2</v>
      </c>
      <c r="X571" s="506">
        <f t="shared" si="3996"/>
        <v>9.6746696974001983E-2</v>
      </c>
      <c r="Y571" s="506">
        <f t="shared" si="3996"/>
        <v>0.10153283645056954</v>
      </c>
      <c r="Z571" s="506">
        <f t="shared" si="3996"/>
        <v>0.10634218289085545</v>
      </c>
      <c r="AA571" s="506">
        <f t="shared" si="3996"/>
        <v>0.10511200459506032</v>
      </c>
      <c r="AB571" s="506">
        <f t="shared" ref="AB571:AF571" si="3997">+AB569/AB$89</f>
        <v>0.10301902990413507</v>
      </c>
      <c r="AC571" s="506">
        <f t="shared" si="3997"/>
        <v>0.10385310054184227</v>
      </c>
      <c r="AD571" s="506">
        <f t="shared" si="3997"/>
        <v>0.10821150430386665</v>
      </c>
      <c r="AE571" s="506">
        <f t="shared" si="3997"/>
        <v>0.11366086554751272</v>
      </c>
      <c r="AF571" s="506">
        <f t="shared" si="3997"/>
        <v>0.11195807527393996</v>
      </c>
      <c r="AG571" s="506">
        <f t="shared" ref="AG571:AH571" si="3998">+AG569/AG$89</f>
        <v>0.12502008677486742</v>
      </c>
      <c r="AH571" s="506">
        <f t="shared" si="3998"/>
        <v>0.11757891688386909</v>
      </c>
      <c r="AI571" s="506">
        <f t="shared" ref="AI571:AJ571" si="3999">+AI569/AI$89</f>
        <v>0.13869096934548467</v>
      </c>
      <c r="AJ571" s="506">
        <f t="shared" si="3999"/>
        <v>0.14528751275944202</v>
      </c>
      <c r="AK571" s="506">
        <f t="shared" ref="AK571" si="4000">+AJ571</f>
        <v>0.14528751275944202</v>
      </c>
      <c r="AL571" s="508">
        <f t="shared" ref="AL571" si="4001">+AK571</f>
        <v>0.14528751275944202</v>
      </c>
      <c r="AM571" s="2431">
        <f t="shared" ref="AM571" si="4002">+AL571</f>
        <v>0.14528751275944202</v>
      </c>
      <c r="AN571" s="508">
        <f t="shared" ref="AN571" si="4003">+AM571</f>
        <v>0.14528751275944202</v>
      </c>
      <c r="AO571" s="508">
        <f t="shared" ref="AO571" si="4004">+AN571</f>
        <v>0.14528751275944202</v>
      </c>
      <c r="AP571" s="508">
        <f t="shared" ref="AP571" si="4005">+AO571</f>
        <v>0.14528751275944202</v>
      </c>
      <c r="AQ571" s="508">
        <f t="shared" ref="AQ571" si="4006">+AP571</f>
        <v>0.14528751275944202</v>
      </c>
      <c r="AR571" s="508">
        <f t="shared" ref="AR571" si="4007">+AQ571</f>
        <v>0.14528751275944202</v>
      </c>
      <c r="AS571" s="508">
        <f t="shared" ref="AS571" si="4008">+AR571</f>
        <v>0.14528751275944202</v>
      </c>
      <c r="AT571" s="508">
        <f t="shared" ref="AT571" si="4009">+AS571</f>
        <v>0.14528751275944202</v>
      </c>
      <c r="AU571" s="508">
        <f t="shared" ref="AU571" si="4010">+AT571</f>
        <v>0.14528751275944202</v>
      </c>
      <c r="AV571" s="508">
        <f t="shared" ref="AV571" si="4011">+AU571</f>
        <v>0.14528751275944202</v>
      </c>
      <c r="AW571" s="508">
        <f t="shared" ref="AW571" si="4012">+AV571</f>
        <v>0.14528751275944202</v>
      </c>
      <c r="AX571" s="508">
        <f t="shared" ref="AX571" si="4013">+AW571</f>
        <v>0.14528751275944202</v>
      </c>
      <c r="AY571" s="508"/>
      <c r="AZ571" s="508"/>
      <c r="BA571" s="72"/>
      <c r="BB571" s="508">
        <v>0.14528751275944202</v>
      </c>
      <c r="BC571" s="2189"/>
      <c r="BD571" s="72"/>
      <c r="BE571" s="506">
        <f t="shared" ref="BE571:BK571" si="4014">+BE569/BE$89</f>
        <v>0.1115176590789233</v>
      </c>
      <c r="BF571" s="506">
        <f t="shared" si="4014"/>
        <v>0.13279604345655069</v>
      </c>
      <c r="BG571" s="506">
        <f t="shared" si="4014"/>
        <v>0.12513716061303604</v>
      </c>
      <c r="BH571" s="506">
        <f t="shared" si="4014"/>
        <v>0.113948185500854</v>
      </c>
      <c r="BI571" s="506"/>
      <c r="BJ571" s="2092">
        <f t="shared" si="4014"/>
        <v>0.16692025418419404</v>
      </c>
      <c r="BK571" s="506">
        <f t="shared" si="4014"/>
        <v>9.8609680741503627E-2</v>
      </c>
      <c r="BL571" s="506">
        <f>+BL569/BL$89</f>
        <v>0.10510101733772746</v>
      </c>
      <c r="BM571" s="506">
        <f t="shared" ref="BM571:BN571" si="4015">+BM569/BM$89</f>
        <v>0.11701840348778889</v>
      </c>
      <c r="BN571" s="506">
        <f t="shared" si="4015"/>
        <v>0.14338716394200912</v>
      </c>
      <c r="BO571" s="1910">
        <f t="shared" ref="BO571:BP571" si="4016">+BO569/BO$89</f>
        <v>0.14528751275944199</v>
      </c>
      <c r="BP571" s="506">
        <f t="shared" si="4016"/>
        <v>0.14528751275944202</v>
      </c>
      <c r="BQ571" s="506">
        <f t="shared" ref="BQ571" si="4017">+BQ569/BQ$89</f>
        <v>0.14528751275944202</v>
      </c>
      <c r="BR571" s="508">
        <f t="shared" ref="BR571" si="4018">+BQ571</f>
        <v>0.14528751275944202</v>
      </c>
      <c r="BS571" s="508">
        <f t="shared" ref="BS571" si="4019">+BR571</f>
        <v>0.14528751275944202</v>
      </c>
      <c r="BT571" s="508">
        <f t="shared" ref="BT571" si="4020">+BS571</f>
        <v>0.14528751275944202</v>
      </c>
      <c r="BU571" s="508">
        <f t="shared" ref="BU571" si="4021">+BT571</f>
        <v>0.14528751275944202</v>
      </c>
    </row>
    <row r="572" spans="1:73" s="360" customFormat="1" ht="15" hidden="1" customHeight="1">
      <c r="G572" s="411"/>
      <c r="H572" s="411"/>
      <c r="I572" s="411"/>
      <c r="J572" s="411"/>
      <c r="K572" s="411"/>
      <c r="L572" s="411"/>
      <c r="M572" s="411"/>
      <c r="N572" s="411"/>
      <c r="O572" s="411"/>
      <c r="P572" s="411"/>
      <c r="Q572" s="411"/>
      <c r="R572" s="411"/>
      <c r="S572" s="1983"/>
      <c r="T572" s="411"/>
      <c r="U572" s="494"/>
      <c r="V572" s="494"/>
      <c r="W572" s="404"/>
      <c r="AM572" s="404"/>
      <c r="BA572" s="72"/>
      <c r="BC572" s="2189"/>
      <c r="BD572" s="72"/>
      <c r="BE572" s="411"/>
      <c r="BF572" s="411"/>
      <c r="BG572" s="411"/>
      <c r="BH572" s="411"/>
      <c r="BI572" s="411"/>
      <c r="BJ572" s="2086"/>
      <c r="BK572" s="411"/>
      <c r="BL572" s="411"/>
      <c r="BM572" s="411"/>
      <c r="BN572" s="1291"/>
      <c r="BO572" s="2493"/>
      <c r="BP572" s="1291"/>
      <c r="BQ572" s="1291"/>
      <c r="BR572" s="494"/>
      <c r="BS572" s="494"/>
      <c r="BT572" s="494"/>
      <c r="BU572" s="494"/>
    </row>
    <row r="573" spans="1:73" s="503" customFormat="1" ht="15" hidden="1" customHeight="1">
      <c r="A573" s="502"/>
      <c r="B573" s="503" t="s">
        <v>114</v>
      </c>
      <c r="C573" s="511">
        <f t="shared" ref="C573:Z573" si="4022">+C565+C569</f>
        <v>8.0999999999999979</v>
      </c>
      <c r="D573" s="511">
        <f t="shared" si="4022"/>
        <v>13.3</v>
      </c>
      <c r="E573" s="511">
        <f t="shared" si="4022"/>
        <v>13.3</v>
      </c>
      <c r="F573" s="511">
        <f t="shared" si="4022"/>
        <v>55.4</v>
      </c>
      <c r="G573" s="511">
        <f t="shared" si="4022"/>
        <v>15.9</v>
      </c>
      <c r="H573" s="511">
        <f t="shared" si="4022"/>
        <v>19.2</v>
      </c>
      <c r="I573" s="511">
        <f t="shared" si="4022"/>
        <v>24.1</v>
      </c>
      <c r="J573" s="511">
        <f t="shared" si="4022"/>
        <v>55.8</v>
      </c>
      <c r="K573" s="511">
        <f t="shared" si="4022"/>
        <v>12.199043102402451</v>
      </c>
      <c r="L573" s="511">
        <f t="shared" si="4022"/>
        <v>14.355755054709784</v>
      </c>
      <c r="M573" s="511">
        <f t="shared" si="4022"/>
        <v>15.354951729593015</v>
      </c>
      <c r="N573" s="511">
        <f t="shared" si="4022"/>
        <v>68.717136012104589</v>
      </c>
      <c r="O573" s="511">
        <f t="shared" si="4022"/>
        <v>27.002624128695629</v>
      </c>
      <c r="P573" s="511">
        <f t="shared" si="4022"/>
        <v>25.27002764272342</v>
      </c>
      <c r="Q573" s="511">
        <f t="shared" si="4022"/>
        <v>24.1</v>
      </c>
      <c r="R573" s="511">
        <f t="shared" si="4022"/>
        <v>85.9</v>
      </c>
      <c r="S573" s="1914">
        <f t="shared" si="4022"/>
        <v>60.400000000000034</v>
      </c>
      <c r="T573" s="511">
        <f t="shared" si="4022"/>
        <v>57.3</v>
      </c>
      <c r="U573" s="511">
        <f t="shared" si="4022"/>
        <v>69.200000000000031</v>
      </c>
      <c r="V573" s="511">
        <f t="shared" si="4022"/>
        <v>163.40000000000003</v>
      </c>
      <c r="W573" s="1914">
        <f t="shared" si="4022"/>
        <v>77.800000000000026</v>
      </c>
      <c r="X573" s="511">
        <f t="shared" si="4022"/>
        <v>102.70000000000002</v>
      </c>
      <c r="Y573" s="511">
        <f t="shared" si="4022"/>
        <v>154.5</v>
      </c>
      <c r="Z573" s="511">
        <f t="shared" si="4022"/>
        <v>271.60000000000002</v>
      </c>
      <c r="AA573" s="511">
        <f>+AA565+AA569</f>
        <v>156.49999999999994</v>
      </c>
      <c r="AB573" s="511">
        <f>+AB565+AB569</f>
        <v>117.80000000000001</v>
      </c>
      <c r="AC573" s="511">
        <f>+AC565+AC569</f>
        <v>108.19999999999999</v>
      </c>
      <c r="AD573" s="511">
        <f>+AD565+AD569</f>
        <v>240.39999999999992</v>
      </c>
      <c r="AE573" s="511">
        <f t="shared" ref="AE573:AH573" si="4023">+AE565+AE569</f>
        <v>139.7000000000001</v>
      </c>
      <c r="AF573" s="511">
        <f t="shared" si="4023"/>
        <v>96.500000000000057</v>
      </c>
      <c r="AG573" s="511">
        <f t="shared" si="4023"/>
        <v>81.000000000000043</v>
      </c>
      <c r="AH573" s="511">
        <f t="shared" si="4023"/>
        <v>219.59999999999997</v>
      </c>
      <c r="AI573" s="511">
        <f t="shared" ref="AI573:AL573" si="4024">+AI565+AI569</f>
        <v>129.60000000000008</v>
      </c>
      <c r="AJ573" s="511">
        <f t="shared" si="4024"/>
        <v>85.669999999999987</v>
      </c>
      <c r="AK573" s="511">
        <f t="shared" si="4024"/>
        <v>61.766274978442624</v>
      </c>
      <c r="AL573" s="511">
        <f t="shared" si="4024"/>
        <v>238.29210570686109</v>
      </c>
      <c r="AM573" s="1914">
        <f t="shared" ref="AM573:AP573" si="4025">+AM565+AM569</f>
        <v>59.884993924381632</v>
      </c>
      <c r="AN573" s="511">
        <f t="shared" si="4025"/>
        <v>46.89355753273459</v>
      </c>
      <c r="AO573" s="511">
        <f t="shared" si="4025"/>
        <v>43.538478001501169</v>
      </c>
      <c r="AP573" s="511">
        <f t="shared" si="4025"/>
        <v>317.27313453658923</v>
      </c>
      <c r="AQ573" s="511">
        <f t="shared" ref="AQ573:AT573" si="4026">+AQ565+AQ569</f>
        <v>109.6580496295789</v>
      </c>
      <c r="AR573" s="511">
        <f t="shared" si="4026"/>
        <v>70.589230592408853</v>
      </c>
      <c r="AS573" s="511">
        <f t="shared" si="4026"/>
        <v>45.265235363888138</v>
      </c>
      <c r="AT573" s="511">
        <f t="shared" si="4026"/>
        <v>294.88983162144535</v>
      </c>
      <c r="AU573" s="511">
        <f t="shared" ref="AU573:AX573" si="4027">+AU565+AU569</f>
        <v>82.872989180879003</v>
      </c>
      <c r="AV573" s="511">
        <f t="shared" si="4027"/>
        <v>55.228545945421637</v>
      </c>
      <c r="AW573" s="511">
        <f t="shared" si="4027"/>
        <v>53.727500159855389</v>
      </c>
      <c r="AX573" s="511">
        <f t="shared" si="4027"/>
        <v>306.25751502469592</v>
      </c>
      <c r="AY573" s="2140"/>
      <c r="AZ573" s="2140"/>
      <c r="BA573" s="85"/>
      <c r="BB573" s="511">
        <v>294.62831409847831</v>
      </c>
      <c r="BC573" s="2198">
        <f>+AT573/BB573-1</f>
        <v>8.8761843466156343E-4</v>
      </c>
      <c r="BD573" s="85"/>
      <c r="BE573" s="511">
        <f>+SUM(C573:F573)</f>
        <v>90.1</v>
      </c>
      <c r="BF573" s="511">
        <f>+SUM(G573:J573)</f>
        <v>115</v>
      </c>
      <c r="BG573" s="511">
        <f>+SUM(K573:N573)</f>
        <v>110.62688589880983</v>
      </c>
      <c r="BH573" s="2140">
        <f>+SUM(O573:R573)</f>
        <v>162.27265177141905</v>
      </c>
      <c r="BI573" s="2140"/>
      <c r="BJ573" s="2149">
        <f>+SUM(S573:V573)</f>
        <v>350.30000000000007</v>
      </c>
      <c r="BK573" s="511">
        <f>+SUM(W573:Z573)</f>
        <v>606.60000000000014</v>
      </c>
      <c r="BL573" s="511">
        <f>+SUM(AA573:AD573)</f>
        <v>622.89999999999986</v>
      </c>
      <c r="BM573" s="511">
        <f>+SUM(AE573:AH573)</f>
        <v>536.80000000000018</v>
      </c>
      <c r="BN573" s="511">
        <f>+SUM(AI573:AL573)</f>
        <v>515.32838068530373</v>
      </c>
      <c r="BO573" s="1914">
        <f>+SUM(AM573:AP573)</f>
        <v>467.59016399520658</v>
      </c>
      <c r="BP573" s="511">
        <f>+SUM(AQ573:AT573)</f>
        <v>520.40234720732121</v>
      </c>
      <c r="BQ573" s="511">
        <f>+SUM(AU573:AX573)</f>
        <v>498.08655031085198</v>
      </c>
      <c r="BR573" s="511">
        <f t="shared" ref="BR573" si="4028">+BR565+BR569</f>
        <v>599.11262727853182</v>
      </c>
      <c r="BS573" s="511">
        <f t="shared" ref="BS573:BU573" si="4029">+BS565+BS569</f>
        <v>728.91678047522089</v>
      </c>
      <c r="BT573" s="511">
        <f t="shared" si="4029"/>
        <v>881.72353644473765</v>
      </c>
      <c r="BU573" s="511">
        <f t="shared" si="4029"/>
        <v>1060.3229036698269</v>
      </c>
    </row>
    <row r="574" spans="1:73" s="360" customFormat="1" ht="15" hidden="1" customHeight="1">
      <c r="B574" s="360" t="s">
        <v>316</v>
      </c>
      <c r="C574" s="495"/>
      <c r="G574" s="495">
        <f t="shared" ref="G574:AD574" si="4030">+G573/C573-1</f>
        <v>0.96296296296296346</v>
      </c>
      <c r="H574" s="495">
        <f t="shared" si="4030"/>
        <v>0.4436090225563909</v>
      </c>
      <c r="I574" s="495">
        <f t="shared" si="4030"/>
        <v>0.81203007518796988</v>
      </c>
      <c r="J574" s="495">
        <f t="shared" si="4030"/>
        <v>7.2202166064980755E-3</v>
      </c>
      <c r="K574" s="495">
        <f t="shared" si="4030"/>
        <v>-0.23276458475456285</v>
      </c>
      <c r="L574" s="495">
        <f t="shared" si="4030"/>
        <v>-0.25230442423386545</v>
      </c>
      <c r="M574" s="495">
        <f t="shared" si="4030"/>
        <v>-0.36286507346087082</v>
      </c>
      <c r="N574" s="495">
        <f t="shared" si="4030"/>
        <v>0.23148989269004638</v>
      </c>
      <c r="O574" s="495">
        <f t="shared" si="4030"/>
        <v>1.2135034610524325</v>
      </c>
      <c r="P574" s="495">
        <f t="shared" si="4030"/>
        <v>0.76027158072977308</v>
      </c>
      <c r="Q574" s="495">
        <f t="shared" si="4030"/>
        <v>0.56952626256408134</v>
      </c>
      <c r="R574" s="495">
        <f t="shared" si="4030"/>
        <v>0.2500520974108793</v>
      </c>
      <c r="S574" s="1905">
        <f t="shared" si="4030"/>
        <v>1.2368196406442249</v>
      </c>
      <c r="T574" s="495">
        <f t="shared" si="4030"/>
        <v>1.2675084020535174</v>
      </c>
      <c r="U574" s="495">
        <f t="shared" si="4030"/>
        <v>1.8713692946058105</v>
      </c>
      <c r="V574" s="495">
        <f t="shared" si="4030"/>
        <v>0.90221187427241012</v>
      </c>
      <c r="W574" s="1905">
        <f t="shared" si="4030"/>
        <v>0.2880794701986753</v>
      </c>
      <c r="X574" s="495">
        <f t="shared" si="4030"/>
        <v>0.7923211169284472</v>
      </c>
      <c r="Y574" s="495">
        <f t="shared" si="4030"/>
        <v>1.2326589595375714</v>
      </c>
      <c r="Z574" s="495">
        <f t="shared" si="4030"/>
        <v>0.66217870257037914</v>
      </c>
      <c r="AA574" s="495">
        <f t="shared" si="4030"/>
        <v>1.0115681233933147</v>
      </c>
      <c r="AB574" s="495">
        <f t="shared" si="4030"/>
        <v>0.14703018500486853</v>
      </c>
      <c r="AC574" s="495">
        <f t="shared" si="4030"/>
        <v>-0.29967637540453085</v>
      </c>
      <c r="AD574" s="495">
        <f t="shared" si="4030"/>
        <v>-0.11487481590574411</v>
      </c>
      <c r="AE574" s="495">
        <f t="shared" ref="AE574" si="4031">+AE573/AA573-1</f>
        <v>-0.10734824281150057</v>
      </c>
      <c r="AF574" s="495">
        <f t="shared" ref="AF574" si="4032">+AF573/AB573-1</f>
        <v>-0.18081494057724912</v>
      </c>
      <c r="AG574" s="495">
        <f t="shared" ref="AG574" si="4033">+AG573/AC573-1</f>
        <v>-0.25138632162661689</v>
      </c>
      <c r="AH574" s="495">
        <f t="shared" ref="AH574" si="4034">+AH573/AD573-1</f>
        <v>-8.6522462562395819E-2</v>
      </c>
      <c r="AI574" s="495">
        <f t="shared" ref="AI574" si="4035">+AI573/AE573-1</f>
        <v>-7.2297780959198366E-2</v>
      </c>
      <c r="AJ574" s="495">
        <f t="shared" ref="AJ574" si="4036">+AJ573/AF573-1</f>
        <v>-0.11222797927461203</v>
      </c>
      <c r="AK574" s="495">
        <f t="shared" ref="AK574" si="4037">+AK573/AG573-1</f>
        <v>-0.23745339532786924</v>
      </c>
      <c r="AL574" s="495">
        <f t="shared" ref="AL574" si="4038">+AL573/AH573-1</f>
        <v>8.5118878446544199E-2</v>
      </c>
      <c r="AM574" s="1905">
        <f t="shared" ref="AM574" si="4039">+AM573/AI573-1</f>
        <v>-0.53792442959582099</v>
      </c>
      <c r="AN574" s="495">
        <f t="shared" ref="AN574" si="4040">+AN573/AJ573-1</f>
        <v>-0.45262568538888059</v>
      </c>
      <c r="AO574" s="495">
        <f t="shared" ref="AO574" si="4041">+AO573/AK573-1</f>
        <v>-0.29510921588363936</v>
      </c>
      <c r="AP574" s="495">
        <f t="shared" ref="AP574" si="4042">+AP573/AL573-1</f>
        <v>0.33144626673821898</v>
      </c>
      <c r="AQ574" s="495">
        <f t="shared" ref="AQ574" si="4043">+AQ573/AM573-1</f>
        <v>0.83114403865594477</v>
      </c>
      <c r="AR574" s="495">
        <f t="shared" ref="AR574" si="4044">+AR573/AN573-1</f>
        <v>0.50530764365943504</v>
      </c>
      <c r="AS574" s="495">
        <f t="shared" ref="AS574" si="4045">+AS573/AO573-1</f>
        <v>3.9660489793130305E-2</v>
      </c>
      <c r="AT574" s="495">
        <f t="shared" ref="AT574" si="4046">+AT573/AP573-1</f>
        <v>-7.0549001723190452E-2</v>
      </c>
      <c r="AU574" s="495">
        <f t="shared" ref="AU574" si="4047">+AU573/AQ573-1</f>
        <v>-0.24425986545610567</v>
      </c>
      <c r="AV574" s="495">
        <f t="shared" ref="AV574" si="4048">+AV573/AR573-1</f>
        <v>-0.21760663089929044</v>
      </c>
      <c r="AW574" s="495">
        <f t="shared" ref="AW574" si="4049">+AW573/AS573-1</f>
        <v>0.18694843245459647</v>
      </c>
      <c r="AX574" s="495">
        <f t="shared" ref="AX574" si="4050">+AX573/AT573-1</f>
        <v>3.8548916185904503E-2</v>
      </c>
      <c r="AY574" s="495"/>
      <c r="AZ574" s="495"/>
      <c r="BA574" s="72"/>
      <c r="BB574" s="495">
        <v>-7.1373267929495721E-2</v>
      </c>
      <c r="BC574" s="2189"/>
      <c r="BD574" s="72"/>
      <c r="BE574" s="495"/>
      <c r="BF574" s="495">
        <f t="shared" ref="BF574:BR574" si="4051">+BF573/BE573-1</f>
        <v>0.27635960044395125</v>
      </c>
      <c r="BG574" s="495">
        <f t="shared" si="4051"/>
        <v>-3.802707914078407E-2</v>
      </c>
      <c r="BH574" s="495">
        <f t="shared" si="4051"/>
        <v>0.46684642212426986</v>
      </c>
      <c r="BI574" s="495"/>
      <c r="BJ574" s="2087">
        <f>+BJ573/BH573-1</f>
        <v>1.1587124889869957</v>
      </c>
      <c r="BK574" s="495">
        <f>+BK573/BJ573-1</f>
        <v>0.73165857836140447</v>
      </c>
      <c r="BL574" s="495">
        <f t="shared" si="4051"/>
        <v>2.687108473458566E-2</v>
      </c>
      <c r="BM574" s="495">
        <f t="shared" si="4051"/>
        <v>-0.13822443409857077</v>
      </c>
      <c r="BN574" s="495">
        <f t="shared" si="4051"/>
        <v>-3.9999290824695333E-2</v>
      </c>
      <c r="BO574" s="1905">
        <f t="shared" si="4051"/>
        <v>-9.2636498355889163E-2</v>
      </c>
      <c r="BP574" s="495">
        <f t="shared" si="4051"/>
        <v>0.1129454536872081</v>
      </c>
      <c r="BQ574" s="495">
        <f t="shared" si="4051"/>
        <v>-4.2881814458033074E-2</v>
      </c>
      <c r="BR574" s="495">
        <f t="shared" si="4051"/>
        <v>0.20282835765115581</v>
      </c>
      <c r="BS574" s="495">
        <f t="shared" ref="BS574" si="4052">+BS573/BR573-1</f>
        <v>0.21666068663303628</v>
      </c>
      <c r="BT574" s="495">
        <f t="shared" ref="BT574" si="4053">+BT573/BS573-1</f>
        <v>0.20963539331594694</v>
      </c>
      <c r="BU574" s="495">
        <f t="shared" ref="BU574" si="4054">+BU573/BT573-1</f>
        <v>0.20255710530903248</v>
      </c>
    </row>
    <row r="575" spans="1:73" s="497" customFormat="1" ht="15" hidden="1" customHeight="1">
      <c r="B575" s="497" t="s">
        <v>30</v>
      </c>
      <c r="C575" s="498">
        <f>+C573/C$541</f>
        <v>0.12235649546827794</v>
      </c>
      <c r="D575" s="498">
        <f>+D573/D$541</f>
        <v>0.15739644970414202</v>
      </c>
      <c r="E575" s="498">
        <f>+E573/E$541</f>
        <v>0.12146118721461188</v>
      </c>
      <c r="F575" s="498">
        <f>+F573/F$541</f>
        <v>0.323220536756126</v>
      </c>
      <c r="G575" s="498">
        <f>+G573/G$541</f>
        <v>0.12230769230769231</v>
      </c>
      <c r="H575" s="498">
        <f t="shared" ref="H575:Z575" si="4055">+H573/H$541</f>
        <v>0.15226011102299764</v>
      </c>
      <c r="I575" s="498">
        <f t="shared" si="4055"/>
        <v>0.18354912414318356</v>
      </c>
      <c r="J575" s="498">
        <f t="shared" si="4055"/>
        <v>0.29017160686427451</v>
      </c>
      <c r="K575" s="498">
        <f t="shared" si="4055"/>
        <v>8.4453014949950542E-2</v>
      </c>
      <c r="L575" s="498">
        <f t="shared" si="4055"/>
        <v>9.4625521196868012E-2</v>
      </c>
      <c r="M575" s="498">
        <f t="shared" si="4055"/>
        <v>9.5918515042461322E-2</v>
      </c>
      <c r="N575" s="498">
        <f t="shared" si="4055"/>
        <v>0.27464566615483416</v>
      </c>
      <c r="O575" s="498">
        <f t="shared" si="4055"/>
        <v>0.13425501523593189</v>
      </c>
      <c r="P575" s="498">
        <f t="shared" si="4055"/>
        <v>0.10729600196877864</v>
      </c>
      <c r="Q575" s="498">
        <f t="shared" si="4055"/>
        <v>9.0127150336574438E-2</v>
      </c>
      <c r="R575" s="498">
        <f t="shared" si="4055"/>
        <v>0.23861111111111113</v>
      </c>
      <c r="S575" s="1907">
        <f t="shared" si="4055"/>
        <v>0.2238695329873982</v>
      </c>
      <c r="T575" s="498">
        <f t="shared" si="4055"/>
        <v>0.20154766092156171</v>
      </c>
      <c r="U575" s="498">
        <f t="shared" si="4055"/>
        <v>0.23354708066149182</v>
      </c>
      <c r="V575" s="498">
        <f t="shared" si="4055"/>
        <v>0.36094543848022981</v>
      </c>
      <c r="W575" s="1907">
        <f t="shared" si="4055"/>
        <v>0.22821941918451169</v>
      </c>
      <c r="X575" s="498">
        <f t="shared" si="4055"/>
        <v>0.26870748299319736</v>
      </c>
      <c r="Y575" s="498">
        <f t="shared" si="4055"/>
        <v>0.31275303643724695</v>
      </c>
      <c r="Z575" s="498">
        <f t="shared" si="4055"/>
        <v>0.37088624880513454</v>
      </c>
      <c r="AA575" s="498">
        <f>+AA573/AA$541</f>
        <v>0.26711042840075089</v>
      </c>
      <c r="AB575" s="498">
        <f>+AB573/AB$541</f>
        <v>0.20964584445630899</v>
      </c>
      <c r="AC575" s="498">
        <f>+AC573/AC$541</f>
        <v>0.19551861221539571</v>
      </c>
      <c r="AD575" s="498">
        <f>+AD573/AD$541</f>
        <v>0.26743797975303141</v>
      </c>
      <c r="AE575" s="498">
        <f t="shared" ref="AE575:AH575" si="4056">+AE573/AE$541</f>
        <v>0.21746575342465771</v>
      </c>
      <c r="AF575" s="498">
        <f>+AF573/AF$541</f>
        <v>0.16240323123527439</v>
      </c>
      <c r="AG575" s="498">
        <f t="shared" si="4056"/>
        <v>0.13441752406239635</v>
      </c>
      <c r="AH575" s="498">
        <f t="shared" si="4056"/>
        <v>0.24965893587994539</v>
      </c>
      <c r="AI575" s="498">
        <f t="shared" ref="AI575:AL575" si="4057">+AI573/AI$541</f>
        <v>0.18479965777841165</v>
      </c>
      <c r="AJ575" s="498">
        <f t="shared" si="4057"/>
        <v>0.1262656781971731</v>
      </c>
      <c r="AK575" s="498">
        <f t="shared" si="4057"/>
        <v>9.9080437743362434E-2</v>
      </c>
      <c r="AL575" s="498">
        <f t="shared" si="4057"/>
        <v>0.26773792861686124</v>
      </c>
      <c r="AM575" s="1907">
        <f t="shared" ref="AM575:AP575" si="4058">+AM573/AM$541</f>
        <v>8.3239405545111306E-2</v>
      </c>
      <c r="AN575" s="498">
        <f t="shared" si="4058"/>
        <v>6.2622409078327376E-2</v>
      </c>
      <c r="AO575" s="498">
        <f t="shared" si="4058"/>
        <v>5.8116891519716496E-2</v>
      </c>
      <c r="AP575" s="498">
        <f t="shared" si="4058"/>
        <v>0.28605221450112223</v>
      </c>
      <c r="AQ575" s="498">
        <f t="shared" ref="AQ575:AT575" si="4059">+AQ573/AQ$541</f>
        <v>0.12188880288910309</v>
      </c>
      <c r="AR575" s="498">
        <f t="shared" si="4059"/>
        <v>8.1242339498005758E-2</v>
      </c>
      <c r="AS575" s="498">
        <f t="shared" si="4059"/>
        <v>5.8101584081536178E-2</v>
      </c>
      <c r="AT575" s="498">
        <f t="shared" si="4059"/>
        <v>0.27156146010851434</v>
      </c>
      <c r="AU575" s="498">
        <f t="shared" ref="AU575:AX575" si="4060">+AU573/AU$541</f>
        <v>9.6061134561922487E-2</v>
      </c>
      <c r="AV575" s="498">
        <f t="shared" si="4060"/>
        <v>6.3938288815708275E-2</v>
      </c>
      <c r="AW575" s="498">
        <f t="shared" si="4060"/>
        <v>6.6786781006762372E-2</v>
      </c>
      <c r="AX575" s="498">
        <f t="shared" si="4060"/>
        <v>0.26949540221204321</v>
      </c>
      <c r="AY575" s="498"/>
      <c r="AZ575" s="498"/>
      <c r="BA575" s="2257"/>
      <c r="BB575" s="498">
        <v>0.27132063091481035</v>
      </c>
      <c r="BC575" s="2200">
        <f>+AT575-BB575</f>
        <v>2.4082919370399525E-4</v>
      </c>
      <c r="BD575" s="2257"/>
      <c r="BE575" s="498">
        <f t="shared" ref="BE575:BK575" si="4061">+BE573/BE$541</f>
        <v>0.20875810936051897</v>
      </c>
      <c r="BF575" s="498">
        <f t="shared" si="4061"/>
        <v>0.19837847162325339</v>
      </c>
      <c r="BG575" s="498">
        <f t="shared" si="4061"/>
        <v>0.15659657864262386</v>
      </c>
      <c r="BH575" s="498">
        <f t="shared" si="4061"/>
        <v>0.15250525361479353</v>
      </c>
      <c r="BI575" s="498"/>
      <c r="BJ575" s="2090">
        <f t="shared" si="4061"/>
        <v>0.26882050494973525</v>
      </c>
      <c r="BK575" s="498">
        <f t="shared" si="4061"/>
        <v>0.31117266851338882</v>
      </c>
      <c r="BL575" s="498">
        <f>+BL573/BL$541</f>
        <v>0.23956770893427171</v>
      </c>
      <c r="BM575" s="498">
        <f>+BM573/BM$541</f>
        <v>0.19744004707959403</v>
      </c>
      <c r="BN575" s="498">
        <f>+BN573/BN$541</f>
        <v>0.17811677310531235</v>
      </c>
      <c r="BO575" s="1907">
        <f>+BO573/BO$541</f>
        <v>0.14056272133944606</v>
      </c>
      <c r="BP575" s="498">
        <f>+BP573/BP$541</f>
        <v>0.14322327312895686</v>
      </c>
      <c r="BQ575" s="498">
        <f t="shared" ref="BQ575" si="4062">+BQ573/BQ$541</f>
        <v>0.13581596301001966</v>
      </c>
      <c r="BR575" s="498">
        <f>+BR573/BR$541</f>
        <v>0.14484103971862955</v>
      </c>
      <c r="BS575" s="498">
        <f t="shared" ref="BS575:BU575" si="4063">+BS573/BS$541</f>
        <v>0.15630184281005463</v>
      </c>
      <c r="BT575" s="498">
        <f t="shared" si="4063"/>
        <v>0.16810202816314571</v>
      </c>
      <c r="BU575" s="498">
        <f t="shared" si="4063"/>
        <v>0.17993687422335394</v>
      </c>
    </row>
    <row r="576" spans="1:73" s="357" customFormat="1" ht="15" hidden="1" customHeight="1">
      <c r="B576" s="357" t="s">
        <v>331</v>
      </c>
      <c r="G576" s="645">
        <f t="shared" ref="G576:R576" si="4064">+G575-C575</f>
        <v>-4.8803160585628169E-5</v>
      </c>
      <c r="H576" s="645">
        <f t="shared" si="4064"/>
        <v>-5.1363386811443812E-3</v>
      </c>
      <c r="I576" s="645">
        <f t="shared" si="4064"/>
        <v>6.2087936928571674E-2</v>
      </c>
      <c r="J576" s="645">
        <f t="shared" si="4064"/>
        <v>-3.3048929891851486E-2</v>
      </c>
      <c r="K576" s="645">
        <f t="shared" si="4064"/>
        <v>-3.785467735774177E-2</v>
      </c>
      <c r="L576" s="645">
        <f t="shared" si="4064"/>
        <v>-5.7634589826129623E-2</v>
      </c>
      <c r="M576" s="645">
        <f t="shared" si="4064"/>
        <v>-8.7630609100722234E-2</v>
      </c>
      <c r="N576" s="645">
        <f t="shared" si="4064"/>
        <v>-1.5525940709440356E-2</v>
      </c>
      <c r="O576" s="645">
        <f t="shared" si="4064"/>
        <v>4.9802000285981349E-2</v>
      </c>
      <c r="P576" s="645">
        <f t="shared" si="4064"/>
        <v>1.267048077191063E-2</v>
      </c>
      <c r="Q576" s="645">
        <f t="shared" si="4064"/>
        <v>-5.7913647058868839E-3</v>
      </c>
      <c r="R576" s="645">
        <f t="shared" si="4064"/>
        <v>-3.6034555043723021E-2</v>
      </c>
      <c r="S576" s="1908"/>
      <c r="T576" s="645"/>
      <c r="U576" s="1196">
        <f t="shared" ref="U576:W576" si="4065">+U573/U$115</f>
        <v>0.12620828013861043</v>
      </c>
      <c r="V576" s="1196">
        <f t="shared" si="4065"/>
        <v>4.3481731818302775E-2</v>
      </c>
      <c r="W576" s="1915">
        <f t="shared" si="4065"/>
        <v>0.53581267217630935</v>
      </c>
      <c r="X576" s="1196">
        <f t="shared" ref="X576:AH576" si="4066">+X575-T575</f>
        <v>6.715982207163565E-2</v>
      </c>
      <c r="Y576" s="1196">
        <f t="shared" si="4066"/>
        <v>7.9205955775755121E-2</v>
      </c>
      <c r="Z576" s="1196">
        <f t="shared" si="4066"/>
        <v>9.9408103249047364E-3</v>
      </c>
      <c r="AA576" s="1196">
        <f t="shared" si="4066"/>
        <v>3.8891009216239197E-2</v>
      </c>
      <c r="AB576" s="1196">
        <f t="shared" si="4066"/>
        <v>-5.9061638536888367E-2</v>
      </c>
      <c r="AC576" s="1196">
        <f t="shared" si="4066"/>
        <v>-0.11723442422185124</v>
      </c>
      <c r="AD576" s="1196">
        <f t="shared" si="4066"/>
        <v>-0.10344826905210314</v>
      </c>
      <c r="AE576" s="1196">
        <f t="shared" si="4066"/>
        <v>-4.9644674976093178E-2</v>
      </c>
      <c r="AF576" s="1196">
        <f t="shared" si="4066"/>
        <v>-4.7242613221034596E-2</v>
      </c>
      <c r="AG576" s="1196">
        <f t="shared" si="4066"/>
        <v>-6.1101088152999361E-2</v>
      </c>
      <c r="AH576" s="1196">
        <f t="shared" si="4066"/>
        <v>-1.7779043873086015E-2</v>
      </c>
      <c r="AI576" s="1196"/>
      <c r="AJ576" s="1196"/>
      <c r="AK576" s="1196"/>
      <c r="AM576" s="1890"/>
      <c r="BA576" s="85"/>
      <c r="BC576" s="2197"/>
      <c r="BD576" s="85"/>
      <c r="BE576" s="1196">
        <f t="shared" ref="BE576:BL576" si="4067">+BE573/BE$115</f>
        <v>6.0231298883615225E-2</v>
      </c>
      <c r="BF576" s="1196">
        <f t="shared" si="4067"/>
        <v>8.3770671412560657E-2</v>
      </c>
      <c r="BG576" s="1196">
        <f t="shared" si="4067"/>
        <v>6.3506966570243545E-2</v>
      </c>
      <c r="BH576" s="2141">
        <f t="shared" si="4067"/>
        <v>8.7671566485069422E-2</v>
      </c>
      <c r="BI576" s="2141"/>
      <c r="BJ576" s="2094">
        <f t="shared" si="4067"/>
        <v>6.5934702998325573E-2</v>
      </c>
      <c r="BK576" s="1196">
        <f t="shared" si="4067"/>
        <v>0.17288947158410772</v>
      </c>
      <c r="BL576" s="1196">
        <f t="shared" si="4067"/>
        <v>0.15931353743062501</v>
      </c>
      <c r="BM576" s="1196">
        <f t="shared" ref="BM576" si="4068">+BM573/BM$115</f>
        <v>0.25160534333255224</v>
      </c>
      <c r="BN576" s="1196"/>
      <c r="BO576" s="1915"/>
      <c r="BP576" s="1196"/>
      <c r="BQ576" s="1196"/>
    </row>
    <row r="577" spans="2:73" s="357" customFormat="1" ht="15" hidden="1" customHeight="1">
      <c r="G577" s="645"/>
      <c r="H577" s="645"/>
      <c r="I577" s="645"/>
      <c r="J577" s="645"/>
      <c r="K577" s="645"/>
      <c r="L577" s="645"/>
      <c r="M577" s="645"/>
      <c r="N577" s="645"/>
      <c r="O577" s="645"/>
      <c r="P577" s="645"/>
      <c r="Q577" s="645"/>
      <c r="R577" s="645"/>
      <c r="S577" s="1908"/>
      <c r="T577" s="645"/>
      <c r="U577" s="645"/>
      <c r="V577" s="831"/>
      <c r="W577" s="1890"/>
      <c r="AM577" s="1890"/>
      <c r="BA577" s="85"/>
      <c r="BC577" s="2197"/>
      <c r="BD577" s="85"/>
      <c r="BJ577" s="2076"/>
      <c r="BO577" s="1890"/>
    </row>
    <row r="578" spans="2:73" s="496" customFormat="1" ht="15" hidden="1" customHeight="1">
      <c r="B578" s="496" t="s">
        <v>334</v>
      </c>
      <c r="G578" s="647"/>
      <c r="H578" s="647"/>
      <c r="I578" s="647"/>
      <c r="J578" s="647"/>
      <c r="K578" s="647">
        <f>+K573</f>
        <v>12.199043102402451</v>
      </c>
      <c r="L578" s="647">
        <f t="shared" ref="L578:R578" si="4069">+L573</f>
        <v>14.355755054709784</v>
      </c>
      <c r="M578" s="647">
        <f t="shared" si="4069"/>
        <v>15.354951729593015</v>
      </c>
      <c r="N578" s="647">
        <f t="shared" si="4069"/>
        <v>68.717136012104589</v>
      </c>
      <c r="O578" s="647">
        <f t="shared" si="4069"/>
        <v>27.002624128695629</v>
      </c>
      <c r="P578" s="647">
        <f t="shared" si="4069"/>
        <v>25.27002764272342</v>
      </c>
      <c r="Q578" s="647">
        <f t="shared" si="4069"/>
        <v>24.1</v>
      </c>
      <c r="R578" s="647">
        <f t="shared" si="4069"/>
        <v>85.9</v>
      </c>
      <c r="S578" s="1906">
        <v>35</v>
      </c>
      <c r="T578" s="648">
        <v>32.200000000000003</v>
      </c>
      <c r="U578" s="648">
        <v>35.5</v>
      </c>
      <c r="V578" s="648">
        <v>124.4</v>
      </c>
      <c r="W578" s="1916"/>
      <c r="X578" s="499"/>
      <c r="Y578" s="499"/>
      <c r="Z578" s="499"/>
      <c r="AA578" s="499"/>
      <c r="AB578" s="499"/>
      <c r="AC578" s="499"/>
      <c r="AD578" s="499"/>
      <c r="AE578" s="499"/>
      <c r="AF578" s="499"/>
      <c r="AG578" s="499"/>
      <c r="AH578" s="499"/>
      <c r="AI578" s="499"/>
      <c r="AJ578" s="499"/>
      <c r="AK578" s="499"/>
      <c r="AL578" s="499"/>
      <c r="AM578" s="1916"/>
      <c r="AN578" s="499"/>
      <c r="AO578" s="499"/>
      <c r="AP578" s="499"/>
      <c r="AQ578" s="499"/>
      <c r="AR578" s="499"/>
      <c r="AS578" s="499"/>
      <c r="AT578" s="499"/>
      <c r="AU578" s="499"/>
      <c r="AV578" s="499"/>
      <c r="AW578" s="499"/>
      <c r="AX578" s="499"/>
      <c r="AY578" s="499"/>
      <c r="AZ578" s="499"/>
      <c r="BA578" s="985"/>
      <c r="BB578" s="499"/>
      <c r="BC578" s="2188"/>
      <c r="BD578" s="985"/>
      <c r="BE578" s="496">
        <f>+SUM(C578:F578)</f>
        <v>0</v>
      </c>
      <c r="BF578" s="496">
        <f>+SUM(G578:J578)</f>
        <v>0</v>
      </c>
      <c r="BG578" s="496">
        <f>+SUM(K578:N578)</f>
        <v>110.62688589880983</v>
      </c>
      <c r="BH578" s="496">
        <f>+SUM(O578:R578)</f>
        <v>162.27265177141905</v>
      </c>
      <c r="BJ578" s="2089">
        <f>+SUM(S578:V578)</f>
        <v>227.10000000000002</v>
      </c>
      <c r="BK578" s="496">
        <f>+SUM(W578:Z578)</f>
        <v>0</v>
      </c>
      <c r="BL578" s="496">
        <f>+SUM(AA578:AD578)</f>
        <v>0</v>
      </c>
      <c r="BM578" s="496">
        <f>+SUM(AE578:AH578)</f>
        <v>0</v>
      </c>
      <c r="BN578" s="496">
        <f>+SUM(AI578:AL578)</f>
        <v>0</v>
      </c>
      <c r="BO578" s="2490">
        <f>+SUM(AM578:AP578)</f>
        <v>0</v>
      </c>
      <c r="BP578" s="496">
        <f>+SUM(AQ578:AT578)</f>
        <v>0</v>
      </c>
      <c r="BQ578" s="496">
        <f>+SUM(AU578:AX578)</f>
        <v>0</v>
      </c>
      <c r="BR578" s="499">
        <f t="shared" ref="BR578" si="4070">+BR579*BR541</f>
        <v>37.330838198823677</v>
      </c>
      <c r="BS578" s="499">
        <f t="shared" ref="BS578:BU578" si="4071">+BS579*BS541</f>
        <v>95.536311540424578</v>
      </c>
      <c r="BT578" s="499">
        <f t="shared" si="4071"/>
        <v>169.34586605386733</v>
      </c>
      <c r="BU578" s="499">
        <f t="shared" si="4071"/>
        <v>259.99347211183994</v>
      </c>
    </row>
    <row r="579" spans="2:73" s="878" customFormat="1" ht="15" hidden="1" customHeight="1">
      <c r="B579" s="878" t="s">
        <v>30</v>
      </c>
      <c r="G579" s="645"/>
      <c r="H579" s="645"/>
      <c r="I579" s="645"/>
      <c r="J579" s="645"/>
      <c r="K579" s="879">
        <f t="shared" ref="K579:T579" si="4072">+K578/K$541</f>
        <v>8.4453014949950542E-2</v>
      </c>
      <c r="L579" s="879">
        <f t="shared" si="4072"/>
        <v>9.4625521196868012E-2</v>
      </c>
      <c r="M579" s="879">
        <f t="shared" si="4072"/>
        <v>9.5918515042461322E-2</v>
      </c>
      <c r="N579" s="879">
        <f t="shared" si="4072"/>
        <v>0.27464566615483416</v>
      </c>
      <c r="O579" s="879">
        <f t="shared" si="4072"/>
        <v>0.13425501523593189</v>
      </c>
      <c r="P579" s="879">
        <f t="shared" si="4072"/>
        <v>0.10729600196877864</v>
      </c>
      <c r="Q579" s="879">
        <f t="shared" si="4072"/>
        <v>9.0127150336574438E-2</v>
      </c>
      <c r="R579" s="879">
        <f t="shared" si="4072"/>
        <v>0.23861111111111113</v>
      </c>
      <c r="S579" s="1985">
        <f t="shared" si="4072"/>
        <v>0.12972572275759822</v>
      </c>
      <c r="T579" s="879">
        <f t="shared" si="4072"/>
        <v>0.11326064016883575</v>
      </c>
      <c r="U579" s="879">
        <f>+U578/U$541</f>
        <v>0.11981100236247047</v>
      </c>
      <c r="V579" s="879">
        <f>+V578/V$541</f>
        <v>0.274795670421913</v>
      </c>
      <c r="W579" s="1917"/>
      <c r="X579" s="646"/>
      <c r="Y579" s="646"/>
      <c r="Z579" s="646"/>
      <c r="AA579" s="646"/>
      <c r="AB579" s="646"/>
      <c r="AC579" s="646"/>
      <c r="AD579" s="646"/>
      <c r="AE579" s="646"/>
      <c r="AF579" s="646"/>
      <c r="AG579" s="646"/>
      <c r="AH579" s="646"/>
      <c r="AI579" s="646"/>
      <c r="AJ579" s="646"/>
      <c r="AK579" s="646"/>
      <c r="AL579" s="646"/>
      <c r="AM579" s="1917"/>
      <c r="AN579" s="646"/>
      <c r="AO579" s="646"/>
      <c r="AP579" s="646"/>
      <c r="AQ579" s="646"/>
      <c r="AR579" s="646"/>
      <c r="AS579" s="646"/>
      <c r="AT579" s="646"/>
      <c r="AU579" s="646"/>
      <c r="AV579" s="646"/>
      <c r="AW579" s="646"/>
      <c r="AX579" s="646"/>
      <c r="AY579" s="646"/>
      <c r="AZ579" s="646"/>
      <c r="BA579" s="2263"/>
      <c r="BB579" s="646"/>
      <c r="BC579" s="2197"/>
      <c r="BD579" s="2263"/>
      <c r="BE579" s="879">
        <f t="shared" ref="BE579:BK579" si="4073">+BE578/BE$541</f>
        <v>0</v>
      </c>
      <c r="BF579" s="879">
        <f t="shared" si="4073"/>
        <v>0</v>
      </c>
      <c r="BG579" s="879">
        <f t="shared" si="4073"/>
        <v>0.15659657864262386</v>
      </c>
      <c r="BH579" s="879">
        <f t="shared" si="4073"/>
        <v>0.15250525361479353</v>
      </c>
      <c r="BI579" s="879"/>
      <c r="BJ579" s="2095">
        <f t="shared" si="4073"/>
        <v>0.17427672473332823</v>
      </c>
      <c r="BK579" s="879">
        <f t="shared" si="4073"/>
        <v>0</v>
      </c>
      <c r="BL579" s="879">
        <f t="shared" ref="BL579:BQ579" si="4074">+BL578/BL$541</f>
        <v>0</v>
      </c>
      <c r="BM579" s="879">
        <f t="shared" si="4074"/>
        <v>0</v>
      </c>
      <c r="BN579" s="879">
        <f t="shared" si="4074"/>
        <v>0</v>
      </c>
      <c r="BO579" s="1985">
        <f t="shared" si="4074"/>
        <v>0</v>
      </c>
      <c r="BP579" s="879">
        <f t="shared" si="4074"/>
        <v>0</v>
      </c>
      <c r="BQ579" s="879">
        <f t="shared" si="4074"/>
        <v>0</v>
      </c>
      <c r="BR579" s="646">
        <f t="shared" ref="BR579" si="4075">+BR575+BR581</f>
        <v>9.025076708609886E-3</v>
      </c>
      <c r="BS579" s="646">
        <f t="shared" ref="BS579:BU579" si="4076">+BS575+BS581</f>
        <v>2.0485879800034967E-2</v>
      </c>
      <c r="BT579" s="646">
        <f t="shared" si="4076"/>
        <v>3.2286065153126042E-2</v>
      </c>
      <c r="BU579" s="646">
        <f t="shared" si="4076"/>
        <v>4.412091121333428E-2</v>
      </c>
    </row>
    <row r="580" spans="2:73" s="360" customFormat="1" ht="15" hidden="1" customHeight="1">
      <c r="B580" s="360" t="s">
        <v>108</v>
      </c>
      <c r="G580" s="411"/>
      <c r="H580" s="411"/>
      <c r="I580" s="411"/>
      <c r="J580" s="411"/>
      <c r="K580" s="649">
        <f t="shared" ref="K580:S580" si="4077">+K579-G579</f>
        <v>8.4453014949950542E-2</v>
      </c>
      <c r="L580" s="649">
        <f t="shared" si="4077"/>
        <v>9.4625521196868012E-2</v>
      </c>
      <c r="M580" s="649">
        <f t="shared" si="4077"/>
        <v>9.5918515042461322E-2</v>
      </c>
      <c r="N580" s="649">
        <f t="shared" si="4077"/>
        <v>0.27464566615483416</v>
      </c>
      <c r="O580" s="649">
        <f t="shared" si="4077"/>
        <v>4.9802000285981349E-2</v>
      </c>
      <c r="P580" s="649">
        <f t="shared" si="4077"/>
        <v>1.267048077191063E-2</v>
      </c>
      <c r="Q580" s="649">
        <f t="shared" si="4077"/>
        <v>-5.7913647058868839E-3</v>
      </c>
      <c r="R580" s="649">
        <f t="shared" si="4077"/>
        <v>-3.6034555043723021E-2</v>
      </c>
      <c r="S580" s="1918">
        <f t="shared" si="4077"/>
        <v>-4.5292924783336685E-3</v>
      </c>
      <c r="T580" s="649">
        <f>+T579-P579</f>
        <v>5.9646382000571041E-3</v>
      </c>
      <c r="U580" s="649">
        <f>+U579-Q579</f>
        <v>2.9683852025896032E-2</v>
      </c>
      <c r="V580" s="649">
        <f>+V579-R579</f>
        <v>3.6184559310801861E-2</v>
      </c>
      <c r="W580" s="1918"/>
      <c r="X580" s="649"/>
      <c r="Y580" s="649"/>
      <c r="Z580" s="649"/>
      <c r="AA580" s="649"/>
      <c r="AB580" s="649"/>
      <c r="AC580" s="649"/>
      <c r="AD580" s="649"/>
      <c r="AE580" s="649"/>
      <c r="AF580" s="649"/>
      <c r="AG580" s="649"/>
      <c r="AH580" s="649"/>
      <c r="AI580" s="649"/>
      <c r="AJ580" s="649"/>
      <c r="AK580" s="649"/>
      <c r="AL580" s="649"/>
      <c r="AM580" s="1918"/>
      <c r="AN580" s="649"/>
      <c r="AO580" s="649"/>
      <c r="AP580" s="649"/>
      <c r="AQ580" s="649"/>
      <c r="AR580" s="649"/>
      <c r="AS580" s="649"/>
      <c r="AT580" s="649"/>
      <c r="AU580" s="649"/>
      <c r="AV580" s="649"/>
      <c r="AW580" s="649"/>
      <c r="AX580" s="649"/>
      <c r="AY580" s="649"/>
      <c r="AZ580" s="649"/>
      <c r="BA580" s="72"/>
      <c r="BB580" s="649"/>
      <c r="BC580" s="2189"/>
      <c r="BD580" s="72"/>
      <c r="BE580" s="649"/>
      <c r="BF580" s="649"/>
      <c r="BG580" s="649"/>
      <c r="BH580" s="649">
        <f t="shared" ref="BH580:BQ580" si="4078">+BH579-BG579</f>
        <v>-4.0913250278303281E-3</v>
      </c>
      <c r="BI580" s="649"/>
      <c r="BJ580" s="2096">
        <f>+BJ579-BH579</f>
        <v>2.1771471118534697E-2</v>
      </c>
      <c r="BK580" s="649">
        <f>+BK579-BJ579</f>
        <v>-0.17427672473332823</v>
      </c>
      <c r="BL580" s="649">
        <f t="shared" si="4078"/>
        <v>0</v>
      </c>
      <c r="BM580" s="649">
        <f t="shared" si="4078"/>
        <v>0</v>
      </c>
      <c r="BN580" s="649">
        <f t="shared" si="4078"/>
        <v>0</v>
      </c>
      <c r="BO580" s="1918">
        <f t="shared" si="4078"/>
        <v>0</v>
      </c>
      <c r="BP580" s="649">
        <f t="shared" si="4078"/>
        <v>0</v>
      </c>
      <c r="BQ580" s="649">
        <f t="shared" si="4078"/>
        <v>0</v>
      </c>
      <c r="BR580" s="649">
        <f t="shared" ref="BR580" si="4079">+BR579-BQ579</f>
        <v>9.025076708609886E-3</v>
      </c>
      <c r="BS580" s="649">
        <f t="shared" ref="BS580" si="4080">+BS579-BR579</f>
        <v>1.1460803091425081E-2</v>
      </c>
      <c r="BT580" s="649">
        <f t="shared" ref="BT580" si="4081">+BT579-BS579</f>
        <v>1.1800185353091075E-2</v>
      </c>
      <c r="BU580" s="649">
        <f t="shared" ref="BU580" si="4082">+BU579-BT579</f>
        <v>1.1834846060208237E-2</v>
      </c>
    </row>
    <row r="581" spans="2:73" s="360" customFormat="1" ht="15" hidden="1" customHeight="1">
      <c r="B581" s="360" t="s">
        <v>335</v>
      </c>
      <c r="G581" s="411"/>
      <c r="H581" s="411"/>
      <c r="I581" s="411"/>
      <c r="J581" s="411"/>
      <c r="K581" s="649"/>
      <c r="L581" s="649"/>
      <c r="M581" s="649"/>
      <c r="N581" s="649"/>
      <c r="O581" s="649"/>
      <c r="P581" s="649"/>
      <c r="Q581" s="649"/>
      <c r="R581" s="649"/>
      <c r="S581" s="1986">
        <f>+S579-S575</f>
        <v>-9.4143810229799979E-2</v>
      </c>
      <c r="T581" s="644">
        <f>+T579-T575</f>
        <v>-8.8287020752725959E-2</v>
      </c>
      <c r="U581" s="644">
        <f>+U579-U575</f>
        <v>-0.11373607829902135</v>
      </c>
      <c r="V581" s="644">
        <f>+V579-V575</f>
        <v>-8.6149768058316811E-2</v>
      </c>
      <c r="W581" s="1919"/>
      <c r="X581" s="653"/>
      <c r="Y581" s="653"/>
      <c r="Z581" s="653"/>
      <c r="AA581" s="653"/>
      <c r="AB581" s="653"/>
      <c r="AC581" s="653"/>
      <c r="AD581" s="653"/>
      <c r="AE581" s="653"/>
      <c r="AF581" s="653"/>
      <c r="AG581" s="653"/>
      <c r="AH581" s="653"/>
      <c r="AI581" s="653"/>
      <c r="AJ581" s="653"/>
      <c r="AK581" s="653"/>
      <c r="AL581" s="653"/>
      <c r="AM581" s="1919"/>
      <c r="AN581" s="653"/>
      <c r="AO581" s="653"/>
      <c r="AP581" s="653"/>
      <c r="AQ581" s="653"/>
      <c r="AR581" s="653"/>
      <c r="AS581" s="653"/>
      <c r="AT581" s="653"/>
      <c r="AU581" s="653"/>
      <c r="AV581" s="653"/>
      <c r="AW581" s="653"/>
      <c r="AX581" s="653"/>
      <c r="AY581" s="653"/>
      <c r="AZ581" s="653"/>
      <c r="BA581" s="72"/>
      <c r="BB581" s="653"/>
      <c r="BC581" s="2189"/>
      <c r="BD581" s="72"/>
      <c r="BE581" s="644"/>
      <c r="BF581" s="644"/>
      <c r="BG581" s="644"/>
      <c r="BH581" s="644">
        <f t="shared" ref="BH581:BN581" si="4083">+BH579-BH575</f>
        <v>0</v>
      </c>
      <c r="BI581" s="644"/>
      <c r="BJ581" s="2097">
        <f t="shared" si="4083"/>
        <v>-9.4543780216407025E-2</v>
      </c>
      <c r="BK581" s="644">
        <f t="shared" si="4083"/>
        <v>-0.31117266851338882</v>
      </c>
      <c r="BL581" s="644">
        <f t="shared" si="4083"/>
        <v>-0.23956770893427171</v>
      </c>
      <c r="BM581" s="644">
        <f t="shared" si="4083"/>
        <v>-0.19744004707959403</v>
      </c>
      <c r="BN581" s="644">
        <f t="shared" si="4083"/>
        <v>-0.17811677310531235</v>
      </c>
      <c r="BO581" s="1986">
        <f t="shared" ref="BO581:BP581" si="4084">+BO579-BO575</f>
        <v>-0.14056272133944606</v>
      </c>
      <c r="BP581" s="644">
        <f t="shared" si="4084"/>
        <v>-0.14322327312895686</v>
      </c>
      <c r="BQ581" s="644">
        <f t="shared" ref="BQ581" si="4085">+BQ579-BQ575</f>
        <v>-0.13581596301001966</v>
      </c>
      <c r="BR581" s="653">
        <f t="shared" ref="BR581" si="4086">+BQ581</f>
        <v>-0.13581596301001966</v>
      </c>
      <c r="BS581" s="653">
        <f t="shared" ref="BS581" si="4087">+BR581</f>
        <v>-0.13581596301001966</v>
      </c>
      <c r="BT581" s="653">
        <f t="shared" ref="BT581" si="4088">+BS581</f>
        <v>-0.13581596301001966</v>
      </c>
      <c r="BU581" s="653">
        <f t="shared" ref="BU581" si="4089">+BT581</f>
        <v>-0.13581596301001966</v>
      </c>
    </row>
    <row r="582" spans="2:73" s="357" customFormat="1" ht="15" hidden="1" customHeight="1">
      <c r="B582" s="360"/>
      <c r="G582" s="411"/>
      <c r="H582" s="411"/>
      <c r="I582" s="411"/>
      <c r="J582" s="411"/>
      <c r="K582" s="411"/>
      <c r="L582" s="411"/>
      <c r="M582" s="411"/>
      <c r="N582" s="411"/>
      <c r="O582" s="411"/>
      <c r="P582" s="411"/>
      <c r="Q582" s="411"/>
      <c r="R582" s="411"/>
      <c r="S582" s="1983"/>
      <c r="T582" s="411"/>
      <c r="U582" s="359"/>
      <c r="W582" s="1890"/>
      <c r="AM582" s="1890"/>
      <c r="BA582" s="85"/>
      <c r="BC582" s="2197"/>
      <c r="BD582" s="85"/>
      <c r="BJ582" s="2076"/>
      <c r="BO582" s="1890"/>
    </row>
    <row r="583" spans="2:73" s="361" customFormat="1" ht="15.75" hidden="1" customHeight="1" thickBot="1">
      <c r="S583" s="1540"/>
      <c r="T583" s="362"/>
      <c r="W583" s="1540"/>
      <c r="AL583" s="1540"/>
      <c r="AM583" s="1540"/>
      <c r="AN583" s="1540"/>
      <c r="AQ583" s="1540"/>
      <c r="BA583" s="85"/>
      <c r="BC583" s="2197"/>
      <c r="BD583" s="85"/>
      <c r="BJ583" s="2098"/>
      <c r="BO583" s="1540"/>
    </row>
    <row r="584" spans="2:73" s="363" customFormat="1" ht="15.75" hidden="1" customHeight="1" thickBot="1">
      <c r="B584" s="385" t="s">
        <v>385</v>
      </c>
      <c r="S584" s="1541"/>
      <c r="W584" s="1541"/>
      <c r="AL584" s="1540" t="s">
        <v>368</v>
      </c>
      <c r="AM584" s="1540"/>
      <c r="AN584" s="1540"/>
      <c r="AQ584" s="1540"/>
      <c r="BA584" s="72"/>
      <c r="BC584" s="2189"/>
      <c r="BD584" s="72"/>
      <c r="BJ584" s="2099"/>
      <c r="BO584" s="1541"/>
    </row>
    <row r="585" spans="2:73" s="363" customFormat="1" ht="15" hidden="1" customHeight="1">
      <c r="B585" s="361"/>
      <c r="S585" s="1541"/>
      <c r="W585" s="1541"/>
      <c r="AL585" s="1541"/>
      <c r="AM585" s="1541"/>
      <c r="AN585" s="1541"/>
      <c r="AQ585" s="1541"/>
      <c r="BA585" s="72"/>
      <c r="BC585" s="2189"/>
      <c r="BD585" s="72"/>
      <c r="BJ585" s="2099"/>
      <c r="BO585" s="1541"/>
    </row>
    <row r="586" spans="2:73" s="361" customFormat="1" ht="15" hidden="1" customHeight="1">
      <c r="B586" s="361" t="s">
        <v>375</v>
      </c>
      <c r="C586" s="368"/>
      <c r="D586" s="368"/>
      <c r="E586" s="368"/>
      <c r="F586" s="368"/>
      <c r="G586" s="368"/>
      <c r="H586" s="368"/>
      <c r="I586" s="368"/>
      <c r="J586" s="368"/>
      <c r="K586" s="368"/>
      <c r="L586" s="368"/>
      <c r="M586" s="368">
        <f t="shared" ref="M586:AD586" si="4090">+M587+M588</f>
        <v>3038</v>
      </c>
      <c r="N586" s="368">
        <f t="shared" si="4090"/>
        <v>3049</v>
      </c>
      <c r="O586" s="368">
        <f t="shared" si="4090"/>
        <v>3006</v>
      </c>
      <c r="P586" s="368">
        <f t="shared" si="4090"/>
        <v>2978</v>
      </c>
      <c r="Q586" s="368">
        <f t="shared" si="4090"/>
        <v>2958</v>
      </c>
      <c r="R586" s="368">
        <f t="shared" si="4090"/>
        <v>2935</v>
      </c>
      <c r="S586" s="1542">
        <f t="shared" si="4090"/>
        <v>2738</v>
      </c>
      <c r="T586" s="368">
        <f t="shared" si="4090"/>
        <v>2868</v>
      </c>
      <c r="U586" s="368">
        <f t="shared" si="4090"/>
        <v>2863</v>
      </c>
      <c r="V586" s="368">
        <f t="shared" si="4090"/>
        <v>2724</v>
      </c>
      <c r="W586" s="1542">
        <f t="shared" si="4090"/>
        <v>2705</v>
      </c>
      <c r="X586" s="368">
        <f t="shared" si="4090"/>
        <v>2697</v>
      </c>
      <c r="Y586" s="368">
        <f t="shared" si="4090"/>
        <v>2661</v>
      </c>
      <c r="Z586" s="368">
        <f t="shared" si="4090"/>
        <v>2639</v>
      </c>
      <c r="AA586" s="368">
        <f t="shared" si="4090"/>
        <v>2576</v>
      </c>
      <c r="AB586" s="368">
        <f t="shared" si="4090"/>
        <v>2571</v>
      </c>
      <c r="AC586" s="368">
        <f t="shared" si="4090"/>
        <v>2556</v>
      </c>
      <c r="AD586" s="368">
        <f t="shared" si="4090"/>
        <v>2545</v>
      </c>
      <c r="AE586" s="368">
        <f t="shared" ref="AE586:AH586" si="4091">+AE587+AE588</f>
        <v>2497</v>
      </c>
      <c r="AF586" s="368">
        <f t="shared" si="4091"/>
        <v>2455</v>
      </c>
      <c r="AG586" s="368">
        <f t="shared" si="4091"/>
        <v>2443</v>
      </c>
      <c r="AH586" s="368">
        <f t="shared" si="4091"/>
        <v>2456</v>
      </c>
      <c r="AI586" s="368">
        <f t="shared" ref="AI586:AL586" si="4092">+AI587+AI588</f>
        <v>2390</v>
      </c>
      <c r="AJ586" s="368">
        <f t="shared" si="4092"/>
        <v>2368</v>
      </c>
      <c r="AK586" s="368">
        <f t="shared" si="4092"/>
        <v>2332</v>
      </c>
      <c r="AL586" s="1542">
        <f t="shared" si="4092"/>
        <v>2327</v>
      </c>
      <c r="AM586" s="1542">
        <f t="shared" ref="AM586:AP586" si="4093">+AM587+AM588</f>
        <v>2322</v>
      </c>
      <c r="AN586" s="1542">
        <f t="shared" si="4093"/>
        <v>2317</v>
      </c>
      <c r="AO586" s="368">
        <f t="shared" si="4093"/>
        <v>2312</v>
      </c>
      <c r="AP586" s="368">
        <f t="shared" si="4093"/>
        <v>2307</v>
      </c>
      <c r="AQ586" s="1542">
        <f t="shared" ref="AQ586:AT586" si="4094">+AQ587+AQ588</f>
        <v>2302</v>
      </c>
      <c r="AR586" s="368">
        <f t="shared" si="4094"/>
        <v>2297</v>
      </c>
      <c r="AS586" s="368">
        <f t="shared" si="4094"/>
        <v>2292</v>
      </c>
      <c r="AT586" s="368">
        <f t="shared" si="4094"/>
        <v>2287</v>
      </c>
      <c r="AU586" s="368">
        <f t="shared" ref="AU586:AX586" si="4095">+AU587+AU588</f>
        <v>2282</v>
      </c>
      <c r="AV586" s="368">
        <f t="shared" si="4095"/>
        <v>2277</v>
      </c>
      <c r="AW586" s="368">
        <f t="shared" si="4095"/>
        <v>2272</v>
      </c>
      <c r="AX586" s="368">
        <f t="shared" si="4095"/>
        <v>2267</v>
      </c>
      <c r="AY586" s="368"/>
      <c r="AZ586" s="368"/>
      <c r="BA586" s="85"/>
      <c r="BB586" s="368">
        <v>2287</v>
      </c>
      <c r="BC586" s="2197"/>
      <c r="BD586" s="85"/>
      <c r="BE586" s="368"/>
      <c r="BF586" s="368"/>
      <c r="BG586" s="368">
        <f>+N586</f>
        <v>3049</v>
      </c>
      <c r="BH586" s="368">
        <f>+R586</f>
        <v>2935</v>
      </c>
      <c r="BI586" s="368"/>
      <c r="BJ586" s="2100">
        <f>+V586</f>
        <v>2724</v>
      </c>
      <c r="BK586" s="368">
        <f>+Z586</f>
        <v>2639</v>
      </c>
      <c r="BL586" s="368">
        <f>+AD586</f>
        <v>2545</v>
      </c>
      <c r="BM586" s="368">
        <f>+AE586</f>
        <v>2497</v>
      </c>
      <c r="BN586" s="368">
        <f>+AL586</f>
        <v>2327</v>
      </c>
      <c r="BO586" s="1542">
        <f>+AP586</f>
        <v>2307</v>
      </c>
      <c r="BP586" s="368">
        <f>+AT586</f>
        <v>2287</v>
      </c>
      <c r="BQ586" s="368">
        <f>+AX586</f>
        <v>2267</v>
      </c>
      <c r="BR586" s="368">
        <f t="shared" ref="BR586" si="4096">+BR587+BR588</f>
        <v>2287</v>
      </c>
      <c r="BS586" s="368">
        <f t="shared" ref="BS586:BU586" si="4097">+BS587+BS588</f>
        <v>2307</v>
      </c>
      <c r="BT586" s="368">
        <f t="shared" si="4097"/>
        <v>2327</v>
      </c>
      <c r="BU586" s="368">
        <f t="shared" si="4097"/>
        <v>2347</v>
      </c>
    </row>
    <row r="587" spans="2:73" s="363" customFormat="1" ht="15" hidden="1" customHeight="1">
      <c r="B587" s="363" t="s">
        <v>386</v>
      </c>
      <c r="C587" s="367"/>
      <c r="D587" s="367"/>
      <c r="E587" s="367"/>
      <c r="F587" s="367"/>
      <c r="G587" s="367"/>
      <c r="H587" s="367"/>
      <c r="I587" s="367"/>
      <c r="J587" s="367"/>
      <c r="K587" s="367"/>
      <c r="L587" s="367"/>
      <c r="M587" s="804">
        <v>1099</v>
      </c>
      <c r="N587" s="804">
        <v>1099</v>
      </c>
      <c r="O587" s="804">
        <v>1068</v>
      </c>
      <c r="P587" s="804">
        <v>1050</v>
      </c>
      <c r="Q587" s="804">
        <v>1041</v>
      </c>
      <c r="R587" s="804">
        <v>1037</v>
      </c>
      <c r="S587" s="1920">
        <v>998</v>
      </c>
      <c r="T587" s="804">
        <v>1013</v>
      </c>
      <c r="U587" s="804">
        <v>1006</v>
      </c>
      <c r="V587" s="804">
        <v>984</v>
      </c>
      <c r="W587" s="1920">
        <v>977</v>
      </c>
      <c r="X587" s="804">
        <v>973</v>
      </c>
      <c r="Y587" s="804">
        <v>959</v>
      </c>
      <c r="Z587" s="804">
        <v>1049</v>
      </c>
      <c r="AA587" s="804">
        <v>1019</v>
      </c>
      <c r="AB587" s="804">
        <v>1013</v>
      </c>
      <c r="AC587" s="804">
        <v>1009</v>
      </c>
      <c r="AD587" s="804">
        <v>997</v>
      </c>
      <c r="AE587" s="804">
        <v>1001</v>
      </c>
      <c r="AF587" s="804">
        <v>989</v>
      </c>
      <c r="AG587" s="804">
        <v>977</v>
      </c>
      <c r="AH587" s="804">
        <v>979</v>
      </c>
      <c r="AI587" s="804">
        <v>945</v>
      </c>
      <c r="AJ587" s="804">
        <v>937</v>
      </c>
      <c r="AK587" s="804">
        <v>922</v>
      </c>
      <c r="AL587" s="1543">
        <f t="shared" ref="AL587:AL588" si="4098">+AK587+AL591</f>
        <v>922</v>
      </c>
      <c r="AM587" s="1543">
        <f t="shared" ref="AM587:AM588" si="4099">+AL587+AM591</f>
        <v>922</v>
      </c>
      <c r="AN587" s="1543">
        <f t="shared" ref="AN587:AN588" si="4100">+AM587+AN591</f>
        <v>922</v>
      </c>
      <c r="AO587" s="377">
        <f t="shared" ref="AO587:AO588" si="4101">+AN587+AO591</f>
        <v>922</v>
      </c>
      <c r="AP587" s="377">
        <f t="shared" ref="AP587:AP588" si="4102">+AO587+AP591</f>
        <v>922</v>
      </c>
      <c r="AQ587" s="1543">
        <f t="shared" ref="AQ587:AQ588" si="4103">+AP587+AQ591</f>
        <v>922</v>
      </c>
      <c r="AR587" s="377">
        <f t="shared" ref="AR587:AR588" si="4104">+AQ587+AR591</f>
        <v>922</v>
      </c>
      <c r="AS587" s="377">
        <f t="shared" ref="AS587:AS588" si="4105">+AR587+AS591</f>
        <v>922</v>
      </c>
      <c r="AT587" s="377">
        <f t="shared" ref="AT587:AT588" si="4106">+AS587+AT591</f>
        <v>922</v>
      </c>
      <c r="AU587" s="377">
        <f t="shared" ref="AU587:AU588" si="4107">+AT587+AU591</f>
        <v>922</v>
      </c>
      <c r="AV587" s="377">
        <f t="shared" ref="AV587:AV588" si="4108">+AU587+AV591</f>
        <v>922</v>
      </c>
      <c r="AW587" s="377">
        <f t="shared" ref="AW587:AW588" si="4109">+AV587+AW591</f>
        <v>922</v>
      </c>
      <c r="AX587" s="377">
        <f t="shared" ref="AX587:AX588" si="4110">+AW587+AX591</f>
        <v>922</v>
      </c>
      <c r="AY587" s="377"/>
      <c r="AZ587" s="377"/>
      <c r="BA587" s="72"/>
      <c r="BB587" s="377">
        <v>922</v>
      </c>
      <c r="BC587" s="2189"/>
      <c r="BD587" s="72"/>
      <c r="BE587" s="367"/>
      <c r="BF587" s="367"/>
      <c r="BG587" s="367">
        <f>+N587</f>
        <v>1099</v>
      </c>
      <c r="BH587" s="367">
        <f>+R587</f>
        <v>1037</v>
      </c>
      <c r="BI587" s="367"/>
      <c r="BJ587" s="2101">
        <f>+V587</f>
        <v>984</v>
      </c>
      <c r="BK587" s="367">
        <f>+Z587</f>
        <v>1049</v>
      </c>
      <c r="BL587" s="367">
        <f>+AD587</f>
        <v>997</v>
      </c>
      <c r="BM587" s="367">
        <f>+AH587</f>
        <v>979</v>
      </c>
      <c r="BN587" s="367">
        <f>+AL587</f>
        <v>922</v>
      </c>
      <c r="BO587" s="1544">
        <f>+AP587</f>
        <v>922</v>
      </c>
      <c r="BP587" s="367">
        <f>+AT587</f>
        <v>922</v>
      </c>
      <c r="BQ587" s="367">
        <f>+AX587</f>
        <v>922</v>
      </c>
      <c r="BR587" s="377">
        <f t="shared" ref="BR587" si="4111">+BQ587+BR591</f>
        <v>922</v>
      </c>
      <c r="BS587" s="377">
        <f t="shared" ref="BS587:BS588" si="4112">+BR587+BS591</f>
        <v>922</v>
      </c>
      <c r="BT587" s="377">
        <f t="shared" ref="BT587:BT588" si="4113">+BS587+BT591</f>
        <v>922</v>
      </c>
      <c r="BU587" s="377">
        <f t="shared" ref="BU587:BU588" si="4114">+BT587+BU591</f>
        <v>922</v>
      </c>
    </row>
    <row r="588" spans="2:73" s="363" customFormat="1" ht="15" hidden="1" customHeight="1">
      <c r="B588" s="363" t="s">
        <v>387</v>
      </c>
      <c r="C588" s="367"/>
      <c r="D588" s="367"/>
      <c r="E588" s="367"/>
      <c r="F588" s="367"/>
      <c r="G588" s="367"/>
      <c r="H588" s="367"/>
      <c r="I588" s="367"/>
      <c r="J588" s="367"/>
      <c r="K588" s="367"/>
      <c r="L588" s="367"/>
      <c r="M588" s="804">
        <v>1939</v>
      </c>
      <c r="N588" s="804">
        <v>1950</v>
      </c>
      <c r="O588" s="804">
        <v>1938</v>
      </c>
      <c r="P588" s="804">
        <v>1928</v>
      </c>
      <c r="Q588" s="804">
        <v>1917</v>
      </c>
      <c r="R588" s="804">
        <v>1898</v>
      </c>
      <c r="S588" s="1920">
        <v>1740</v>
      </c>
      <c r="T588" s="804">
        <v>1855</v>
      </c>
      <c r="U588" s="804">
        <v>1857</v>
      </c>
      <c r="V588" s="804">
        <v>1740</v>
      </c>
      <c r="W588" s="1920">
        <v>1728</v>
      </c>
      <c r="X588" s="804">
        <v>1724</v>
      </c>
      <c r="Y588" s="804">
        <v>1702</v>
      </c>
      <c r="Z588" s="804">
        <v>1590</v>
      </c>
      <c r="AA588" s="804">
        <v>1557</v>
      </c>
      <c r="AB588" s="804">
        <v>1558</v>
      </c>
      <c r="AC588" s="804">
        <v>1547</v>
      </c>
      <c r="AD588" s="804">
        <v>1548</v>
      </c>
      <c r="AE588" s="804">
        <v>1496</v>
      </c>
      <c r="AF588" s="804">
        <v>1466</v>
      </c>
      <c r="AG588" s="804">
        <v>1466</v>
      </c>
      <c r="AH588" s="804">
        <v>1477</v>
      </c>
      <c r="AI588" s="804">
        <v>1445</v>
      </c>
      <c r="AJ588" s="804">
        <v>1431</v>
      </c>
      <c r="AK588" s="804">
        <v>1410</v>
      </c>
      <c r="AL588" s="1543">
        <f t="shared" si="4098"/>
        <v>1405</v>
      </c>
      <c r="AM588" s="1543">
        <f t="shared" si="4099"/>
        <v>1400</v>
      </c>
      <c r="AN588" s="1543">
        <f t="shared" si="4100"/>
        <v>1395</v>
      </c>
      <c r="AO588" s="377">
        <f t="shared" si="4101"/>
        <v>1390</v>
      </c>
      <c r="AP588" s="377">
        <f t="shared" si="4102"/>
        <v>1385</v>
      </c>
      <c r="AQ588" s="1543">
        <f t="shared" si="4103"/>
        <v>1380</v>
      </c>
      <c r="AR588" s="377">
        <f t="shared" si="4104"/>
        <v>1375</v>
      </c>
      <c r="AS588" s="377">
        <f t="shared" si="4105"/>
        <v>1370</v>
      </c>
      <c r="AT588" s="377">
        <f t="shared" si="4106"/>
        <v>1365</v>
      </c>
      <c r="AU588" s="377">
        <f t="shared" si="4107"/>
        <v>1360</v>
      </c>
      <c r="AV588" s="377">
        <f t="shared" si="4108"/>
        <v>1355</v>
      </c>
      <c r="AW588" s="377">
        <f t="shared" si="4109"/>
        <v>1350</v>
      </c>
      <c r="AX588" s="377">
        <f t="shared" si="4110"/>
        <v>1345</v>
      </c>
      <c r="AY588" s="377"/>
      <c r="AZ588" s="377"/>
      <c r="BA588" s="72"/>
      <c r="BB588" s="377">
        <v>1365</v>
      </c>
      <c r="BC588" s="2189"/>
      <c r="BD588" s="72"/>
      <c r="BE588" s="367"/>
      <c r="BF588" s="367"/>
      <c r="BG588" s="367">
        <f>+N588</f>
        <v>1950</v>
      </c>
      <c r="BH588" s="367">
        <f>+R588</f>
        <v>1898</v>
      </c>
      <c r="BI588" s="367"/>
      <c r="BJ588" s="2101">
        <f>+V588</f>
        <v>1740</v>
      </c>
      <c r="BK588" s="367">
        <f>+Z588</f>
        <v>1590</v>
      </c>
      <c r="BL588" s="367">
        <f>+AD588</f>
        <v>1548</v>
      </c>
      <c r="BM588" s="367">
        <f>+AH588</f>
        <v>1477</v>
      </c>
      <c r="BN588" s="367">
        <f>+AL588</f>
        <v>1405</v>
      </c>
      <c r="BO588" s="1544">
        <f>+AP588</f>
        <v>1385</v>
      </c>
      <c r="BP588" s="367">
        <f>+AT588</f>
        <v>1365</v>
      </c>
      <c r="BQ588" s="367">
        <f>+AX588</f>
        <v>1345</v>
      </c>
      <c r="BR588" s="377">
        <f t="shared" ref="BR588" si="4115">+BQ588+BR592</f>
        <v>1365</v>
      </c>
      <c r="BS588" s="377">
        <f t="shared" si="4112"/>
        <v>1385</v>
      </c>
      <c r="BT588" s="377">
        <f t="shared" si="4113"/>
        <v>1405</v>
      </c>
      <c r="BU588" s="377">
        <f t="shared" si="4114"/>
        <v>1425</v>
      </c>
    </row>
    <row r="589" spans="2:73" s="363" customFormat="1" ht="15" hidden="1" customHeight="1">
      <c r="C589" s="367"/>
      <c r="D589" s="367"/>
      <c r="E589" s="367"/>
      <c r="F589" s="367"/>
      <c r="G589" s="367"/>
      <c r="H589" s="367"/>
      <c r="I589" s="367"/>
      <c r="J589" s="367"/>
      <c r="K589" s="367"/>
      <c r="L589" s="367"/>
      <c r="M589" s="367"/>
      <c r="N589" s="367"/>
      <c r="O589" s="367"/>
      <c r="P589" s="367"/>
      <c r="Q589" s="367"/>
      <c r="R589" s="367"/>
      <c r="S589" s="1544"/>
      <c r="T589" s="367"/>
      <c r="U589" s="367"/>
      <c r="V589" s="367"/>
      <c r="W589" s="1544"/>
      <c r="X589" s="367"/>
      <c r="Y589" s="367"/>
      <c r="Z589" s="367"/>
      <c r="AA589" s="367"/>
      <c r="AB589" s="367"/>
      <c r="AC589" s="367"/>
      <c r="AD589" s="367"/>
      <c r="AE589" s="367"/>
      <c r="AF589" s="367"/>
      <c r="AG589" s="367"/>
      <c r="AH589" s="367"/>
      <c r="AI589" s="367"/>
      <c r="AJ589" s="367"/>
      <c r="AK589" s="367"/>
      <c r="AL589" s="1544"/>
      <c r="AM589" s="1544"/>
      <c r="AN589" s="1544"/>
      <c r="AO589" s="367"/>
      <c r="AP589" s="367"/>
      <c r="AQ589" s="1544"/>
      <c r="AR589" s="367"/>
      <c r="AS589" s="367"/>
      <c r="AT589" s="367"/>
      <c r="AU589" s="367"/>
      <c r="AV589" s="367"/>
      <c r="AW589" s="367"/>
      <c r="AX589" s="367"/>
      <c r="AY589" s="367"/>
      <c r="AZ589" s="367"/>
      <c r="BA589" s="72"/>
      <c r="BB589" s="367"/>
      <c r="BC589" s="2189"/>
      <c r="BD589" s="72"/>
      <c r="BE589" s="367"/>
      <c r="BF589" s="367"/>
      <c r="BG589" s="367"/>
      <c r="BH589" s="367"/>
      <c r="BI589" s="367"/>
      <c r="BJ589" s="2101"/>
      <c r="BK589" s="367"/>
      <c r="BL589" s="367"/>
      <c r="BM589" s="367"/>
      <c r="BN589" s="367"/>
      <c r="BO589" s="1544"/>
      <c r="BP589" s="367"/>
      <c r="BQ589" s="367"/>
      <c r="BR589" s="367"/>
      <c r="BS589" s="367"/>
      <c r="BT589" s="367"/>
      <c r="BU589" s="367"/>
    </row>
    <row r="590" spans="2:73" s="363" customFormat="1" ht="15" hidden="1" customHeight="1">
      <c r="B590" s="363" t="s">
        <v>378</v>
      </c>
      <c r="C590" s="884"/>
      <c r="D590" s="884"/>
      <c r="E590" s="884"/>
      <c r="F590" s="884"/>
      <c r="G590" s="884"/>
      <c r="H590" s="884"/>
      <c r="I590" s="884"/>
      <c r="J590" s="884"/>
      <c r="K590" s="884"/>
      <c r="L590" s="884"/>
      <c r="M590" s="884"/>
      <c r="N590" s="884">
        <f t="shared" ref="N590:U590" si="4116">+N591+N592</f>
        <v>11</v>
      </c>
      <c r="O590" s="884">
        <f t="shared" si="4116"/>
        <v>-43</v>
      </c>
      <c r="P590" s="884">
        <f t="shared" si="4116"/>
        <v>-28</v>
      </c>
      <c r="Q590" s="884">
        <f t="shared" si="4116"/>
        <v>-20</v>
      </c>
      <c r="R590" s="884">
        <f t="shared" si="4116"/>
        <v>-23</v>
      </c>
      <c r="S590" s="1921">
        <f t="shared" si="4116"/>
        <v>-197</v>
      </c>
      <c r="T590" s="884">
        <f t="shared" si="4116"/>
        <v>130</v>
      </c>
      <c r="U590" s="884">
        <f t="shared" si="4116"/>
        <v>-5</v>
      </c>
      <c r="V590" s="884">
        <f>+V591+V592</f>
        <v>-139</v>
      </c>
      <c r="W590" s="1921">
        <f t="shared" ref="W590:AK592" si="4117">+W586-V586</f>
        <v>-19</v>
      </c>
      <c r="X590" s="884">
        <f t="shared" si="4117"/>
        <v>-8</v>
      </c>
      <c r="Y590" s="884">
        <f t="shared" si="4117"/>
        <v>-36</v>
      </c>
      <c r="Z590" s="884">
        <f t="shared" si="4117"/>
        <v>-22</v>
      </c>
      <c r="AA590" s="884">
        <f t="shared" si="4117"/>
        <v>-63</v>
      </c>
      <c r="AB590" s="884">
        <f t="shared" si="4117"/>
        <v>-5</v>
      </c>
      <c r="AC590" s="884">
        <f t="shared" si="4117"/>
        <v>-15</v>
      </c>
      <c r="AD590" s="884">
        <f t="shared" si="4117"/>
        <v>-11</v>
      </c>
      <c r="AE590" s="884">
        <f t="shared" si="4117"/>
        <v>-48</v>
      </c>
      <c r="AF590" s="884">
        <f t="shared" si="4117"/>
        <v>-42</v>
      </c>
      <c r="AG590" s="884">
        <f t="shared" si="4117"/>
        <v>-12</v>
      </c>
      <c r="AH590" s="884">
        <f t="shared" si="4117"/>
        <v>13</v>
      </c>
      <c r="AI590" s="884">
        <f t="shared" si="4117"/>
        <v>-66</v>
      </c>
      <c r="AJ590" s="884">
        <f t="shared" si="4117"/>
        <v>-22</v>
      </c>
      <c r="AK590" s="884">
        <f t="shared" si="4117"/>
        <v>-36</v>
      </c>
      <c r="AL590" s="1545">
        <f t="shared" ref="AL590" si="4118">+AL591+AL592</f>
        <v>-5</v>
      </c>
      <c r="AM590" s="1545">
        <f t="shared" ref="AM590:AP590" si="4119">+AM591+AM592</f>
        <v>-5</v>
      </c>
      <c r="AN590" s="1545">
        <f t="shared" si="4119"/>
        <v>-5</v>
      </c>
      <c r="AO590" s="917">
        <f t="shared" si="4119"/>
        <v>-5</v>
      </c>
      <c r="AP590" s="917">
        <f t="shared" si="4119"/>
        <v>-5</v>
      </c>
      <c r="AQ590" s="1545">
        <f t="shared" ref="AQ590:AT590" si="4120">+AQ591+AQ592</f>
        <v>-5</v>
      </c>
      <c r="AR590" s="917">
        <f t="shared" si="4120"/>
        <v>-5</v>
      </c>
      <c r="AS590" s="917">
        <f t="shared" si="4120"/>
        <v>-5</v>
      </c>
      <c r="AT590" s="917">
        <f t="shared" si="4120"/>
        <v>-5</v>
      </c>
      <c r="AU590" s="917">
        <f t="shared" ref="AU590:AX590" si="4121">+AU591+AU592</f>
        <v>-5</v>
      </c>
      <c r="AV590" s="917">
        <f t="shared" si="4121"/>
        <v>-5</v>
      </c>
      <c r="AW590" s="917">
        <f t="shared" si="4121"/>
        <v>-5</v>
      </c>
      <c r="AX590" s="917">
        <f t="shared" si="4121"/>
        <v>-5</v>
      </c>
      <c r="AY590" s="917"/>
      <c r="AZ590" s="917"/>
      <c r="BA590" s="72"/>
      <c r="BB590" s="917">
        <v>-5</v>
      </c>
      <c r="BC590" s="2189"/>
      <c r="BD590" s="72"/>
      <c r="BE590" s="367"/>
      <c r="BF590" s="367"/>
      <c r="BG590" s="884">
        <f t="shared" ref="BG590:BR590" si="4122">+BG591+BG592</f>
        <v>3049</v>
      </c>
      <c r="BH590" s="884">
        <f t="shared" si="4122"/>
        <v>-114</v>
      </c>
      <c r="BI590" s="884"/>
      <c r="BJ590" s="2102">
        <f t="shared" si="4122"/>
        <v>-211</v>
      </c>
      <c r="BK590" s="884">
        <f t="shared" si="4122"/>
        <v>-85</v>
      </c>
      <c r="BL590" s="884">
        <f t="shared" si="4122"/>
        <v>-94</v>
      </c>
      <c r="BM590" s="884">
        <f t="shared" ref="BM590:BN590" si="4123">+BM591+BM592</f>
        <v>-89</v>
      </c>
      <c r="BN590" s="884">
        <f t="shared" si="4123"/>
        <v>-129</v>
      </c>
      <c r="BO590" s="1921">
        <f t="shared" ref="BO590:BP590" si="4124">+BO591+BO592</f>
        <v>-20</v>
      </c>
      <c r="BP590" s="884">
        <f t="shared" si="4124"/>
        <v>-20</v>
      </c>
      <c r="BQ590" s="884">
        <f t="shared" ref="BQ590" si="4125">+BQ591+BQ592</f>
        <v>-20</v>
      </c>
      <c r="BR590" s="884">
        <f t="shared" si="4122"/>
        <v>20</v>
      </c>
      <c r="BS590" s="884">
        <f t="shared" ref="BS590:BU590" si="4126">+BS591+BS592</f>
        <v>20</v>
      </c>
      <c r="BT590" s="884">
        <f t="shared" si="4126"/>
        <v>20</v>
      </c>
      <c r="BU590" s="884">
        <f t="shared" si="4126"/>
        <v>20</v>
      </c>
    </row>
    <row r="591" spans="2:73" s="363" customFormat="1" ht="15" hidden="1" customHeight="1">
      <c r="B591" s="363" t="s">
        <v>386</v>
      </c>
      <c r="N591" s="412">
        <f t="shared" ref="N591:S591" si="4127">+N587-M587</f>
        <v>0</v>
      </c>
      <c r="O591" s="412">
        <f t="shared" si="4127"/>
        <v>-31</v>
      </c>
      <c r="P591" s="412">
        <f t="shared" si="4127"/>
        <v>-18</v>
      </c>
      <c r="Q591" s="412">
        <f t="shared" si="4127"/>
        <v>-9</v>
      </c>
      <c r="R591" s="412">
        <f t="shared" si="4127"/>
        <v>-4</v>
      </c>
      <c r="S591" s="1922">
        <f t="shared" si="4127"/>
        <v>-39</v>
      </c>
      <c r="T591" s="412">
        <f t="shared" ref="T591:V592" si="4128">+T587-S587</f>
        <v>15</v>
      </c>
      <c r="U591" s="412">
        <f t="shared" si="4128"/>
        <v>-7</v>
      </c>
      <c r="V591" s="412">
        <f t="shared" si="4128"/>
        <v>-22</v>
      </c>
      <c r="W591" s="1922">
        <f t="shared" si="4117"/>
        <v>-7</v>
      </c>
      <c r="X591" s="412">
        <f t="shared" si="4117"/>
        <v>-4</v>
      </c>
      <c r="Y591" s="412">
        <f t="shared" si="4117"/>
        <v>-14</v>
      </c>
      <c r="Z591" s="412">
        <f t="shared" si="4117"/>
        <v>90</v>
      </c>
      <c r="AA591" s="412">
        <f t="shared" si="4117"/>
        <v>-30</v>
      </c>
      <c r="AB591" s="412">
        <f t="shared" si="4117"/>
        <v>-6</v>
      </c>
      <c r="AC591" s="412">
        <f t="shared" si="4117"/>
        <v>-4</v>
      </c>
      <c r="AD591" s="412">
        <f t="shared" si="4117"/>
        <v>-12</v>
      </c>
      <c r="AE591" s="412">
        <f t="shared" si="4117"/>
        <v>4</v>
      </c>
      <c r="AF591" s="412">
        <f t="shared" si="4117"/>
        <v>-12</v>
      </c>
      <c r="AG591" s="412">
        <f t="shared" si="4117"/>
        <v>-12</v>
      </c>
      <c r="AH591" s="412">
        <f t="shared" si="4117"/>
        <v>2</v>
      </c>
      <c r="AI591" s="412">
        <f t="shared" si="4117"/>
        <v>-34</v>
      </c>
      <c r="AJ591" s="412">
        <f t="shared" si="4117"/>
        <v>-8</v>
      </c>
      <c r="AK591" s="412">
        <f t="shared" si="4117"/>
        <v>-15</v>
      </c>
      <c r="AL591" s="1546">
        <v>0</v>
      </c>
      <c r="AM591" s="1546">
        <v>0</v>
      </c>
      <c r="AN591" s="1546">
        <v>0</v>
      </c>
      <c r="AO591" s="413">
        <v>0</v>
      </c>
      <c r="AP591" s="413">
        <v>0</v>
      </c>
      <c r="AQ591" s="1546">
        <v>0</v>
      </c>
      <c r="AR591" s="413">
        <v>0</v>
      </c>
      <c r="AS591" s="413">
        <v>0</v>
      </c>
      <c r="AT591" s="413">
        <v>0</v>
      </c>
      <c r="AU591" s="413">
        <v>0</v>
      </c>
      <c r="AV591" s="413">
        <v>0</v>
      </c>
      <c r="AW591" s="413">
        <v>0</v>
      </c>
      <c r="AX591" s="413">
        <v>0</v>
      </c>
      <c r="AY591" s="413"/>
      <c r="AZ591" s="413"/>
      <c r="BA591" s="72"/>
      <c r="BB591" s="413">
        <v>0</v>
      </c>
      <c r="BC591" s="2189"/>
      <c r="BD591" s="72"/>
      <c r="BE591" s="659"/>
      <c r="BF591" s="659"/>
      <c r="BG591" s="659">
        <f t="shared" ref="BG591:BQ592" si="4129">+BG587-BF587</f>
        <v>1099</v>
      </c>
      <c r="BH591" s="659">
        <f t="shared" si="4129"/>
        <v>-62</v>
      </c>
      <c r="BI591" s="659"/>
      <c r="BJ591" s="2103">
        <f>+BJ587-BH587</f>
        <v>-53</v>
      </c>
      <c r="BK591" s="659">
        <f>+BK587-BJ587</f>
        <v>65</v>
      </c>
      <c r="BL591" s="659">
        <f t="shared" si="4129"/>
        <v>-52</v>
      </c>
      <c r="BM591" s="659">
        <f t="shared" si="4129"/>
        <v>-18</v>
      </c>
      <c r="BN591" s="659">
        <f t="shared" si="4129"/>
        <v>-57</v>
      </c>
      <c r="BO591" s="2494">
        <f t="shared" si="4129"/>
        <v>0</v>
      </c>
      <c r="BP591" s="659">
        <f t="shared" si="4129"/>
        <v>0</v>
      </c>
      <c r="BQ591" s="659">
        <f t="shared" si="4129"/>
        <v>0</v>
      </c>
      <c r="BR591" s="660">
        <v>0</v>
      </c>
      <c r="BS591" s="660">
        <v>0</v>
      </c>
      <c r="BT591" s="660">
        <v>0</v>
      </c>
      <c r="BU591" s="660">
        <v>0</v>
      </c>
    </row>
    <row r="592" spans="2:73" s="363" customFormat="1" ht="15" hidden="1" customHeight="1">
      <c r="B592" s="363" t="s">
        <v>387</v>
      </c>
      <c r="N592" s="412">
        <f t="shared" ref="N592:S592" si="4130">+N588-M588</f>
        <v>11</v>
      </c>
      <c r="O592" s="412">
        <f t="shared" si="4130"/>
        <v>-12</v>
      </c>
      <c r="P592" s="412">
        <f t="shared" si="4130"/>
        <v>-10</v>
      </c>
      <c r="Q592" s="412">
        <f t="shared" si="4130"/>
        <v>-11</v>
      </c>
      <c r="R592" s="412">
        <f t="shared" si="4130"/>
        <v>-19</v>
      </c>
      <c r="S592" s="1922">
        <f t="shared" si="4130"/>
        <v>-158</v>
      </c>
      <c r="T592" s="412">
        <f t="shared" si="4128"/>
        <v>115</v>
      </c>
      <c r="U592" s="412">
        <f t="shared" si="4128"/>
        <v>2</v>
      </c>
      <c r="V592" s="412">
        <f t="shared" si="4128"/>
        <v>-117</v>
      </c>
      <c r="W592" s="1922">
        <f t="shared" si="4117"/>
        <v>-12</v>
      </c>
      <c r="X592" s="412">
        <f t="shared" si="4117"/>
        <v>-4</v>
      </c>
      <c r="Y592" s="412">
        <f t="shared" si="4117"/>
        <v>-22</v>
      </c>
      <c r="Z592" s="412">
        <f t="shared" si="4117"/>
        <v>-112</v>
      </c>
      <c r="AA592" s="412">
        <f t="shared" si="4117"/>
        <v>-33</v>
      </c>
      <c r="AB592" s="412">
        <f t="shared" si="4117"/>
        <v>1</v>
      </c>
      <c r="AC592" s="412">
        <f t="shared" si="4117"/>
        <v>-11</v>
      </c>
      <c r="AD592" s="412">
        <f t="shared" si="4117"/>
        <v>1</v>
      </c>
      <c r="AE592" s="412">
        <f t="shared" si="4117"/>
        <v>-52</v>
      </c>
      <c r="AF592" s="412">
        <f t="shared" si="4117"/>
        <v>-30</v>
      </c>
      <c r="AG592" s="412">
        <f t="shared" si="4117"/>
        <v>0</v>
      </c>
      <c r="AH592" s="412">
        <f t="shared" si="4117"/>
        <v>11</v>
      </c>
      <c r="AI592" s="412">
        <f t="shared" si="4117"/>
        <v>-32</v>
      </c>
      <c r="AJ592" s="412">
        <f t="shared" si="4117"/>
        <v>-14</v>
      </c>
      <c r="AK592" s="412">
        <f t="shared" si="4117"/>
        <v>-21</v>
      </c>
      <c r="AL592" s="1546">
        <v>-5</v>
      </c>
      <c r="AM592" s="1546">
        <v>-5</v>
      </c>
      <c r="AN592" s="1546">
        <v>-5</v>
      </c>
      <c r="AO592" s="413">
        <v>-5</v>
      </c>
      <c r="AP592" s="413">
        <v>-5</v>
      </c>
      <c r="AQ592" s="1546">
        <v>-5</v>
      </c>
      <c r="AR592" s="413">
        <v>-5</v>
      </c>
      <c r="AS592" s="413">
        <v>-5</v>
      </c>
      <c r="AT592" s="413">
        <v>-5</v>
      </c>
      <c r="AU592" s="413">
        <v>-5</v>
      </c>
      <c r="AV592" s="413">
        <v>-5</v>
      </c>
      <c r="AW592" s="413">
        <v>-5</v>
      </c>
      <c r="AX592" s="413">
        <v>-5</v>
      </c>
      <c r="AY592" s="413"/>
      <c r="AZ592" s="413"/>
      <c r="BA592" s="72"/>
      <c r="BB592" s="413">
        <v>-5</v>
      </c>
      <c r="BC592" s="2189"/>
      <c r="BD592" s="72"/>
      <c r="BE592" s="659"/>
      <c r="BF592" s="659"/>
      <c r="BG592" s="659">
        <f t="shared" si="4129"/>
        <v>1950</v>
      </c>
      <c r="BH592" s="659">
        <f t="shared" si="4129"/>
        <v>-52</v>
      </c>
      <c r="BI592" s="659"/>
      <c r="BJ592" s="2103">
        <f>+BJ588-BH588</f>
        <v>-158</v>
      </c>
      <c r="BK592" s="659">
        <f>+BK588-BJ588</f>
        <v>-150</v>
      </c>
      <c r="BL592" s="659">
        <f t="shared" si="4129"/>
        <v>-42</v>
      </c>
      <c r="BM592" s="659">
        <f t="shared" si="4129"/>
        <v>-71</v>
      </c>
      <c r="BN592" s="659">
        <f t="shared" si="4129"/>
        <v>-72</v>
      </c>
      <c r="BO592" s="2494">
        <f t="shared" si="4129"/>
        <v>-20</v>
      </c>
      <c r="BP592" s="659">
        <f t="shared" si="4129"/>
        <v>-20</v>
      </c>
      <c r="BQ592" s="659">
        <f t="shared" si="4129"/>
        <v>-20</v>
      </c>
      <c r="BR592" s="660">
        <v>20</v>
      </c>
      <c r="BS592" s="660">
        <v>20</v>
      </c>
      <c r="BT592" s="660">
        <v>20</v>
      </c>
      <c r="BU592" s="660">
        <v>20</v>
      </c>
    </row>
    <row r="593" spans="2:73" s="363" customFormat="1" ht="15" hidden="1" customHeight="1">
      <c r="P593" s="369"/>
      <c r="Q593" s="369"/>
      <c r="R593" s="369"/>
      <c r="S593" s="1987"/>
      <c r="T593" s="369"/>
      <c r="U593" s="369"/>
      <c r="W593" s="1541"/>
      <c r="AL593" s="1541"/>
      <c r="AM593" s="1541"/>
      <c r="AN593" s="1541"/>
      <c r="AQ593" s="1541"/>
      <c r="BA593" s="72"/>
      <c r="BC593" s="2189"/>
      <c r="BD593" s="72"/>
      <c r="BJ593" s="2099"/>
      <c r="BO593" s="1541"/>
    </row>
    <row r="594" spans="2:73" s="363" customFormat="1" ht="15" hidden="1" customHeight="1">
      <c r="B594" s="363" t="s">
        <v>379</v>
      </c>
      <c r="M594" s="372">
        <f t="shared" ref="M594:T594" si="4131">+M603/M586*1000</f>
        <v>116.81126426819316</v>
      </c>
      <c r="N594" s="372">
        <f t="shared" si="4131"/>
        <v>623.1755010196606</v>
      </c>
      <c r="O594" s="372">
        <f t="shared" si="4131"/>
        <v>385.52004068999514</v>
      </c>
      <c r="P594" s="372">
        <f t="shared" si="4131"/>
        <v>399.82552194723615</v>
      </c>
      <c r="Q594" s="372">
        <f t="shared" si="4131"/>
        <v>442.09983316305812</v>
      </c>
      <c r="R594" s="372">
        <f t="shared" si="4131"/>
        <v>709.69555643200499</v>
      </c>
      <c r="S594" s="1923">
        <f t="shared" si="4131"/>
        <v>449.86028178361784</v>
      </c>
      <c r="T594" s="372">
        <f t="shared" si="4131"/>
        <v>421.29987568977015</v>
      </c>
      <c r="U594" s="372">
        <f t="shared" ref="U594:Z594" si="4132">+U603/U586*1000</f>
        <v>450.08732099196641</v>
      </c>
      <c r="V594" s="372">
        <f t="shared" si="4132"/>
        <v>787.59177679882532</v>
      </c>
      <c r="W594" s="1923">
        <f t="shared" si="4132"/>
        <v>448.57670979667284</v>
      </c>
      <c r="X594" s="372">
        <f t="shared" si="4132"/>
        <v>471.8205413422321</v>
      </c>
      <c r="Y594" s="372">
        <f t="shared" si="4132"/>
        <v>682.07440811724916</v>
      </c>
      <c r="Z594" s="372">
        <f t="shared" si="4132"/>
        <v>1038.9162561576354</v>
      </c>
      <c r="AA594" s="372">
        <f t="shared" ref="AA594:AB594" si="4133">+AA603/AA586*1000</f>
        <v>664.24689440993791</v>
      </c>
      <c r="AB594" s="372">
        <f t="shared" si="4133"/>
        <v>627.14896927265659</v>
      </c>
      <c r="AC594" s="372">
        <f t="shared" ref="AC594:AD594" si="4134">+AC603/AC586*1000</f>
        <v>720.46165884194056</v>
      </c>
      <c r="AD594" s="372">
        <f t="shared" si="4134"/>
        <v>1052.1807465618863</v>
      </c>
      <c r="AE594" s="372">
        <f t="shared" ref="AE594:AF594" si="4135">+AE603/AE586*1000</f>
        <v>571.36563876651985</v>
      </c>
      <c r="AF594" s="372">
        <f t="shared" si="4135"/>
        <v>497.23014256619149</v>
      </c>
      <c r="AG594" s="372">
        <f t="shared" ref="AG594:AH594" si="4136">+AG603/AG586*1000</f>
        <v>553.33606221858372</v>
      </c>
      <c r="AH594" s="372">
        <f t="shared" si="4136"/>
        <v>888.31433224755699</v>
      </c>
      <c r="AI594" s="372">
        <f t="shared" ref="AI594:AJ594" si="4137">+AI603/AI586*1000</f>
        <v>498.36820083682005</v>
      </c>
      <c r="AJ594" s="372">
        <f t="shared" si="4137"/>
        <v>471.53716216216213</v>
      </c>
      <c r="AK594" s="372">
        <f t="shared" ref="AK594" si="4138">+AK603/AK586*1000</f>
        <v>496.96140651801028</v>
      </c>
      <c r="AL594" s="1547">
        <f>+AL597*MACRO!AL$3/MACRO!AL$50</f>
        <v>843.98430622901878</v>
      </c>
      <c r="AM594" s="1547">
        <f>+AM597*MACRO!AM$3/MACRO!AM$50</f>
        <v>479.78720017904942</v>
      </c>
      <c r="AN594" s="1547">
        <f>+AN597*MACRO!AN$3/MACRO!AN$50</f>
        <v>496.1249928013782</v>
      </c>
      <c r="AO594" s="1022">
        <f>+AO597*MACRO!AO$3/MACRO!AO$50</f>
        <v>569.33155619197896</v>
      </c>
      <c r="AP594" s="1022">
        <f>+AP597*MACRO!AP$3/MACRO!AP$50</f>
        <v>1002.6695383746999</v>
      </c>
      <c r="AQ594" s="1547">
        <f>+AQ597*MACRO!AQ$3/MACRO!AQ$50</f>
        <v>571.96775285433307</v>
      </c>
      <c r="AR594" s="1022">
        <f>+AR597*MACRO!AR$3/MACRO!AR$50</f>
        <v>548.78084384843316</v>
      </c>
      <c r="AS594" s="1022">
        <f>+AS597*MACRO!AS$3/MACRO!AS$50</f>
        <v>564.4252327993787</v>
      </c>
      <c r="AT594" s="1022">
        <f>+AT597*MACRO!AT$3/MACRO!AT$50</f>
        <v>935.82947417398589</v>
      </c>
      <c r="AU594" s="1022">
        <f>+AU597*MACRO!AU$3/MACRO!AU$50</f>
        <v>522.87195895243133</v>
      </c>
      <c r="AV594" s="1022">
        <f>+AV597*MACRO!AV$3/MACRO!AV$50</f>
        <v>520.09267494216601</v>
      </c>
      <c r="AW594" s="1022">
        <f>+AW597*MACRO!AW$3/MACRO!AW$50</f>
        <v>555.61115210203855</v>
      </c>
      <c r="AX594" s="1022">
        <f>+AX597*MACRO!AX$3/MACRO!AX$50</f>
        <v>933.63187798708043</v>
      </c>
      <c r="AY594" s="1022"/>
      <c r="AZ594" s="1022"/>
      <c r="BA594" s="72"/>
      <c r="BB594" s="1022">
        <v>935.82947417398589</v>
      </c>
      <c r="BC594" s="2189"/>
      <c r="BD594" s="72"/>
      <c r="BE594" s="365"/>
      <c r="BF594" s="365"/>
      <c r="BG594" s="365"/>
      <c r="BH594" s="365">
        <f>+SUM(O594:R594)</f>
        <v>1937.1409522322942</v>
      </c>
      <c r="BI594" s="365"/>
      <c r="BJ594" s="2104">
        <f>+SUM(S594:V594)</f>
        <v>2108.8392552641799</v>
      </c>
      <c r="BK594" s="365">
        <f>+SUM(W594:Z594)</f>
        <v>2641.3879154137894</v>
      </c>
      <c r="BL594" s="365">
        <f>+SUM(AA594:AD594)</f>
        <v>3064.0382690864217</v>
      </c>
      <c r="BM594" s="365">
        <f>+SUM(AB594:AE594)</f>
        <v>2971.1570134430031</v>
      </c>
      <c r="BN594" s="365">
        <f>+SUM(AC594:AL594)</f>
        <v>6593.7396569486918</v>
      </c>
      <c r="BO594" s="2495">
        <f>+SUM(AD594:AP594)</f>
        <v>8421.1912856538565</v>
      </c>
      <c r="BP594" s="365">
        <f>+SUM(AE594:AT594)</f>
        <v>9990.0138427681013</v>
      </c>
      <c r="BQ594" s="365">
        <f>+SUM(AF594:AX594)</f>
        <v>11950.855867985299</v>
      </c>
      <c r="BR594" s="1022">
        <f>+BR597*MACRO!BP$3/MACRO!BP$50</f>
        <v>2680.2768672295742</v>
      </c>
      <c r="BS594" s="1022">
        <f>+BS597*MACRO!BQ$3/MACRO!BQ$50</f>
        <v>2803.9141375820345</v>
      </c>
      <c r="BT594" s="1022">
        <f>+BT597*MACRO!BR$3/MACRO!BR$50</f>
        <v>2929.6779334588755</v>
      </c>
      <c r="BU594" s="1022">
        <f>+BU597*MACRO!BS$3/MACRO!BS$50</f>
        <v>3061.082605474312</v>
      </c>
    </row>
    <row r="595" spans="2:73" s="363" customFormat="1" ht="15" hidden="1" customHeight="1">
      <c r="Q595" s="370">
        <f t="shared" ref="Q595:AK595" si="4139">+Q594/M594-1</f>
        <v>2.7847363088889932</v>
      </c>
      <c r="R595" s="370">
        <f t="shared" si="4139"/>
        <v>0.13883738252029709</v>
      </c>
      <c r="S595" s="1552">
        <f t="shared" si="4139"/>
        <v>0.16689207901739156</v>
      </c>
      <c r="T595" s="370">
        <f t="shared" si="4139"/>
        <v>5.3709312096809736E-2</v>
      </c>
      <c r="U595" s="370">
        <f t="shared" si="4139"/>
        <v>1.8067158659076599E-2</v>
      </c>
      <c r="V595" s="370">
        <f t="shared" si="4139"/>
        <v>0.10976005085679796</v>
      </c>
      <c r="W595" s="1552">
        <f t="shared" si="4139"/>
        <v>-2.8532680899407969E-3</v>
      </c>
      <c r="X595" s="370">
        <f t="shared" si="4139"/>
        <v>0.11991616558098284</v>
      </c>
      <c r="Y595" s="370">
        <f t="shared" si="4139"/>
        <v>0.51542684342673017</v>
      </c>
      <c r="Z595" s="370">
        <f t="shared" si="4139"/>
        <v>0.31910500688608123</v>
      </c>
      <c r="AA595" s="370">
        <f t="shared" si="4139"/>
        <v>0.48078774466695395</v>
      </c>
      <c r="AB595" s="370">
        <f t="shared" si="4139"/>
        <v>0.32921082131894286</v>
      </c>
      <c r="AC595" s="370">
        <f t="shared" si="4139"/>
        <v>5.628015106248152E-2</v>
      </c>
      <c r="AD595" s="370">
        <f t="shared" si="4139"/>
        <v>1.2767622342640728E-2</v>
      </c>
      <c r="AE595" s="370">
        <f t="shared" si="4139"/>
        <v>-0.13982941647913327</v>
      </c>
      <c r="AF595" s="370">
        <f t="shared" si="4139"/>
        <v>-0.20715784139315419</v>
      </c>
      <c r="AG595" s="370">
        <f t="shared" si="4139"/>
        <v>-0.23197014660293247</v>
      </c>
      <c r="AH595" s="370">
        <f t="shared" si="4139"/>
        <v>-0.15573979551496298</v>
      </c>
      <c r="AI595" s="370">
        <f t="shared" si="4139"/>
        <v>-0.12775958681605126</v>
      </c>
      <c r="AJ595" s="370">
        <f t="shared" si="4139"/>
        <v>-5.1672210118695827E-2</v>
      </c>
      <c r="AK595" s="370">
        <f t="shared" si="4139"/>
        <v>-0.10188140544200397</v>
      </c>
      <c r="AL595" s="1548">
        <f t="shared" ref="AL595" si="4140">+AL594/AH594-1</f>
        <v>-4.9903535729719839E-2</v>
      </c>
      <c r="AM595" s="1548">
        <f t="shared" ref="AM595" si="4141">+AM594/AI594-1</f>
        <v>-3.7283680272077735E-2</v>
      </c>
      <c r="AN595" s="1548">
        <f t="shared" ref="AN595" si="4142">+AN594/AJ594-1</f>
        <v>5.2143993331240868E-2</v>
      </c>
      <c r="AO595" s="1059">
        <f t="shared" ref="AO595" si="4143">+AO594/AK594-1</f>
        <v>0.14562529147088998</v>
      </c>
      <c r="AP595" s="1059">
        <f t="shared" ref="AP595" si="4144">+AP594/AL594-1</f>
        <v>0.1880191740231496</v>
      </c>
      <c r="AQ595" s="1548">
        <f t="shared" ref="AQ595" si="4145">+AQ594/AM594-1</f>
        <v>0.19212799474617759</v>
      </c>
      <c r="AR595" s="1059">
        <f t="shared" ref="AR595" si="4146">+AR594/AN594-1</f>
        <v>0.10613424401325311</v>
      </c>
      <c r="AS595" s="1059">
        <f t="shared" ref="AS595" si="4147">+AS594/AO594-1</f>
        <v>-8.6176909381531219E-3</v>
      </c>
      <c r="AT595" s="1059">
        <f t="shared" ref="AT595" si="4148">+AT594/AP594-1</f>
        <v>-6.666210714754528E-2</v>
      </c>
      <c r="AU595" s="1059">
        <f t="shared" ref="AU595" si="4149">+AU594/AQ594-1</f>
        <v>-8.5836646658653981E-2</v>
      </c>
      <c r="AV595" s="1059">
        <f t="shared" ref="AV595" si="4150">+AV594/AR594-1</f>
        <v>-5.2276184979573537E-2</v>
      </c>
      <c r="AW595" s="1059">
        <f t="shared" ref="AW595" si="4151">+AW594/AS594-1</f>
        <v>-1.561602881151325E-2</v>
      </c>
      <c r="AX595" s="1059">
        <f t="shared" ref="AX595" si="4152">+AX594/AT594-1</f>
        <v>-2.3482869983820764E-3</v>
      </c>
      <c r="AY595" s="1059"/>
      <c r="AZ595" s="1059"/>
      <c r="BA595" s="72"/>
      <c r="BB595" s="1059">
        <v>-6.666210714754528E-2</v>
      </c>
      <c r="BC595" s="2189"/>
      <c r="BD595" s="72"/>
      <c r="BE595" s="365"/>
      <c r="BF595" s="365"/>
      <c r="BG595" s="365"/>
      <c r="BH595" s="365"/>
      <c r="BI595" s="370"/>
      <c r="BJ595" s="2105">
        <f>+BJ594/BH594-1</f>
        <v>8.8634904359451205E-2</v>
      </c>
      <c r="BK595" s="370">
        <f>+BK594/BJ594-1</f>
        <v>0.25253165162789792</v>
      </c>
      <c r="BL595" s="370">
        <f t="shared" ref="BL595:BR595" si="4153">+BL594/BK594-1</f>
        <v>0.16001070922080807</v>
      </c>
      <c r="BM595" s="370">
        <f t="shared" si="4153"/>
        <v>-3.0313347121187273E-2</v>
      </c>
      <c r="BN595" s="370">
        <f t="shared" si="4153"/>
        <v>1.2192498165244414</v>
      </c>
      <c r="BO595" s="1552">
        <f t="shared" si="4153"/>
        <v>0.27714949691399138</v>
      </c>
      <c r="BP595" s="370">
        <f t="shared" si="4153"/>
        <v>0.18629461128461178</v>
      </c>
      <c r="BQ595" s="370">
        <f t="shared" si="4153"/>
        <v>0.19628021102660198</v>
      </c>
      <c r="BR595" s="370">
        <f t="shared" si="4153"/>
        <v>-0.77572511150354784</v>
      </c>
      <c r="BS595" s="370">
        <f t="shared" ref="BS595" si="4154">+BS594/BR594-1</f>
        <v>4.6128544354544943E-2</v>
      </c>
      <c r="BT595" s="370">
        <f t="shared" ref="BT595" si="4155">+BT594/BS594-1</f>
        <v>4.4852941176470429E-2</v>
      </c>
      <c r="BU595" s="370">
        <f t="shared" ref="BU595" si="4156">+BU594/BT594-1</f>
        <v>4.4852941176471095E-2</v>
      </c>
    </row>
    <row r="596" spans="2:73" s="363" customFormat="1" ht="15" hidden="1" customHeight="1">
      <c r="Q596" s="370"/>
      <c r="R596" s="370"/>
      <c r="S596" s="1552"/>
      <c r="T596" s="370"/>
      <c r="U596" s="370"/>
      <c r="V596" s="371"/>
      <c r="W596" s="1549"/>
      <c r="X596" s="371"/>
      <c r="Y596" s="371"/>
      <c r="Z596" s="371"/>
      <c r="AA596" s="371"/>
      <c r="AB596" s="371"/>
      <c r="AC596" s="371"/>
      <c r="AD596" s="371"/>
      <c r="AE596" s="371"/>
      <c r="AF596" s="371"/>
      <c r="AG596" s="371"/>
      <c r="AH596" s="371"/>
      <c r="AI596" s="371"/>
      <c r="AJ596" s="371"/>
      <c r="AK596" s="371"/>
      <c r="AL596" s="1549"/>
      <c r="AM596" s="1549"/>
      <c r="AN596" s="1549"/>
      <c r="AO596" s="371"/>
      <c r="AP596" s="371"/>
      <c r="AQ596" s="1549"/>
      <c r="AR596" s="371"/>
      <c r="AS596" s="371"/>
      <c r="AT596" s="371"/>
      <c r="AU596" s="371"/>
      <c r="AV596" s="371"/>
      <c r="AW596" s="371"/>
      <c r="AX596" s="371"/>
      <c r="AY596" s="371"/>
      <c r="AZ596" s="371"/>
      <c r="BA596" s="72"/>
      <c r="BB596" s="371"/>
      <c r="BC596" s="2189"/>
      <c r="BD596" s="72"/>
      <c r="BE596" s="365"/>
      <c r="BF596" s="365"/>
      <c r="BG596" s="365"/>
      <c r="BH596" s="365"/>
      <c r="BI596" s="370"/>
      <c r="BJ596" s="2105"/>
      <c r="BK596" s="370"/>
      <c r="BL596" s="370"/>
      <c r="BM596" s="370"/>
      <c r="BN596" s="370"/>
      <c r="BO596" s="1552"/>
      <c r="BP596" s="370"/>
      <c r="BQ596" s="370"/>
      <c r="BR596" s="371"/>
      <c r="BS596" s="371"/>
      <c r="BT596" s="371"/>
      <c r="BU596" s="371"/>
    </row>
    <row r="597" spans="2:73" s="363" customFormat="1" ht="15" hidden="1" customHeight="1">
      <c r="B597" s="363" t="s">
        <v>388</v>
      </c>
      <c r="M597" s="512">
        <f>+M594/MACRO!M53</f>
        <v>27.264322721546346</v>
      </c>
      <c r="N597" s="512">
        <f>+N594/MACRO!N53</f>
        <v>142.57208902074902</v>
      </c>
      <c r="O597" s="512">
        <f>+O594/MACRO!O53</f>
        <v>84.466014431587382</v>
      </c>
      <c r="P597" s="512">
        <f>+P594/MACRO!P53</f>
        <v>82.009933847239338</v>
      </c>
      <c r="Q597" s="512">
        <f>+Q594/MACRO!Q53</f>
        <v>85.762718989806373</v>
      </c>
      <c r="R597" s="512">
        <f>+R594/MACRO!R53</f>
        <v>139.7120727644097</v>
      </c>
      <c r="S597" s="1569">
        <f>+S594/MACRO!S53</f>
        <v>89.78110657735391</v>
      </c>
      <c r="T597" s="512">
        <f>+T594/MACRO!T53</f>
        <v>84.728442338969202</v>
      </c>
      <c r="U597" s="512">
        <f>+U594/MACRO!U53</f>
        <v>91.227495480973417</v>
      </c>
      <c r="V597" s="512">
        <f>+V594/MACRO!V53</f>
        <v>152.60449075737753</v>
      </c>
      <c r="W597" s="1569">
        <f>+W594/MACRO!W53</f>
        <v>76.239933681185107</v>
      </c>
      <c r="X597" s="512">
        <f>+X594/MACRO!X53</f>
        <v>71.464680648308828</v>
      </c>
      <c r="Y597" s="512">
        <f>+Y594/MACRO!Y53</f>
        <v>98.151500621258435</v>
      </c>
      <c r="Z597" s="512">
        <f>+Z594/MACRO!Z53</f>
        <v>145.75943470815665</v>
      </c>
      <c r="AA597" s="512">
        <f>+AA594/MACRO!AA53</f>
        <v>87.800474135997902</v>
      </c>
      <c r="AB597" s="512">
        <f>+AB594/MACRO!AB53</f>
        <v>84.747538010393527</v>
      </c>
      <c r="AC597" s="512">
        <f>+AC594/MACRO!AC53</f>
        <v>99.950664323518367</v>
      </c>
      <c r="AD597" s="512">
        <f>+AD594/MACRO!AD53</f>
        <v>139.71552803832486</v>
      </c>
      <c r="AE597" s="512">
        <f>+AE594/MACRO!AE53</f>
        <v>81.192279113023716</v>
      </c>
      <c r="AF597" s="512">
        <f>+AF594/MACRO!AF53</f>
        <v>75.299587840710018</v>
      </c>
      <c r="AG597" s="512">
        <f>+AG594/MACRO!AG53</f>
        <v>79.433557937301671</v>
      </c>
      <c r="AH597" s="512">
        <f>+AH594/MACRO!AH53</f>
        <v>128.47319166569844</v>
      </c>
      <c r="AI597" s="512">
        <f>+AI594/MACRO!AI53</f>
        <v>73.828689880816995</v>
      </c>
      <c r="AJ597" s="512">
        <f>+AJ594/MACRO!AJ53</f>
        <v>74.076653219130137</v>
      </c>
      <c r="AK597" s="512">
        <f>+AK594/MACRO!AK53</f>
        <v>79.78439096189237</v>
      </c>
      <c r="AL597" s="1550">
        <f t="shared" ref="AL597" si="4157">+AH597*(1+AL598)</f>
        <v>134.89685124898335</v>
      </c>
      <c r="AM597" s="1550">
        <f t="shared" ref="AM597" si="4158">+AI597*(1+AM598)</f>
        <v>77.520124374857843</v>
      </c>
      <c r="AN597" s="1550">
        <f t="shared" ref="AN597" si="4159">+AJ597*(1+AN598)</f>
        <v>77.780485880086644</v>
      </c>
      <c r="AO597" s="513">
        <f t="shared" ref="AO597" si="4160">+AK597*(1+AO598)</f>
        <v>83.773610509986995</v>
      </c>
      <c r="AP597" s="513">
        <f t="shared" ref="AP597" si="4161">+AL597*(1+AP598)</f>
        <v>141.64169381143253</v>
      </c>
      <c r="AQ597" s="1550">
        <f t="shared" ref="AQ597" si="4162">+AM597*(1+AQ598)</f>
        <v>81.396130593600745</v>
      </c>
      <c r="AR597" s="513">
        <f t="shared" ref="AR597" si="4163">+AN597*(1+AR598)</f>
        <v>81.669510174090973</v>
      </c>
      <c r="AS597" s="513">
        <f t="shared" ref="AS597" si="4164">+AO597*(1+AS598)</f>
        <v>87.962291035486345</v>
      </c>
      <c r="AT597" s="513">
        <f t="shared" ref="AT597" si="4165">+AP597*(1+AT598)</f>
        <v>148.72377850200417</v>
      </c>
      <c r="AU597" s="513">
        <f t="shared" ref="AU597" si="4166">+AQ597*(1+AU598)</f>
        <v>85.465937123280781</v>
      </c>
      <c r="AV597" s="513">
        <f t="shared" ref="AV597" si="4167">+AR597*(1+AV598)</f>
        <v>85.752985682795526</v>
      </c>
      <c r="AW597" s="513">
        <f t="shared" ref="AW597" si="4168">+AS597*(1+AW598)</f>
        <v>92.360405587260672</v>
      </c>
      <c r="AX597" s="513">
        <f t="shared" ref="AX597" si="4169">+AT597*(1+AX598)</f>
        <v>156.15996742710439</v>
      </c>
      <c r="AY597" s="513"/>
      <c r="AZ597" s="513"/>
      <c r="BA597" s="72"/>
      <c r="BB597" s="513">
        <v>148.72377850200417</v>
      </c>
      <c r="BC597" s="2189"/>
      <c r="BD597" s="72"/>
      <c r="BE597" s="365"/>
      <c r="BF597" s="365"/>
      <c r="BG597" s="512"/>
      <c r="BH597" s="512">
        <f>+SUM(O597:R597)</f>
        <v>391.95074003304279</v>
      </c>
      <c r="BI597" s="512"/>
      <c r="BJ597" s="2106">
        <f>+SUM(S597:V597)</f>
        <v>418.34153515467403</v>
      </c>
      <c r="BK597" s="512">
        <f>+SUM(W597:Z597)</f>
        <v>391.615549658909</v>
      </c>
      <c r="BL597" s="512">
        <f>+SUM(AA597:AD597)</f>
        <v>412.21420450823467</v>
      </c>
      <c r="BM597" s="512">
        <f>+SUM(AE597:AH597)</f>
        <v>364.39861655673383</v>
      </c>
      <c r="BN597" s="512">
        <f>+SUM(AI597:AL597)</f>
        <v>362.58658531082284</v>
      </c>
      <c r="BO597" s="1569">
        <f>+SUM(AM597:AP597)</f>
        <v>380.71591457636407</v>
      </c>
      <c r="BP597" s="512">
        <f>+SUM(AQ597:AT597)</f>
        <v>399.7517103051822</v>
      </c>
      <c r="BQ597" s="512">
        <f>+SUM(AU597:AX597)</f>
        <v>419.73929582044138</v>
      </c>
      <c r="BR597" s="513">
        <f t="shared" ref="BR597" si="4170">+BQ597*(1+BR598)</f>
        <v>440.72626061146349</v>
      </c>
      <c r="BS597" s="513">
        <f t="shared" ref="BS597" si="4171">+BR597*(1+BS598)</f>
        <v>462.76257364203667</v>
      </c>
      <c r="BT597" s="513">
        <f t="shared" ref="BT597" si="4172">+BS597*(1+BT598)</f>
        <v>485.90070232413854</v>
      </c>
      <c r="BU597" s="513">
        <f t="shared" ref="BU597" si="4173">+BT597*(1+BU598)</f>
        <v>510.19573744034551</v>
      </c>
    </row>
    <row r="598" spans="2:73" s="363" customFormat="1" ht="15" hidden="1" customHeight="1">
      <c r="B598" s="363" t="s">
        <v>108</v>
      </c>
      <c r="Q598" s="370">
        <f t="shared" ref="Q598:AK598" si="4174">+Q597/M597-1</f>
        <v>2.1456024000930025</v>
      </c>
      <c r="R598" s="370">
        <f t="shared" si="4174"/>
        <v>-2.0060141336100457E-2</v>
      </c>
      <c r="S598" s="1552">
        <f t="shared" si="4174"/>
        <v>6.2925807279227586E-2</v>
      </c>
      <c r="T598" s="370">
        <f t="shared" si="4174"/>
        <v>3.314852682107583E-2</v>
      </c>
      <c r="U598" s="370">
        <f t="shared" si="4174"/>
        <v>6.3719720591141504E-2</v>
      </c>
      <c r="V598" s="370">
        <f t="shared" si="4174"/>
        <v>9.2278482008550267E-2</v>
      </c>
      <c r="W598" s="1552">
        <f t="shared" si="4174"/>
        <v>-0.15082430382501411</v>
      </c>
      <c r="X598" s="370">
        <f t="shared" si="4174"/>
        <v>-0.15654438255334202</v>
      </c>
      <c r="Y598" s="370">
        <f t="shared" si="4174"/>
        <v>7.5898226776696998E-2</v>
      </c>
      <c r="Z598" s="370">
        <f t="shared" si="4174"/>
        <v>-4.4854879533680836E-2</v>
      </c>
      <c r="AA598" s="370">
        <f t="shared" si="4174"/>
        <v>0.15163366357525798</v>
      </c>
      <c r="AB598" s="370">
        <f t="shared" si="4174"/>
        <v>0.18586604238046123</v>
      </c>
      <c r="AC598" s="370">
        <f t="shared" si="4174"/>
        <v>1.8330475753014053E-2</v>
      </c>
      <c r="AD598" s="370">
        <f t="shared" si="4174"/>
        <v>-4.1464943123119657E-2</v>
      </c>
      <c r="AE598" s="370">
        <f t="shared" si="4174"/>
        <v>-7.5263773778014853E-2</v>
      </c>
      <c r="AF598" s="370">
        <f t="shared" si="4174"/>
        <v>-0.11148347658813174</v>
      </c>
      <c r="AG598" s="370">
        <f t="shared" si="4174"/>
        <v>-0.20527233635793884</v>
      </c>
      <c r="AH598" s="370">
        <f t="shared" si="4174"/>
        <v>-8.0465904760010476E-2</v>
      </c>
      <c r="AI598" s="370">
        <f t="shared" si="4174"/>
        <v>-9.0693220003791652E-2</v>
      </c>
      <c r="AJ598" s="370">
        <f t="shared" si="4174"/>
        <v>-1.6240920523587721E-2</v>
      </c>
      <c r="AK598" s="370">
        <f t="shared" si="4174"/>
        <v>4.4166852612546048E-3</v>
      </c>
      <c r="AL598" s="1549">
        <v>0.05</v>
      </c>
      <c r="AM598" s="1549">
        <v>0.05</v>
      </c>
      <c r="AN598" s="1549">
        <v>0.05</v>
      </c>
      <c r="AO598" s="371">
        <v>0.05</v>
      </c>
      <c r="AP598" s="371">
        <v>0.05</v>
      </c>
      <c r="AQ598" s="1549">
        <v>0.05</v>
      </c>
      <c r="AR598" s="371">
        <v>0.05</v>
      </c>
      <c r="AS598" s="371">
        <v>0.05</v>
      </c>
      <c r="AT598" s="371">
        <v>0.05</v>
      </c>
      <c r="AU598" s="371">
        <v>0.05</v>
      </c>
      <c r="AV598" s="371">
        <v>0.05</v>
      </c>
      <c r="AW598" s="371">
        <v>0.05</v>
      </c>
      <c r="AX598" s="371">
        <v>0.05</v>
      </c>
      <c r="AY598" s="371"/>
      <c r="AZ598" s="371"/>
      <c r="BA598" s="72"/>
      <c r="BB598" s="371">
        <v>0.05</v>
      </c>
      <c r="BC598" s="2189"/>
      <c r="BD598" s="72"/>
      <c r="BE598" s="365"/>
      <c r="BF598" s="365"/>
      <c r="BG598" s="365"/>
      <c r="BH598" s="370"/>
      <c r="BI598" s="370"/>
      <c r="BJ598" s="2105">
        <f>+BJ597/BH597-1</f>
        <v>6.7331918085947295E-2</v>
      </c>
      <c r="BK598" s="370">
        <f>+BK597/BJ597-1</f>
        <v>-6.3885565381127107E-2</v>
      </c>
      <c r="BL598" s="370">
        <f t="shared" ref="BL598:BQ598" si="4175">+BL597/BK597-1</f>
        <v>5.2599175051314395E-2</v>
      </c>
      <c r="BM598" s="370">
        <f t="shared" si="4175"/>
        <v>-0.11599694389120851</v>
      </c>
      <c r="BN598" s="370">
        <f t="shared" si="4175"/>
        <v>-4.9726622538613929E-3</v>
      </c>
      <c r="BO598" s="1552">
        <f t="shared" si="4175"/>
        <v>5.0000000000000266E-2</v>
      </c>
      <c r="BP598" s="370">
        <f t="shared" si="4175"/>
        <v>4.9999999999999822E-2</v>
      </c>
      <c r="BQ598" s="370">
        <f t="shared" si="4175"/>
        <v>5.0000000000000266E-2</v>
      </c>
      <c r="BR598" s="371">
        <v>0.05</v>
      </c>
      <c r="BS598" s="371">
        <v>0.05</v>
      </c>
      <c r="BT598" s="371">
        <v>0.05</v>
      </c>
      <c r="BU598" s="371">
        <v>0.05</v>
      </c>
    </row>
    <row r="599" spans="2:73" s="363" customFormat="1" ht="15" hidden="1" customHeight="1">
      <c r="S599" s="1541"/>
      <c r="W599" s="1541"/>
      <c r="AL599" s="1541"/>
      <c r="AM599" s="1541"/>
      <c r="AN599" s="1541"/>
      <c r="AQ599" s="1541"/>
      <c r="BA599" s="72"/>
      <c r="BC599" s="2189"/>
      <c r="BD599" s="72"/>
      <c r="BE599" s="365"/>
      <c r="BF599" s="365"/>
      <c r="BG599" s="365"/>
      <c r="BH599" s="365"/>
      <c r="BI599" s="365"/>
      <c r="BJ599" s="2104"/>
      <c r="BK599" s="365"/>
      <c r="BL599" s="365"/>
      <c r="BM599" s="365"/>
      <c r="BN599" s="365"/>
      <c r="BO599" s="2495"/>
      <c r="BP599" s="365"/>
      <c r="BQ599" s="365"/>
      <c r="BR599" s="365"/>
      <c r="BS599" s="365"/>
      <c r="BT599" s="365"/>
      <c r="BU599" s="365"/>
    </row>
    <row r="600" spans="2:73" s="363" customFormat="1" ht="15" hidden="1" customHeight="1">
      <c r="B600" s="361" t="s">
        <v>389</v>
      </c>
      <c r="M600" s="514">
        <f>+M597*M586/1000</f>
        <v>82.829012428057808</v>
      </c>
      <c r="N600" s="514">
        <f t="shared" ref="N600:Z600" si="4176">+N597*N586/1000</f>
        <v>434.70229942426374</v>
      </c>
      <c r="O600" s="514">
        <f t="shared" si="4176"/>
        <v>253.90483938135165</v>
      </c>
      <c r="P600" s="514">
        <f t="shared" si="4176"/>
        <v>244.22558299707873</v>
      </c>
      <c r="Q600" s="514">
        <f t="shared" si="4176"/>
        <v>253.68612277184727</v>
      </c>
      <c r="R600" s="514">
        <f t="shared" si="4176"/>
        <v>410.05493356354242</v>
      </c>
      <c r="S600" s="1551">
        <f t="shared" si="4176"/>
        <v>245.820669808795</v>
      </c>
      <c r="T600" s="514">
        <f t="shared" si="4176"/>
        <v>243.00117262816369</v>
      </c>
      <c r="U600" s="514">
        <f>+U597*U586/1000</f>
        <v>261.18431956202687</v>
      </c>
      <c r="V600" s="514">
        <f>+V597*V586/1000</f>
        <v>415.69463282309641</v>
      </c>
      <c r="W600" s="1551">
        <f>+W597*W586/1000</f>
        <v>206.22902060760572</v>
      </c>
      <c r="X600" s="514">
        <f t="shared" si="4176"/>
        <v>192.74024370848892</v>
      </c>
      <c r="Y600" s="514">
        <f t="shared" ref="Y600" si="4177">+Y597*Y586/1000</f>
        <v>261.1811431531687</v>
      </c>
      <c r="Z600" s="514">
        <f t="shared" si="4176"/>
        <v>384.65914819482538</v>
      </c>
      <c r="AA600" s="514">
        <f>+AA597*AA586/1000</f>
        <v>226.17402137433061</v>
      </c>
      <c r="AB600" s="514">
        <f>+AB597*AB586/1000</f>
        <v>217.88592022472176</v>
      </c>
      <c r="AC600" s="514">
        <f>+AC597*AC586/1000</f>
        <v>255.47389801091293</v>
      </c>
      <c r="AD600" s="514">
        <f>+AD597*AD586/1000</f>
        <v>355.57601885753678</v>
      </c>
      <c r="AE600" s="514">
        <f t="shared" ref="AE600" si="4178">+AE597*AE586/1000</f>
        <v>202.73712094522023</v>
      </c>
      <c r="AF600" s="514">
        <f t="shared" ref="AF600" si="4179">+AF597*AF586/1000</f>
        <v>184.86048814894309</v>
      </c>
      <c r="AG600" s="514">
        <f>+AG597*AG586/1000</f>
        <v>194.05618204082799</v>
      </c>
      <c r="AH600" s="514">
        <f>+AH597*AH586/1000</f>
        <v>315.53015873095541</v>
      </c>
      <c r="AI600" s="514">
        <f t="shared" ref="AI600:AL600" si="4180">+AI597*AI586/1000</f>
        <v>176.45056881515262</v>
      </c>
      <c r="AJ600" s="514">
        <f t="shared" si="4180"/>
        <v>175.41351482290014</v>
      </c>
      <c r="AK600" s="514">
        <f t="shared" si="4180"/>
        <v>186.05719972313301</v>
      </c>
      <c r="AL600" s="1551">
        <f t="shared" si="4180"/>
        <v>313.90497285638423</v>
      </c>
      <c r="AM600" s="1551">
        <f t="shared" ref="AM600:AP600" si="4181">+AM597*AM586/1000</f>
        <v>180.00172879841992</v>
      </c>
      <c r="AN600" s="1551">
        <f t="shared" si="4181"/>
        <v>180.21738578416074</v>
      </c>
      <c r="AO600" s="514">
        <f t="shared" si="4181"/>
        <v>193.68458749908993</v>
      </c>
      <c r="AP600" s="514">
        <f t="shared" si="4181"/>
        <v>326.76738762297487</v>
      </c>
      <c r="AQ600" s="1551">
        <f t="shared" ref="AQ600:AT600" si="4182">+AQ597*AQ586/1000</f>
        <v>187.37389262646892</v>
      </c>
      <c r="AR600" s="514">
        <f t="shared" si="4182"/>
        <v>187.59486486988698</v>
      </c>
      <c r="AS600" s="514">
        <f t="shared" si="4182"/>
        <v>201.60957105333472</v>
      </c>
      <c r="AT600" s="514">
        <f t="shared" si="4182"/>
        <v>340.13128143408352</v>
      </c>
      <c r="AU600" s="514">
        <f t="shared" ref="AU600:AX600" si="4183">+AU597*AU586/1000</f>
        <v>195.03326851532674</v>
      </c>
      <c r="AV600" s="514">
        <f t="shared" si="4183"/>
        <v>195.25954839972542</v>
      </c>
      <c r="AW600" s="514">
        <f t="shared" si="4183"/>
        <v>209.84284149425625</v>
      </c>
      <c r="AX600" s="514">
        <f t="shared" si="4183"/>
        <v>354.01464615724569</v>
      </c>
      <c r="AY600" s="514"/>
      <c r="AZ600" s="514"/>
      <c r="BA600" s="72"/>
      <c r="BB600" s="514">
        <v>340.13128143408352</v>
      </c>
      <c r="BC600" s="2189"/>
      <c r="BD600" s="72"/>
      <c r="BE600" s="365"/>
      <c r="BF600" s="365"/>
      <c r="BG600" s="365"/>
      <c r="BH600" s="366">
        <f>+SUM(O600:R600)</f>
        <v>1161.8714787138201</v>
      </c>
      <c r="BI600" s="366"/>
      <c r="BJ600" s="2107">
        <f>+SUM(S600:V600)</f>
        <v>1165.7007948220821</v>
      </c>
      <c r="BK600" s="366">
        <f>+SUM(W600:Z600)</f>
        <v>1044.8095556640887</v>
      </c>
      <c r="BL600" s="366">
        <f>+SUM(AA600:AD600)</f>
        <v>1055.1098584675021</v>
      </c>
      <c r="BM600" s="366">
        <f>+SUM(AE600:AH600)</f>
        <v>897.18394986594672</v>
      </c>
      <c r="BN600" s="366">
        <f>+SUM(AI600:AL600)</f>
        <v>851.82625621756995</v>
      </c>
      <c r="BO600" s="1924">
        <f>+SUM(AM600:AP600)</f>
        <v>880.67108970464551</v>
      </c>
      <c r="BP600" s="366">
        <f>+SUM(AQ600:AT600)</f>
        <v>916.70960998377427</v>
      </c>
      <c r="BQ600" s="366">
        <f>+SUM(AU600:AX600)</f>
        <v>954.15030456655415</v>
      </c>
      <c r="BR600" s="514">
        <f t="shared" ref="BR600" si="4184">+BR597*BR586/1000</f>
        <v>1007.9409580184169</v>
      </c>
      <c r="BS600" s="514">
        <f t="shared" ref="BS600:BU600" si="4185">+BS597*BS586/1000</f>
        <v>1067.5932573921784</v>
      </c>
      <c r="BT600" s="514">
        <f t="shared" si="4185"/>
        <v>1130.6909343082705</v>
      </c>
      <c r="BU600" s="514">
        <f t="shared" si="4185"/>
        <v>1197.4293957724908</v>
      </c>
    </row>
    <row r="601" spans="2:73" s="363" customFormat="1" ht="15" hidden="1" customHeight="1">
      <c r="B601" s="363" t="s">
        <v>108</v>
      </c>
      <c r="M601" s="514"/>
      <c r="N601" s="514"/>
      <c r="O601" s="514"/>
      <c r="P601" s="514"/>
      <c r="Q601" s="370">
        <f t="shared" ref="Q601:AD601" si="4186">+Q600/M600-1</f>
        <v>2.0627688938364388</v>
      </c>
      <c r="R601" s="370">
        <f t="shared" si="4186"/>
        <v>-5.6699414503592949E-2</v>
      </c>
      <c r="S601" s="1552">
        <f t="shared" si="4186"/>
        <v>-3.183936782084984E-2</v>
      </c>
      <c r="T601" s="370">
        <f t="shared" si="4186"/>
        <v>-5.0134402542492129E-3</v>
      </c>
      <c r="U601" s="370">
        <f t="shared" si="4186"/>
        <v>2.9556984466679426E-2</v>
      </c>
      <c r="V601" s="370">
        <f t="shared" si="4186"/>
        <v>1.3753521291751669E-2</v>
      </c>
      <c r="W601" s="1552">
        <f t="shared" si="4186"/>
        <v>-0.16105907299001576</v>
      </c>
      <c r="X601" s="370">
        <f t="shared" si="4186"/>
        <v>-0.20683410032997329</v>
      </c>
      <c r="Y601" s="370">
        <f t="shared" si="4186"/>
        <v>-1.2161560324464027E-5</v>
      </c>
      <c r="Z601" s="370">
        <f t="shared" si="4186"/>
        <v>-7.4659334467468419E-2</v>
      </c>
      <c r="AA601" s="370">
        <f t="shared" si="4186"/>
        <v>9.671287148608676E-2</v>
      </c>
      <c r="AB601" s="370">
        <f t="shared" si="4186"/>
        <v>0.13046406932152976</v>
      </c>
      <c r="AC601" s="370">
        <f t="shared" si="4186"/>
        <v>-2.1851673797555815E-2</v>
      </c>
      <c r="AD601" s="370">
        <f t="shared" si="4186"/>
        <v>-7.560753325060221E-2</v>
      </c>
      <c r="AE601" s="370">
        <f t="shared" ref="AE601:AF601" si="4187">+AE600/AA600-1</f>
        <v>-0.10362330866603375</v>
      </c>
      <c r="AF601" s="370">
        <f t="shared" si="4187"/>
        <v>-0.15157212564133149</v>
      </c>
      <c r="AG601" s="370">
        <f t="shared" ref="AG601:AH601" si="4188">+AG600/AC600-1</f>
        <v>-0.24040701006355414</v>
      </c>
      <c r="AH601" s="370">
        <f t="shared" si="4188"/>
        <v>-0.11262249983912986</v>
      </c>
      <c r="AI601" s="370">
        <f t="shared" ref="AI601" si="4189">+AI600/AE600-1</f>
        <v>-0.12965830829357716</v>
      </c>
      <c r="AJ601" s="370">
        <f t="shared" ref="AJ601" si="4190">+AJ600/AF600-1</f>
        <v>-5.1103258574279442E-2</v>
      </c>
      <c r="AK601" s="370">
        <f t="shared" ref="AK601" si="4191">+AK600/AG600-1</f>
        <v>-4.1219930401454885E-2</v>
      </c>
      <c r="AL601" s="1552">
        <f t="shared" ref="AL601" si="4192">+AL600/AH600-1</f>
        <v>-5.1506514657982949E-3</v>
      </c>
      <c r="AM601" s="1552">
        <f t="shared" ref="AM601" si="4193">+AM600/AI600-1</f>
        <v>2.0125523012552327E-2</v>
      </c>
      <c r="AN601" s="1552">
        <f t="shared" ref="AN601" si="4194">+AN600/AJ600-1</f>
        <v>2.7385979729729781E-2</v>
      </c>
      <c r="AO601" s="370">
        <f t="shared" ref="AO601" si="4195">+AO600/AK600-1</f>
        <v>4.0994854202401454E-2</v>
      </c>
      <c r="AP601" s="370">
        <f t="shared" ref="AP601" si="4196">+AP600/AL600-1</f>
        <v>4.0975504941985541E-2</v>
      </c>
      <c r="AQ601" s="1552">
        <f t="shared" ref="AQ601" si="4197">+AQ600/AM600-1</f>
        <v>4.0956072351421291E-2</v>
      </c>
      <c r="AR601" s="370">
        <f t="shared" ref="AR601" si="4198">+AR600/AN600-1</f>
        <v>4.093655589123868E-2</v>
      </c>
      <c r="AS601" s="370">
        <f t="shared" ref="AS601" si="4199">+AS600/AO600-1</f>
        <v>4.0916955017301193E-2</v>
      </c>
      <c r="AT601" s="370">
        <f t="shared" ref="AT601" si="4200">+AT600/AP600-1</f>
        <v>4.0897269180754314E-2</v>
      </c>
      <c r="AU601" s="370">
        <f t="shared" ref="AU601" si="4201">+AU600/AQ600-1</f>
        <v>4.0877497827975562E-2</v>
      </c>
      <c r="AV601" s="370">
        <f t="shared" ref="AV601" si="4202">+AV600/AR600-1</f>
        <v>4.0857640400522532E-2</v>
      </c>
      <c r="AW601" s="370">
        <f t="shared" ref="AW601" si="4203">+AW600/AS600-1</f>
        <v>4.0837696335078499E-2</v>
      </c>
      <c r="AX601" s="370">
        <f t="shared" ref="AX601" si="4204">+AX600/AT600-1</f>
        <v>4.0817665063402009E-2</v>
      </c>
      <c r="AY601" s="370"/>
      <c r="AZ601" s="370"/>
      <c r="BA601" s="72"/>
      <c r="BB601" s="370">
        <v>4.0897269180754314E-2</v>
      </c>
      <c r="BC601" s="2189"/>
      <c r="BD601" s="72"/>
      <c r="BE601" s="365"/>
      <c r="BF601" s="365"/>
      <c r="BG601" s="365"/>
      <c r="BH601" s="514"/>
      <c r="BI601" s="370"/>
      <c r="BJ601" s="2105">
        <f>+BJ600/BH600-1</f>
        <v>3.2958172899648641E-3</v>
      </c>
      <c r="BK601" s="370">
        <f>+BK600/BJ600-1</f>
        <v>-0.10370692007329774</v>
      </c>
      <c r="BL601" s="370">
        <f t="shared" ref="BL601:BR601" si="4205">+BL600/BK600-1</f>
        <v>9.8585457489106521E-3</v>
      </c>
      <c r="BM601" s="370">
        <f t="shared" si="4205"/>
        <v>-0.14967721828600433</v>
      </c>
      <c r="BN601" s="370">
        <f t="shared" si="4205"/>
        <v>-5.0555623130745797E-2</v>
      </c>
      <c r="BO601" s="1552">
        <f t="shared" si="4205"/>
        <v>3.3862343730935773E-2</v>
      </c>
      <c r="BP601" s="370">
        <f t="shared" si="4205"/>
        <v>4.0921657018643698E-2</v>
      </c>
      <c r="BQ601" s="370">
        <f t="shared" si="4205"/>
        <v>4.0842480732194542E-2</v>
      </c>
      <c r="BR601" s="370">
        <f t="shared" si="4205"/>
        <v>5.6375450696207086E-2</v>
      </c>
      <c r="BS601" s="370">
        <f t="shared" ref="BS601" si="4206">+BS600/BR600-1</f>
        <v>5.918233493659808E-2</v>
      </c>
      <c r="BT601" s="370">
        <f t="shared" ref="BT601" si="4207">+BT600/BS600-1</f>
        <v>5.9102730819245997E-2</v>
      </c>
      <c r="BU601" s="370">
        <f t="shared" ref="BU601" si="4208">+BU600/BT600-1</f>
        <v>5.9024495058014548E-2</v>
      </c>
    </row>
    <row r="602" spans="2:73" s="363" customFormat="1" ht="15" hidden="1" customHeight="1">
      <c r="B602" s="361"/>
      <c r="M602" s="514"/>
      <c r="N602" s="514"/>
      <c r="O602" s="514"/>
      <c r="P602" s="514"/>
      <c r="Q602" s="514"/>
      <c r="R602" s="514"/>
      <c r="S602" s="1551"/>
      <c r="T602" s="514"/>
      <c r="U602" s="514"/>
      <c r="V602" s="514"/>
      <c r="W602" s="1551"/>
      <c r="X602" s="514"/>
      <c r="Y602" s="514"/>
      <c r="Z602" s="514"/>
      <c r="AA602" s="514"/>
      <c r="AB602" s="514"/>
      <c r="AC602" s="514"/>
      <c r="AD602" s="514"/>
      <c r="AE602" s="514"/>
      <c r="AF602" s="514"/>
      <c r="AG602" s="514"/>
      <c r="AH602" s="514"/>
      <c r="AI602" s="514"/>
      <c r="AJ602" s="514"/>
      <c r="AK602" s="514"/>
      <c r="AL602" s="1551"/>
      <c r="AM602" s="1551"/>
      <c r="AN602" s="1551"/>
      <c r="AO602" s="514"/>
      <c r="AP602" s="514"/>
      <c r="AQ602" s="1551"/>
      <c r="AR602" s="514"/>
      <c r="AS602" s="514"/>
      <c r="AT602" s="514"/>
      <c r="AU602" s="514"/>
      <c r="AV602" s="514"/>
      <c r="AW602" s="514"/>
      <c r="AX602" s="514"/>
      <c r="AY602" s="514"/>
      <c r="AZ602" s="514"/>
      <c r="BA602" s="72"/>
      <c r="BB602" s="514"/>
      <c r="BC602" s="2189"/>
      <c r="BD602" s="72"/>
      <c r="BE602" s="365"/>
      <c r="BF602" s="365"/>
      <c r="BG602" s="365"/>
      <c r="BH602" s="514"/>
      <c r="BI602" s="514"/>
      <c r="BJ602" s="2108"/>
      <c r="BK602" s="514"/>
      <c r="BL602" s="514"/>
      <c r="BM602" s="514"/>
      <c r="BN602" s="514"/>
      <c r="BO602" s="1551"/>
      <c r="BP602" s="514"/>
      <c r="BQ602" s="514"/>
      <c r="BR602" s="514"/>
      <c r="BS602" s="514"/>
      <c r="BT602" s="514"/>
      <c r="BU602" s="514"/>
    </row>
    <row r="603" spans="2:73" s="361" customFormat="1" ht="15" hidden="1" customHeight="1">
      <c r="B603" s="361" t="s">
        <v>382</v>
      </c>
      <c r="C603" s="364"/>
      <c r="D603" s="364"/>
      <c r="E603" s="364"/>
      <c r="F603" s="364"/>
      <c r="G603" s="364"/>
      <c r="H603" s="364"/>
      <c r="I603" s="364"/>
      <c r="J603" s="364"/>
      <c r="K603" s="364"/>
      <c r="L603" s="364"/>
      <c r="M603" s="366">
        <f t="shared" ref="M603:V603" si="4209">+M24</f>
        <v>354.87262084677081</v>
      </c>
      <c r="N603" s="366">
        <f t="shared" si="4209"/>
        <v>1900.0621026089452</v>
      </c>
      <c r="O603" s="366">
        <f t="shared" si="4209"/>
        <v>1158.8732423141253</v>
      </c>
      <c r="P603" s="366">
        <f t="shared" si="4209"/>
        <v>1190.6804043588693</v>
      </c>
      <c r="Q603" s="366">
        <f t="shared" si="4209"/>
        <v>1307.7313064963259</v>
      </c>
      <c r="R603" s="366">
        <f t="shared" si="4209"/>
        <v>2082.9564581279346</v>
      </c>
      <c r="S603" s="1924">
        <f t="shared" si="4209"/>
        <v>1231.7174515235456</v>
      </c>
      <c r="T603" s="366">
        <f t="shared" si="4209"/>
        <v>1208.2880434782608</v>
      </c>
      <c r="U603" s="366">
        <f t="shared" si="4209"/>
        <v>1288.5999999999999</v>
      </c>
      <c r="V603" s="366">
        <f t="shared" si="4209"/>
        <v>2145.4</v>
      </c>
      <c r="W603" s="1924">
        <f>+W44</f>
        <v>1213.4000000000001</v>
      </c>
      <c r="X603" s="1058">
        <v>1272.5</v>
      </c>
      <c r="Y603" s="1058">
        <v>1815</v>
      </c>
      <c r="Z603" s="1058">
        <v>2741.7</v>
      </c>
      <c r="AA603" s="1058">
        <v>1711.1</v>
      </c>
      <c r="AB603" s="1058">
        <v>1612.4</v>
      </c>
      <c r="AC603" s="1058">
        <v>1841.5</v>
      </c>
      <c r="AD603" s="1058">
        <v>2677.8</v>
      </c>
      <c r="AE603" s="1058">
        <v>1426.7</v>
      </c>
      <c r="AF603" s="1058">
        <v>1220.7</v>
      </c>
      <c r="AG603" s="1058">
        <v>1351.8</v>
      </c>
      <c r="AH603" s="1058">
        <v>2181.6999999999998</v>
      </c>
      <c r="AI603" s="1058">
        <v>1191.0999999999999</v>
      </c>
      <c r="AJ603" s="1058">
        <v>1116.5999999999999</v>
      </c>
      <c r="AK603" s="1058">
        <v>1158.914</v>
      </c>
      <c r="AL603" s="1553">
        <f>+AL600*MACRO!AL$53</f>
        <v>1963.9514805949266</v>
      </c>
      <c r="AM603" s="1553">
        <f>+AM600*MACRO!AM$53</f>
        <v>1114.0658788157527</v>
      </c>
      <c r="AN603" s="1553">
        <f>+AN600*MACRO!AN$53</f>
        <v>1149.5216083207931</v>
      </c>
      <c r="AO603" s="381">
        <f>+AO600*MACRO!AO$53</f>
        <v>1316.2945579158552</v>
      </c>
      <c r="AP603" s="381">
        <f>+AP600*MACRO!AP$53</f>
        <v>2313.1586250304331</v>
      </c>
      <c r="AQ603" s="1553">
        <f>+AQ600*MACRO!AQ$53</f>
        <v>1316.6697670706747</v>
      </c>
      <c r="AR603" s="381">
        <f>+AR600*MACRO!AR$53</f>
        <v>1260.5495983198512</v>
      </c>
      <c r="AS603" s="381">
        <f>+AS600*MACRO!AS$53</f>
        <v>1293.6626335761762</v>
      </c>
      <c r="AT603" s="381">
        <f>+AT600*MACRO!AT$53</f>
        <v>2140.2420074359056</v>
      </c>
      <c r="AU603" s="381">
        <f>+AU600*MACRO!AU$53</f>
        <v>1193.1938103294483</v>
      </c>
      <c r="AV603" s="381">
        <f>+AV600*MACRO!AV$53</f>
        <v>1184.2510208433121</v>
      </c>
      <c r="AW603" s="381">
        <f>+AW600*MACRO!AW$53</f>
        <v>1262.3485375758316</v>
      </c>
      <c r="AX603" s="381">
        <f>+AX600*MACRO!AX$53</f>
        <v>2116.543467396712</v>
      </c>
      <c r="AY603" s="381"/>
      <c r="AZ603" s="381"/>
      <c r="BA603" s="85"/>
      <c r="BB603" s="381">
        <v>2140.2420074359056</v>
      </c>
      <c r="BC603" s="2197"/>
      <c r="BD603" s="85"/>
      <c r="BE603" s="366"/>
      <c r="BF603" s="366"/>
      <c r="BG603" s="366">
        <f>+SUM(K603:N603)</f>
        <v>2254.9347234557163</v>
      </c>
      <c r="BH603" s="366">
        <f>+SUM(O603:R603)</f>
        <v>5740.2414112972547</v>
      </c>
      <c r="BI603" s="366"/>
      <c r="BJ603" s="2107">
        <f>+SUM(S603:V603)</f>
        <v>5874.0054950018066</v>
      </c>
      <c r="BK603" s="366">
        <f>+SUM(W603:Z603)</f>
        <v>7042.5999999999995</v>
      </c>
      <c r="BL603" s="366">
        <f>+SUM(AA603:AD603)</f>
        <v>7842.8</v>
      </c>
      <c r="BM603" s="366">
        <f>+SUM(AE603:AH603)</f>
        <v>6180.9</v>
      </c>
      <c r="BN603" s="366">
        <f>+SUM(AI603:AL603)</f>
        <v>5430.5654805949262</v>
      </c>
      <c r="BO603" s="1924">
        <f>+SUM(AM603:AP603)</f>
        <v>5893.0406700828335</v>
      </c>
      <c r="BP603" s="366">
        <f>+SUM(AQ603:AT603)</f>
        <v>6011.1240064026078</v>
      </c>
      <c r="BQ603" s="366">
        <f>+SUM(AU603:AX603)</f>
        <v>5756.336836145304</v>
      </c>
      <c r="BR603" s="381">
        <f>+BR600*MACRO!BP$53</f>
        <v>6129.7931953540356</v>
      </c>
      <c r="BS603" s="381">
        <f>+BS600*MACRO!BQ$53</f>
        <v>6468.6299154017524</v>
      </c>
      <c r="BT603" s="381">
        <f>+BT600*MACRO!BR$53</f>
        <v>6817.3605511588039</v>
      </c>
      <c r="BU603" s="381">
        <f>+BU600*MACRO!BS$53</f>
        <v>7184.360875048209</v>
      </c>
    </row>
    <row r="604" spans="2:73" s="363" customFormat="1" ht="15" hidden="1" customHeight="1">
      <c r="B604" s="363" t="s">
        <v>108</v>
      </c>
      <c r="M604" s="514"/>
      <c r="N604" s="514"/>
      <c r="O604" s="514"/>
      <c r="P604" s="514"/>
      <c r="Q604" s="370">
        <f t="shared" ref="Q604:AD604" si="4210">+Q603/M603-1</f>
        <v>2.6850724166206854</v>
      </c>
      <c r="R604" s="370">
        <f t="shared" si="4210"/>
        <v>9.6257040897694823E-2</v>
      </c>
      <c r="S604" s="1552">
        <f t="shared" si="4210"/>
        <v>6.2857788539460557E-2</v>
      </c>
      <c r="T604" s="370">
        <f t="shared" si="4210"/>
        <v>1.478788015233401E-2</v>
      </c>
      <c r="U604" s="370">
        <f t="shared" si="4210"/>
        <v>-1.4629386328283811E-2</v>
      </c>
      <c r="V604" s="370">
        <f t="shared" si="4210"/>
        <v>2.9978323180210431E-2</v>
      </c>
      <c r="W604" s="1552">
        <f t="shared" si="4210"/>
        <v>-1.4871471944225667E-2</v>
      </c>
      <c r="X604" s="370">
        <f t="shared" si="4210"/>
        <v>5.3142921398853016E-2</v>
      </c>
      <c r="Y604" s="370">
        <f t="shared" si="4210"/>
        <v>0.40850535464845583</v>
      </c>
      <c r="Z604" s="370">
        <f t="shared" si="4210"/>
        <v>0.2779435070383145</v>
      </c>
      <c r="AA604" s="370">
        <f t="shared" si="4210"/>
        <v>0.41016977089170914</v>
      </c>
      <c r="AB604" s="370">
        <f t="shared" si="4210"/>
        <v>0.26711198428290772</v>
      </c>
      <c r="AC604" s="370">
        <f t="shared" si="4210"/>
        <v>1.4600550964187331E-2</v>
      </c>
      <c r="AD604" s="370">
        <f t="shared" si="4210"/>
        <v>-2.3306707517233738E-2</v>
      </c>
      <c r="AE604" s="370">
        <f t="shared" ref="AE604:AF604" si="4211">+AE603/AA603-1</f>
        <v>-0.16620887148617836</v>
      </c>
      <c r="AF604" s="370">
        <f t="shared" si="4211"/>
        <v>-0.24292979409575788</v>
      </c>
      <c r="AG604" s="370">
        <f t="shared" ref="AG604:AH604" si="4212">+AG603/AC603-1</f>
        <v>-0.26592451805593265</v>
      </c>
      <c r="AH604" s="370">
        <f t="shared" si="4212"/>
        <v>-0.18526402270520592</v>
      </c>
      <c r="AI604" s="370">
        <f t="shared" ref="AI604" si="4213">+AI603/AE603-1</f>
        <v>-0.16513632859045357</v>
      </c>
      <c r="AJ604" s="370">
        <f t="shared" ref="AJ604" si="4214">+AJ603/AF603-1</f>
        <v>-8.5278938314082176E-2</v>
      </c>
      <c r="AK604" s="370">
        <f t="shared" ref="AK604" si="4215">+AK603/AG603-1</f>
        <v>-0.14268826749519159</v>
      </c>
      <c r="AL604" s="1552">
        <f t="shared" ref="AL604" si="4216">+AL603/AH603-1</f>
        <v>-9.9806810929583878E-2</v>
      </c>
      <c r="AM604" s="1552">
        <f t="shared" ref="AM604" si="4217">+AM603/AI603-1</f>
        <v>-6.4674772214127429E-2</v>
      </c>
      <c r="AN604" s="1552">
        <f t="shared" ref="AN604" si="4218">+AN603/AJ603-1</f>
        <v>2.9483797528921052E-2</v>
      </c>
      <c r="AO604" s="370">
        <f t="shared" ref="AO604" si="4219">+AO603/AK603-1</f>
        <v>0.13580003168125954</v>
      </c>
      <c r="AP604" s="370">
        <f t="shared" ref="AP604" si="4220">+AP603/AL603-1</f>
        <v>0.17780843767572274</v>
      </c>
      <c r="AQ604" s="1552">
        <f t="shared" ref="AQ604" si="4221">+AQ603/AM603-1</f>
        <v>0.18185988109633966</v>
      </c>
      <c r="AR604" s="370">
        <f t="shared" ref="AR604" si="4222">+AR603/AN603-1</f>
        <v>9.6586257444300161E-2</v>
      </c>
      <c r="AS604" s="370">
        <f t="shared" ref="AS604" si="4223">+AS603/AO603-1</f>
        <v>-1.7193662469829785E-2</v>
      </c>
      <c r="AT604" s="370">
        <f t="shared" ref="AT604" si="4224">+AT603/AP603-1</f>
        <v>-7.4753462959010197E-2</v>
      </c>
      <c r="AU604" s="370">
        <f t="shared" ref="AU604" si="4225">+AU603/AQ603-1</f>
        <v>-9.37789868266935E-2</v>
      </c>
      <c r="AV604" s="370">
        <f t="shared" ref="AV604" si="4226">+AV603/AR603-1</f>
        <v>-6.0528024901388422E-2</v>
      </c>
      <c r="AW604" s="370">
        <f t="shared" ref="AW604" si="4227">+AW603/AS603-1</f>
        <v>-2.4205766779999194E-2</v>
      </c>
      <c r="AX604" s="370">
        <f t="shared" ref="AX604" si="4228">+AX603/AT603-1</f>
        <v>-1.1072831930621474E-2</v>
      </c>
      <c r="AY604" s="370"/>
      <c r="AZ604" s="370"/>
      <c r="BA604" s="72"/>
      <c r="BB604" s="370">
        <v>-7.4753462959010197E-2</v>
      </c>
      <c r="BC604" s="2189"/>
      <c r="BD604" s="72"/>
      <c r="BE604" s="365"/>
      <c r="BF604" s="365"/>
      <c r="BG604" s="365"/>
      <c r="BH604" s="514"/>
      <c r="BI604" s="370"/>
      <c r="BJ604" s="2105">
        <f>+BJ603/BH603-1</f>
        <v>2.3302867269884064E-2</v>
      </c>
      <c r="BK604" s="370">
        <f>+BK603/BJ603-1</f>
        <v>0.19894337960571384</v>
      </c>
      <c r="BL604" s="370">
        <f t="shared" ref="BL604:BR604" si="4229">+BL603/BK603-1</f>
        <v>0.11362280975776007</v>
      </c>
      <c r="BM604" s="370">
        <f t="shared" si="4229"/>
        <v>-0.21190136175855567</v>
      </c>
      <c r="BN604" s="370">
        <f t="shared" si="4229"/>
        <v>-0.1213956736729398</v>
      </c>
      <c r="BO604" s="1552">
        <f t="shared" si="4229"/>
        <v>8.5161516077924659E-2</v>
      </c>
      <c r="BP604" s="370">
        <f t="shared" si="4229"/>
        <v>2.0037760288885709E-2</v>
      </c>
      <c r="BQ604" s="370">
        <f t="shared" si="4229"/>
        <v>-4.2385944789347763E-2</v>
      </c>
      <c r="BR604" s="370">
        <f t="shared" si="4229"/>
        <v>6.4877433312052979E-2</v>
      </c>
      <c r="BS604" s="370">
        <f t="shared" ref="BS604" si="4230">+BS603/BR603-1</f>
        <v>5.5277023098353695E-2</v>
      </c>
      <c r="BT604" s="370">
        <f t="shared" ref="BT604" si="4231">+BT603/BS603-1</f>
        <v>5.3911050766210389E-2</v>
      </c>
      <c r="BU604" s="370">
        <f t="shared" ref="BU604" si="4232">+BU603/BT603-1</f>
        <v>5.3833198513612901E-2</v>
      </c>
    </row>
    <row r="605" spans="2:73" s="363" customFormat="1" ht="15" hidden="1" customHeight="1">
      <c r="S605" s="1541"/>
      <c r="W605" s="1541"/>
      <c r="AL605" s="1541"/>
      <c r="AM605" s="1541"/>
      <c r="AN605" s="1541"/>
      <c r="AQ605" s="1541"/>
      <c r="BA605" s="72"/>
      <c r="BC605" s="2189"/>
      <c r="BD605" s="72"/>
      <c r="BJ605" s="2099"/>
      <c r="BO605" s="1541"/>
    </row>
    <row r="606" spans="2:73" s="363" customFormat="1" ht="15" hidden="1" customHeight="1">
      <c r="B606" s="363" t="s">
        <v>192</v>
      </c>
      <c r="M606" s="512">
        <f>+M609-M603</f>
        <v>-109.35640284601055</v>
      </c>
      <c r="N606" s="512">
        <f t="shared" ref="N606:T606" si="4233">+N609-N603</f>
        <v>-689.02091860635664</v>
      </c>
      <c r="O606" s="512">
        <f t="shared" si="4233"/>
        <v>-351.61708790636374</v>
      </c>
      <c r="P606" s="512">
        <f t="shared" si="4233"/>
        <v>-383.98965173185763</v>
      </c>
      <c r="Q606" s="512">
        <f t="shared" si="4233"/>
        <v>-381.93130649632599</v>
      </c>
      <c r="R606" s="512">
        <f t="shared" si="4233"/>
        <v>-736.75645812793459</v>
      </c>
      <c r="S606" s="1569">
        <f t="shared" si="4233"/>
        <v>-342.41745152354565</v>
      </c>
      <c r="T606" s="512">
        <f t="shared" si="4233"/>
        <v>-340.78804347826076</v>
      </c>
      <c r="U606" s="512">
        <f t="shared" ref="U606:Z606" si="4234">+U609-U603</f>
        <v>-352.89999999999986</v>
      </c>
      <c r="V606" s="512">
        <f t="shared" si="4234"/>
        <v>-708.60000000000014</v>
      </c>
      <c r="W606" s="1569">
        <f t="shared" si="4234"/>
        <v>-320.20000000000005</v>
      </c>
      <c r="X606" s="512">
        <f t="shared" si="4234"/>
        <v>-293.29999999999995</v>
      </c>
      <c r="Y606" s="512">
        <f t="shared" si="4234"/>
        <v>-430.40000000000009</v>
      </c>
      <c r="Z606" s="512">
        <f t="shared" si="4234"/>
        <v>-665.79999999999973</v>
      </c>
      <c r="AA606" s="512">
        <f t="shared" ref="AA606:AB606" si="4235">+AA609-AA603</f>
        <v>-391.39999999999986</v>
      </c>
      <c r="AB606" s="512">
        <f t="shared" si="4235"/>
        <v>-394.80000000000018</v>
      </c>
      <c r="AC606" s="512">
        <f t="shared" ref="AC606:AD606" si="4236">+AC609-AC603</f>
        <v>-450.90000000000009</v>
      </c>
      <c r="AD606" s="512">
        <f t="shared" si="4236"/>
        <v>-783.90000000000009</v>
      </c>
      <c r="AE606" s="512">
        <f t="shared" ref="AE606:AF606" si="4237">+AE609-AE603</f>
        <v>-409.30000000000007</v>
      </c>
      <c r="AF606" s="512">
        <f t="shared" si="4237"/>
        <v>-311.30000000000007</v>
      </c>
      <c r="AG606" s="512">
        <f t="shared" ref="AG606:AH606" si="4238">+AG609-AG603</f>
        <v>-375.79999999999995</v>
      </c>
      <c r="AH606" s="512">
        <f t="shared" si="4238"/>
        <v>-677.29999999999973</v>
      </c>
      <c r="AI606" s="512">
        <f t="shared" ref="AI606:AJ606" si="4239">+AI609-AI603</f>
        <v>-341.19999999999993</v>
      </c>
      <c r="AJ606" s="512">
        <f t="shared" si="4239"/>
        <v>-316.29999999999995</v>
      </c>
      <c r="AK606" s="512">
        <f t="shared" ref="AK606" si="4240">+AK609-AK603</f>
        <v>-329.47299999999996</v>
      </c>
      <c r="AL606" s="1550">
        <f t="shared" ref="AL606" si="4241">+AL607*AL603</f>
        <v>-571.74021721889403</v>
      </c>
      <c r="AM606" s="1550">
        <f t="shared" ref="AM606:AP606" si="4242">+AM607*AM603</f>
        <v>-318.94046933278895</v>
      </c>
      <c r="AN606" s="1550">
        <f t="shared" si="4242"/>
        <v>-329.04126046083627</v>
      </c>
      <c r="AO606" s="513">
        <f t="shared" si="4242"/>
        <v>-377.75643360149246</v>
      </c>
      <c r="AP606" s="513">
        <f t="shared" si="4242"/>
        <v>-665.39686351502087</v>
      </c>
      <c r="AQ606" s="1550">
        <f t="shared" ref="AQ606:AT606" si="4243">+AQ607*AQ603</f>
        <v>-377.6106848427516</v>
      </c>
      <c r="AR606" s="513">
        <f t="shared" si="4243"/>
        <v>-361.67567506750265</v>
      </c>
      <c r="AS606" s="513">
        <f t="shared" si="4243"/>
        <v>-371.39542831032361</v>
      </c>
      <c r="AT606" s="513">
        <f t="shared" si="4243"/>
        <v>-614.49390325832564</v>
      </c>
      <c r="AU606" s="513">
        <f t="shared" ref="AU606:AX606" si="4244">+AU607*AU603</f>
        <v>-342.4209153796661</v>
      </c>
      <c r="AV606" s="513">
        <f t="shared" si="4244"/>
        <v>-339.90965567306193</v>
      </c>
      <c r="AW606" s="513">
        <f t="shared" si="4244"/>
        <v>-362.35903854938948</v>
      </c>
      <c r="AX606" s="513">
        <f t="shared" si="4244"/>
        <v>-607.5374902807107</v>
      </c>
      <c r="AY606" s="513"/>
      <c r="AZ606" s="513"/>
      <c r="BA606" s="72"/>
      <c r="BB606" s="513">
        <v>-614.49390325832564</v>
      </c>
      <c r="BC606" s="2189"/>
      <c r="BD606" s="72"/>
      <c r="BE606" s="512"/>
      <c r="BF606" s="512"/>
      <c r="BG606" s="512">
        <f>+SUM(K606:N606)</f>
        <v>-798.37732145236714</v>
      </c>
      <c r="BH606" s="512">
        <f>+SUM(O606:R606)</f>
        <v>-1854.294504262482</v>
      </c>
      <c r="BI606" s="512"/>
      <c r="BJ606" s="2106">
        <f>+SUM(S606:V606)</f>
        <v>-1744.7054950018064</v>
      </c>
      <c r="BK606" s="512">
        <f>+SUM(W606:Z606)</f>
        <v>-1709.6999999999998</v>
      </c>
      <c r="BL606" s="512">
        <f>+SUM(AA606:AD606)</f>
        <v>-2021.0000000000002</v>
      </c>
      <c r="BM606" s="512">
        <f>+SUM(AE606:AH606)</f>
        <v>-1773.6999999999998</v>
      </c>
      <c r="BN606" s="512">
        <f>+SUM(AI606:AL606)</f>
        <v>-1558.713217218894</v>
      </c>
      <c r="BO606" s="1569">
        <f>+SUM(AM606:AP606)</f>
        <v>-1691.1350269101385</v>
      </c>
      <c r="BP606" s="512">
        <f>+SUM(AQ606:AT606)</f>
        <v>-1725.1756914789034</v>
      </c>
      <c r="BQ606" s="512">
        <f>+SUM(AU606:AX606)</f>
        <v>-1652.2270998828283</v>
      </c>
      <c r="BR606" s="513">
        <f t="shared" ref="BR606" si="4245">+BR607*BR603</f>
        <v>-1759.4193533718435</v>
      </c>
      <c r="BS606" s="513">
        <f t="shared" ref="BS606:BU606" si="4246">+BS607*BS603</f>
        <v>-1856.6748176078695</v>
      </c>
      <c r="BT606" s="513">
        <f t="shared" si="4246"/>
        <v>-1956.7701079562719</v>
      </c>
      <c r="BU606" s="513">
        <f t="shared" si="4246"/>
        <v>-2062.1093016233854</v>
      </c>
    </row>
    <row r="607" spans="2:73" s="363" customFormat="1" ht="15" hidden="1" customHeight="1">
      <c r="M607" s="370">
        <f>+M606/M603</f>
        <v>-0.30815677632462146</v>
      </c>
      <c r="N607" s="370">
        <f t="shared" ref="N607:T607" si="4247">+N606/N603</f>
        <v>-0.36263073594293205</v>
      </c>
      <c r="O607" s="370">
        <f t="shared" si="4247"/>
        <v>-0.30341289717262632</v>
      </c>
      <c r="P607" s="370">
        <f t="shared" si="4247"/>
        <v>-0.32249598660239959</v>
      </c>
      <c r="Q607" s="370">
        <f t="shared" si="4247"/>
        <v>-0.29205640684675238</v>
      </c>
      <c r="R607" s="370">
        <f t="shared" si="4247"/>
        <v>-0.35370708554805669</v>
      </c>
      <c r="S607" s="1552">
        <f t="shared" si="4247"/>
        <v>-0.27799999999999997</v>
      </c>
      <c r="T607" s="370">
        <f t="shared" si="4247"/>
        <v>-0.28204205554930839</v>
      </c>
      <c r="U607" s="370">
        <f t="shared" ref="U607:Z607" si="4248">+U606/U603</f>
        <v>-0.27386310724817625</v>
      </c>
      <c r="V607" s="370">
        <f t="shared" si="4248"/>
        <v>-0.33028805817097051</v>
      </c>
      <c r="W607" s="1552">
        <f t="shared" si="4248"/>
        <v>-0.26388659963738259</v>
      </c>
      <c r="X607" s="370">
        <f t="shared" si="4248"/>
        <v>-0.2304911591355599</v>
      </c>
      <c r="Y607" s="370">
        <f t="shared" si="4248"/>
        <v>-0.23713498622589538</v>
      </c>
      <c r="Z607" s="370">
        <f t="shared" si="4248"/>
        <v>-0.24284203231571644</v>
      </c>
      <c r="AA607" s="370">
        <f t="shared" ref="AA607:AB607" si="4249">+AA606/AA603</f>
        <v>-0.22874174507626666</v>
      </c>
      <c r="AB607" s="370">
        <f t="shared" si="4249"/>
        <v>-0.24485239394691152</v>
      </c>
      <c r="AC607" s="370">
        <f t="shared" ref="AC607:AD607" si="4250">+AC606/AC603</f>
        <v>-0.24485473798533808</v>
      </c>
      <c r="AD607" s="370">
        <f t="shared" si="4250"/>
        <v>-0.2927403092090522</v>
      </c>
      <c r="AE607" s="370">
        <f t="shared" ref="AE607:AF607" si="4251">+AE606/AE603</f>
        <v>-0.28688582042475647</v>
      </c>
      <c r="AF607" s="370">
        <f t="shared" si="4251"/>
        <v>-0.25501761284508895</v>
      </c>
      <c r="AG607" s="370">
        <f t="shared" ref="AG607:AH607" si="4252">+AG606/AG603</f>
        <v>-0.27799970409823938</v>
      </c>
      <c r="AH607" s="370">
        <f t="shared" si="4252"/>
        <v>-0.31044598249071814</v>
      </c>
      <c r="AI607" s="370">
        <f t="shared" ref="AI607:AJ607" si="4253">+AI606/AI603</f>
        <v>-0.28645789606246325</v>
      </c>
      <c r="AJ607" s="370">
        <f t="shared" si="4253"/>
        <v>-0.28327064302346405</v>
      </c>
      <c r="AK607" s="370">
        <f t="shared" ref="AK607" si="4254">+AK606/AK603</f>
        <v>-0.28429460684744506</v>
      </c>
      <c r="AL607" s="1549">
        <f t="shared" ref="AL607" si="4255">+AVERAGE(AH607:AK607)</f>
        <v>-0.29111728210602261</v>
      </c>
      <c r="AM607" s="1549">
        <f t="shared" ref="AM607" si="4256">+AVERAGE(AI607:AL607)</f>
        <v>-0.28628510700984872</v>
      </c>
      <c r="AN607" s="1549">
        <f t="shared" ref="AN607" si="4257">+AVERAGE(AJ607:AM607)</f>
        <v>-0.28624190974669511</v>
      </c>
      <c r="AO607" s="371">
        <f t="shared" ref="AO607" si="4258">+AVERAGE(AK607:AN607)</f>
        <v>-0.28698472642750283</v>
      </c>
      <c r="AP607" s="371">
        <f t="shared" ref="AP607" si="4259">+AVERAGE(AL607:AO607)</f>
        <v>-0.28765725632251726</v>
      </c>
      <c r="AQ607" s="1549">
        <f t="shared" ref="AQ607" si="4260">+AVERAGE(AM607:AP607)</f>
        <v>-0.28679224987664098</v>
      </c>
      <c r="AR607" s="371">
        <f t="shared" ref="AR607" si="4261">+AVERAGE(AN607:AQ607)</f>
        <v>-0.28691903559333909</v>
      </c>
      <c r="AS607" s="371">
        <f t="shared" ref="AS607" si="4262">+AVERAGE(AO607:AR607)</f>
        <v>-0.28708831705500004</v>
      </c>
      <c r="AT607" s="371">
        <f t="shared" ref="AT607" si="4263">+AVERAGE(AP607:AS607)</f>
        <v>-0.28711421471187437</v>
      </c>
      <c r="AU607" s="371">
        <f t="shared" ref="AU607" si="4264">+AVERAGE(AQ607:AT607)</f>
        <v>-0.28697845430921365</v>
      </c>
      <c r="AV607" s="371">
        <f t="shared" ref="AV607" si="4265">+AVERAGE(AR607:AU607)</f>
        <v>-0.28702500541735676</v>
      </c>
      <c r="AW607" s="371">
        <f t="shared" ref="AW607" si="4266">+AVERAGE(AS607:AV607)</f>
        <v>-0.28705149787336121</v>
      </c>
      <c r="AX607" s="371">
        <f t="shared" ref="AX607" si="4267">+AVERAGE(AT607:AW607)</f>
        <v>-0.28704229307795148</v>
      </c>
      <c r="AY607" s="371"/>
      <c r="AZ607" s="371"/>
      <c r="BA607" s="72"/>
      <c r="BB607" s="371">
        <v>-0.28711421471187437</v>
      </c>
      <c r="BC607" s="2189"/>
      <c r="BD607" s="72"/>
      <c r="BE607" s="370"/>
      <c r="BF607" s="370"/>
      <c r="BG607" s="370">
        <f t="shared" ref="BG607:BM607" si="4268">+BG606/BG603</f>
        <v>-0.35405784174046673</v>
      </c>
      <c r="BH607" s="370">
        <f t="shared" si="4268"/>
        <v>-0.32303423695963063</v>
      </c>
      <c r="BI607" s="370"/>
      <c r="BJ607" s="2105">
        <f t="shared" si="4268"/>
        <v>-0.2970214271141518</v>
      </c>
      <c r="BK607" s="370">
        <f t="shared" si="4268"/>
        <v>-0.24276545593956778</v>
      </c>
      <c r="BL607" s="370">
        <f t="shared" si="4268"/>
        <v>-0.25768858060896621</v>
      </c>
      <c r="BM607" s="370">
        <f t="shared" si="4268"/>
        <v>-0.28696468151887267</v>
      </c>
      <c r="BN607" s="370">
        <f t="shared" ref="BN607:BO607" si="4269">+BN606/BN603</f>
        <v>-0.28702595020512206</v>
      </c>
      <c r="BO607" s="1552">
        <f t="shared" si="4269"/>
        <v>-0.28697155196900548</v>
      </c>
      <c r="BP607" s="370">
        <f t="shared" ref="BP607:BQ607" si="4270">+BP606/BP603</f>
        <v>-0.28699718881882541</v>
      </c>
      <c r="BQ607" s="370">
        <f t="shared" si="4270"/>
        <v>-0.2870275223486109</v>
      </c>
      <c r="BR607" s="371">
        <f t="shared" ref="BR607" si="4271">+BQ607</f>
        <v>-0.2870275223486109</v>
      </c>
      <c r="BS607" s="371">
        <f t="shared" ref="BS607" si="4272">+BR607</f>
        <v>-0.2870275223486109</v>
      </c>
      <c r="BT607" s="371">
        <f t="shared" ref="BT607" si="4273">+BS607</f>
        <v>-0.2870275223486109</v>
      </c>
      <c r="BU607" s="371">
        <f t="shared" ref="BU607" si="4274">+BT607</f>
        <v>-0.2870275223486109</v>
      </c>
    </row>
    <row r="608" spans="2:73" s="363" customFormat="1" ht="15" hidden="1" customHeight="1">
      <c r="S608" s="1541"/>
      <c r="W608" s="1541"/>
      <c r="AL608" s="1541"/>
      <c r="AM608" s="1541"/>
      <c r="AN608" s="1541"/>
      <c r="AQ608" s="1541"/>
      <c r="BA608" s="72"/>
      <c r="BC608" s="2189"/>
      <c r="BD608" s="72"/>
      <c r="BJ608" s="2099"/>
      <c r="BO608" s="1541"/>
    </row>
    <row r="609" spans="1:73" s="521" customFormat="1" ht="15" hidden="1" customHeight="1">
      <c r="A609" s="520"/>
      <c r="B609" s="521" t="s">
        <v>14</v>
      </c>
      <c r="M609" s="805">
        <v>245.51621800076026</v>
      </c>
      <c r="N609" s="805">
        <v>1211.0411840025886</v>
      </c>
      <c r="O609" s="805">
        <v>807.25615440776153</v>
      </c>
      <c r="P609" s="805">
        <v>806.69075262701165</v>
      </c>
      <c r="Q609" s="805">
        <v>925.8</v>
      </c>
      <c r="R609" s="805">
        <v>1346.2</v>
      </c>
      <c r="S609" s="1925">
        <v>889.3</v>
      </c>
      <c r="T609" s="805">
        <v>867.5</v>
      </c>
      <c r="U609" s="805">
        <v>935.7</v>
      </c>
      <c r="V609" s="805">
        <v>1436.8</v>
      </c>
      <c r="W609" s="1925">
        <v>893.2</v>
      </c>
      <c r="X609" s="805">
        <v>979.2</v>
      </c>
      <c r="Y609" s="805">
        <v>1384.6</v>
      </c>
      <c r="Z609" s="805">
        <v>2075.9</v>
      </c>
      <c r="AA609" s="805">
        <v>1319.7</v>
      </c>
      <c r="AB609" s="805">
        <v>1217.5999999999999</v>
      </c>
      <c r="AC609" s="805">
        <v>1390.6</v>
      </c>
      <c r="AD609" s="805">
        <v>1893.9</v>
      </c>
      <c r="AE609" s="805">
        <v>1017.4</v>
      </c>
      <c r="AF609" s="805">
        <v>909.4</v>
      </c>
      <c r="AG609" s="805">
        <v>976</v>
      </c>
      <c r="AH609" s="805">
        <v>1504.4</v>
      </c>
      <c r="AI609" s="805">
        <v>849.9</v>
      </c>
      <c r="AJ609" s="805">
        <v>800.3</v>
      </c>
      <c r="AK609" s="805">
        <v>829.44100000000003</v>
      </c>
      <c r="AL609" s="1554">
        <f t="shared" ref="AL609" si="4275">+AL603+AL606</f>
        <v>1392.2112633760325</v>
      </c>
      <c r="AM609" s="1554">
        <f t="shared" ref="AM609:AP609" si="4276">+AM603+AM606</f>
        <v>795.12540948296373</v>
      </c>
      <c r="AN609" s="1554">
        <f t="shared" si="4276"/>
        <v>820.48034785995685</v>
      </c>
      <c r="AO609" s="522">
        <f t="shared" si="4276"/>
        <v>938.53812431436268</v>
      </c>
      <c r="AP609" s="522">
        <f t="shared" si="4276"/>
        <v>1647.7617615154122</v>
      </c>
      <c r="AQ609" s="1554">
        <f t="shared" ref="AQ609:AT609" si="4277">+AQ603+AQ606</f>
        <v>939.059082227923</v>
      </c>
      <c r="AR609" s="522">
        <f t="shared" si="4277"/>
        <v>898.8739232523485</v>
      </c>
      <c r="AS609" s="522">
        <f t="shared" si="4277"/>
        <v>922.26720526585257</v>
      </c>
      <c r="AT609" s="522">
        <f t="shared" si="4277"/>
        <v>1525.74810417758</v>
      </c>
      <c r="AU609" s="522">
        <f t="shared" ref="AU609:AX609" si="4278">+AU603+AU606</f>
        <v>850.7728949497822</v>
      </c>
      <c r="AV609" s="522">
        <f t="shared" si="4278"/>
        <v>844.34136517025013</v>
      </c>
      <c r="AW609" s="522">
        <f t="shared" si="4278"/>
        <v>899.98949902644222</v>
      </c>
      <c r="AX609" s="522">
        <f t="shared" si="4278"/>
        <v>1509.0059771160013</v>
      </c>
      <c r="AY609" s="381"/>
      <c r="AZ609" s="381"/>
      <c r="BA609" s="985"/>
      <c r="BB609" s="522">
        <v>1525.74810417758</v>
      </c>
      <c r="BC609" s="2194">
        <f>+AT609/BB609-1</f>
        <v>0</v>
      </c>
      <c r="BD609" s="985"/>
      <c r="BG609" s="521">
        <f>+SUM(K609:N609)</f>
        <v>1456.5574020033489</v>
      </c>
      <c r="BH609" s="366">
        <f>+SUM(O609:R609)</f>
        <v>3885.9469070347732</v>
      </c>
      <c r="BI609" s="366"/>
      <c r="BJ609" s="2107">
        <f>+SUM(S609:V609)</f>
        <v>4129.3</v>
      </c>
      <c r="BK609" s="521">
        <f>+SUM(W609:Z609)</f>
        <v>5332.9</v>
      </c>
      <c r="BL609" s="521">
        <f>+SUM(AA609:AD609)</f>
        <v>5821.8</v>
      </c>
      <c r="BM609" s="521">
        <f>+SUM(AE609:AH609)</f>
        <v>4407.2000000000007</v>
      </c>
      <c r="BN609" s="521">
        <f>+SUM(AI609:AL609)</f>
        <v>3871.8522633760322</v>
      </c>
      <c r="BO609" s="520">
        <f>+SUM(AM609:AP609)</f>
        <v>4201.9056431726958</v>
      </c>
      <c r="BP609" s="521">
        <f>+SUM(AQ609:AT609)</f>
        <v>4285.9483149237039</v>
      </c>
      <c r="BQ609" s="521">
        <f>+SUM(AU609:AX609)</f>
        <v>4104.109736262476</v>
      </c>
      <c r="BR609" s="522">
        <f t="shared" ref="BR609" si="4279">+BR603+BR606</f>
        <v>4370.3738419821921</v>
      </c>
      <c r="BS609" s="522">
        <f t="shared" ref="BS609:BU609" si="4280">+BS603+BS606</f>
        <v>4611.9550977938834</v>
      </c>
      <c r="BT609" s="522">
        <f t="shared" si="4280"/>
        <v>4860.5904432025318</v>
      </c>
      <c r="BU609" s="522">
        <f t="shared" si="4280"/>
        <v>5122.2515734248236</v>
      </c>
    </row>
    <row r="610" spans="1:73" s="363" customFormat="1" ht="15" hidden="1" customHeight="1">
      <c r="B610" s="363" t="s">
        <v>316</v>
      </c>
      <c r="Q610" s="516">
        <f>+Q609/M609-1</f>
        <v>2.7708303245251731</v>
      </c>
      <c r="R610" s="516">
        <f t="shared" ref="R610:Z610" si="4281">+R609/N609-1</f>
        <v>0.11160546625730827</v>
      </c>
      <c r="S610" s="1555">
        <f t="shared" si="4281"/>
        <v>0.10163297627929446</v>
      </c>
      <c r="T610" s="516">
        <f>+T609/P609-1</f>
        <v>7.538111373529599E-2</v>
      </c>
      <c r="U610" s="516">
        <f>+U609/Q609-1</f>
        <v>1.0693454309786299E-2</v>
      </c>
      <c r="V610" s="516">
        <f>+V609/R609-1</f>
        <v>6.730054969543886E-2</v>
      </c>
      <c r="W610" s="1555">
        <f>+W609/S609-1</f>
        <v>4.3854717193299031E-3</v>
      </c>
      <c r="X610" s="516">
        <f>+X609/T609-1</f>
        <v>0.12876080691642655</v>
      </c>
      <c r="Y610" s="516">
        <f t="shared" si="4281"/>
        <v>0.4797477824088916</v>
      </c>
      <c r="Z610" s="516">
        <f t="shared" si="4281"/>
        <v>0.44480790645879753</v>
      </c>
      <c r="AA610" s="516">
        <f>+AA609/W609-1</f>
        <v>0.47749664128974478</v>
      </c>
      <c r="AB610" s="516">
        <f>+AB609/X609-1</f>
        <v>0.2434640522875815</v>
      </c>
      <c r="AC610" s="516">
        <f>+AC609/Y609-1</f>
        <v>4.3333814820165628E-3</v>
      </c>
      <c r="AD610" s="516">
        <f>+AD609/Z609-1</f>
        <v>-8.7672816609663307E-2</v>
      </c>
      <c r="AE610" s="516">
        <f t="shared" ref="AE610:AH610" si="4282">+AE609/AA609-1</f>
        <v>-0.22906721224520732</v>
      </c>
      <c r="AF610" s="516">
        <f t="shared" si="4282"/>
        <v>-0.25312089356110379</v>
      </c>
      <c r="AG610" s="516">
        <f t="shared" si="4282"/>
        <v>-0.29814468574715947</v>
      </c>
      <c r="AH610" s="516">
        <f t="shared" si="4282"/>
        <v>-0.20566027773377682</v>
      </c>
      <c r="AI610" s="516">
        <f t="shared" ref="AI610" si="4283">+AI609/AE609-1</f>
        <v>-0.16463534499705135</v>
      </c>
      <c r="AJ610" s="516">
        <f t="shared" ref="AJ610" si="4284">+AJ609/AF609-1</f>
        <v>-0.11996921046844078</v>
      </c>
      <c r="AK610" s="516">
        <f t="shared" ref="AK610" si="4285">+AK609/AG609-1</f>
        <v>-0.15016290983606551</v>
      </c>
      <c r="AL610" s="1555">
        <f t="shared" ref="AL610" si="4286">+AL609/AH609-1</f>
        <v>-7.4573741441084529E-2</v>
      </c>
      <c r="AM610" s="1555">
        <f t="shared" ref="AM610" si="4287">+AM609/AI609-1</f>
        <v>-6.4448276876145738E-2</v>
      </c>
      <c r="AN610" s="1555">
        <f t="shared" ref="AN610" si="4288">+AN609/AJ609-1</f>
        <v>2.5215978832883845E-2</v>
      </c>
      <c r="AO610" s="516">
        <f t="shared" ref="AO610" si="4289">+AO609/AK609-1</f>
        <v>0.13153090372234155</v>
      </c>
      <c r="AP610" s="516">
        <f t="shared" ref="AP610" si="4290">+AP609/AL609-1</f>
        <v>0.1835572695480745</v>
      </c>
      <c r="AQ610" s="1555">
        <f t="shared" ref="AQ610" si="4291">+AQ609/AM609-1</f>
        <v>0.18102008944545389</v>
      </c>
      <c r="AR610" s="516">
        <f t="shared" ref="AR610" si="4292">+AR609/AN609-1</f>
        <v>9.5545951340411994E-2</v>
      </c>
      <c r="AS610" s="516">
        <f t="shared" ref="AS610" si="4293">+AS609/AO609-1</f>
        <v>-1.733644976904547E-2</v>
      </c>
      <c r="AT610" s="516">
        <f t="shared" ref="AT610" si="4294">+AT609/AP609-1</f>
        <v>-7.4048117991049156E-2</v>
      </c>
      <c r="AU610" s="516">
        <f t="shared" ref="AU610" si="4295">+AU609/AQ609-1</f>
        <v>-9.4015583203435171E-2</v>
      </c>
      <c r="AV610" s="516">
        <f t="shared" ref="AV610" si="4296">+AV609/AR609-1</f>
        <v>-6.066763833217681E-2</v>
      </c>
      <c r="AW610" s="516">
        <f t="shared" ref="AW610" si="4297">+AW609/AS609-1</f>
        <v>-2.4155370712751978E-2</v>
      </c>
      <c r="AX610" s="516">
        <f t="shared" ref="AX610" si="4298">+AX609/AT609-1</f>
        <v>-1.0973061028709652E-2</v>
      </c>
      <c r="AY610" s="516"/>
      <c r="AZ610" s="516"/>
      <c r="BA610" s="72"/>
      <c r="BB610" s="516">
        <v>-7.4048117991049156E-2</v>
      </c>
      <c r="BC610" s="2189"/>
      <c r="BD610" s="72"/>
      <c r="BE610" s="516"/>
      <c r="BF610" s="516"/>
      <c r="BG610" s="516"/>
      <c r="BH610" s="516">
        <f t="shared" ref="BH610:BQ610" si="4299">+BH609/BG609-1</f>
        <v>1.6678982247387175</v>
      </c>
      <c r="BI610" s="516"/>
      <c r="BJ610" s="2109">
        <f>+BJ609/BH609-1</f>
        <v>6.262388519119555E-2</v>
      </c>
      <c r="BK610" s="516">
        <f>+BK609/BJ609-1</f>
        <v>0.29147797447509238</v>
      </c>
      <c r="BL610" s="516">
        <f t="shared" si="4299"/>
        <v>9.1676198691143851E-2</v>
      </c>
      <c r="BM610" s="516">
        <f t="shared" si="4299"/>
        <v>-0.242983269779106</v>
      </c>
      <c r="BN610" s="516">
        <f t="shared" si="4299"/>
        <v>-0.12147116913776734</v>
      </c>
      <c r="BO610" s="1555">
        <f t="shared" si="4299"/>
        <v>8.5244311338696699E-2</v>
      </c>
      <c r="BP610" s="516">
        <f t="shared" si="4299"/>
        <v>2.000108495714592E-2</v>
      </c>
      <c r="BQ610" s="516">
        <f t="shared" si="4299"/>
        <v>-4.242668490146384E-2</v>
      </c>
      <c r="BR610" s="516">
        <f t="shared" ref="BR610" si="4300">+BR609/BQ609-1</f>
        <v>6.4877433312052979E-2</v>
      </c>
      <c r="BS610" s="516">
        <f t="shared" ref="BS610" si="4301">+BS609/BR609-1</f>
        <v>5.5277023098353917E-2</v>
      </c>
      <c r="BT610" s="516">
        <f t="shared" ref="BT610" si="4302">+BT609/BS609-1</f>
        <v>5.3911050766210389E-2</v>
      </c>
      <c r="BU610" s="516">
        <f t="shared" ref="BU610" si="4303">+BU609/BT609-1</f>
        <v>5.3833198513612901E-2</v>
      </c>
    </row>
    <row r="611" spans="1:73" s="363" customFormat="1" ht="15" hidden="1" customHeight="1">
      <c r="B611" s="363" t="s">
        <v>331</v>
      </c>
      <c r="S611" s="1541"/>
      <c r="W611" s="1541"/>
      <c r="AL611" s="1541"/>
      <c r="AM611" s="1541"/>
      <c r="AN611" s="1541"/>
      <c r="AQ611" s="1541"/>
      <c r="BA611" s="72"/>
      <c r="BC611" s="2189"/>
      <c r="BD611" s="72"/>
      <c r="BJ611" s="2099"/>
      <c r="BK611" s="854"/>
      <c r="BL611" s="854">
        <f>+BL609/BL57</f>
        <v>0.14494853677118658</v>
      </c>
      <c r="BO611" s="1541"/>
    </row>
    <row r="612" spans="1:73" s="363" customFormat="1" ht="15" hidden="1" customHeight="1">
      <c r="M612" s="519"/>
      <c r="N612" s="519"/>
      <c r="O612" s="519"/>
      <c r="P612" s="519"/>
      <c r="Q612" s="519"/>
      <c r="R612" s="519"/>
      <c r="S612" s="1556"/>
      <c r="T612" s="519"/>
      <c r="U612" s="519"/>
      <c r="V612" s="519"/>
      <c r="W612" s="1556"/>
      <c r="X612" s="519"/>
      <c r="Y612" s="519"/>
      <c r="Z612" s="519"/>
      <c r="AA612" s="519"/>
      <c r="AB612" s="519"/>
      <c r="AC612" s="519"/>
      <c r="AD612" s="519"/>
      <c r="AE612" s="519"/>
      <c r="AF612" s="519"/>
      <c r="AG612" s="519"/>
      <c r="AH612" s="519"/>
      <c r="AI612" s="519"/>
      <c r="AJ612" s="519"/>
      <c r="AK612" s="519"/>
      <c r="AL612" s="1556"/>
      <c r="AM612" s="1556"/>
      <c r="AN612" s="1556"/>
      <c r="AO612" s="519"/>
      <c r="AP612" s="519"/>
      <c r="AQ612" s="1556"/>
      <c r="AR612" s="519"/>
      <c r="AS612" s="519"/>
      <c r="AT612" s="519"/>
      <c r="AU612" s="519"/>
      <c r="AV612" s="519"/>
      <c r="AW612" s="519"/>
      <c r="AX612" s="519"/>
      <c r="AY612" s="519"/>
      <c r="AZ612" s="519"/>
      <c r="BA612" s="72"/>
      <c r="BB612" s="519"/>
      <c r="BC612" s="2189"/>
      <c r="BD612" s="72"/>
      <c r="BE612" s="519"/>
      <c r="BF612" s="519"/>
      <c r="BG612" s="519"/>
      <c r="BH612" s="519"/>
      <c r="BI612" s="519"/>
      <c r="BJ612" s="2110"/>
      <c r="BK612" s="519"/>
      <c r="BL612" s="519"/>
      <c r="BM612" s="519"/>
      <c r="BN612" s="519"/>
      <c r="BO612" s="1556"/>
      <c r="BP612" s="519"/>
      <c r="BQ612" s="519"/>
      <c r="BR612" s="519"/>
      <c r="BS612" s="519"/>
      <c r="BT612" s="519"/>
      <c r="BU612" s="519"/>
    </row>
    <row r="613" spans="1:73" s="517" customFormat="1" ht="15" hidden="1" customHeight="1">
      <c r="B613" s="517" t="s">
        <v>275</v>
      </c>
      <c r="M613" s="655">
        <v>-59.609499143499647</v>
      </c>
      <c r="N613" s="655">
        <v>-310.91844967180259</v>
      </c>
      <c r="O613" s="655">
        <v>-193.62695165475463</v>
      </c>
      <c r="P613" s="655">
        <v>-188.87294817708027</v>
      </c>
      <c r="Q613" s="655">
        <v>-223.69999999999993</v>
      </c>
      <c r="R613" s="655">
        <v>-337.20000000000005</v>
      </c>
      <c r="S613" s="1926">
        <v>-210.79999999999995</v>
      </c>
      <c r="T613" s="655">
        <v>-205.20000000000005</v>
      </c>
      <c r="U613" s="655">
        <f t="shared" ref="U613:AD613" si="4304">+U615-U609</f>
        <v>-222.90000000000009</v>
      </c>
      <c r="V613" s="655">
        <f t="shared" si="4304"/>
        <v>-330.89999999999986</v>
      </c>
      <c r="W613" s="1926">
        <f t="shared" si="4304"/>
        <v>-201.20000000000005</v>
      </c>
      <c r="X613" s="655">
        <f t="shared" si="4304"/>
        <v>-199</v>
      </c>
      <c r="Y613" s="655">
        <f t="shared" si="4304"/>
        <v>-285</v>
      </c>
      <c r="Z613" s="655">
        <f t="shared" ref="Z613" si="4305">+Z615-Z609</f>
        <v>-471.70000000000005</v>
      </c>
      <c r="AA613" s="655">
        <f t="shared" si="4304"/>
        <v>-279</v>
      </c>
      <c r="AB613" s="655">
        <f t="shared" si="4304"/>
        <v>-244.09999999999991</v>
      </c>
      <c r="AC613" s="655">
        <f t="shared" si="4304"/>
        <v>-309.5</v>
      </c>
      <c r="AD613" s="655">
        <f t="shared" si="4304"/>
        <v>-404.10000000000014</v>
      </c>
      <c r="AE613" s="655">
        <f t="shared" ref="AE613:AH613" si="4306">+AE615-AE609</f>
        <v>-223.19999999999993</v>
      </c>
      <c r="AF613" s="655">
        <f t="shared" si="4306"/>
        <v>-204.5</v>
      </c>
      <c r="AG613" s="655">
        <f t="shared" si="4306"/>
        <v>-231</v>
      </c>
      <c r="AH613" s="655">
        <f t="shared" si="4306"/>
        <v>-373.80000000000018</v>
      </c>
      <c r="AI613" s="655">
        <f t="shared" ref="AI613:AL613" si="4307">+AI615-AI609</f>
        <v>-181.69999999999993</v>
      </c>
      <c r="AJ613" s="655">
        <f t="shared" si="4307"/>
        <v>-177.5</v>
      </c>
      <c r="AK613" s="655">
        <f t="shared" si="4307"/>
        <v>-194.37599999999998</v>
      </c>
      <c r="AL613" s="1557">
        <f t="shared" si="4307"/>
        <v>-304.15799754804175</v>
      </c>
      <c r="AM613" s="1557">
        <f t="shared" ref="AM613:AP613" si="4308">+AM615-AM609</f>
        <v>-162.0384939967746</v>
      </c>
      <c r="AN613" s="1557">
        <f t="shared" si="4308"/>
        <v>-173.77103276423725</v>
      </c>
      <c r="AO613" s="656">
        <f t="shared" si="4308"/>
        <v>-210.5570696987902</v>
      </c>
      <c r="AP613" s="656">
        <f t="shared" si="4308"/>
        <v>-343.51079147401606</v>
      </c>
      <c r="AQ613" s="1557">
        <f t="shared" ref="AQ613:AT613" si="4309">+AQ615-AQ609</f>
        <v>-181.98012585139816</v>
      </c>
      <c r="AR613" s="656">
        <f t="shared" si="4309"/>
        <v>-181.38541217257875</v>
      </c>
      <c r="AS613" s="656">
        <f t="shared" si="4309"/>
        <v>-197.68408558378121</v>
      </c>
      <c r="AT613" s="656">
        <f t="shared" si="4309"/>
        <v>-302.81698281397371</v>
      </c>
      <c r="AU613" s="656">
        <f t="shared" ref="AU613:AX613" si="4310">+AU615-AU609</f>
        <v>-156.36342923854659</v>
      </c>
      <c r="AV613" s="656">
        <f t="shared" si="4310"/>
        <v>-161.93777393645735</v>
      </c>
      <c r="AW613" s="656">
        <f t="shared" si="4310"/>
        <v>-183.90905822222908</v>
      </c>
      <c r="AX613" s="656">
        <f t="shared" si="4310"/>
        <v>-284.40409380986625</v>
      </c>
      <c r="AY613" s="656"/>
      <c r="AZ613" s="656"/>
      <c r="BA613" s="988"/>
      <c r="BB613" s="656">
        <v>-302.81698281397371</v>
      </c>
      <c r="BC613" s="2188"/>
      <c r="BD613" s="988"/>
      <c r="BG613" s="655">
        <f>+SUM(K613:N613)</f>
        <v>-370.52794881530224</v>
      </c>
      <c r="BH613" s="655">
        <f>+SUM(O613:R613)</f>
        <v>-943.39989983183489</v>
      </c>
      <c r="BI613" s="655"/>
      <c r="BJ613" s="2111">
        <f>+SUM(S613:V613)</f>
        <v>-969.8</v>
      </c>
      <c r="BK613" s="655">
        <f>+SUM(W613:Z613)</f>
        <v>-1156.9000000000001</v>
      </c>
      <c r="BL613" s="655">
        <f>+SUM(AA613:AD613)</f>
        <v>-1236.7</v>
      </c>
      <c r="BM613" s="655">
        <f>+SUM(AE613:AH613)</f>
        <v>-1032.5</v>
      </c>
      <c r="BN613" s="655">
        <f>+SUM(AI613:AL613)</f>
        <v>-857.73399754804166</v>
      </c>
      <c r="BO613" s="1926">
        <f>+SUM(AM613:AP613)</f>
        <v>-889.87738793381811</v>
      </c>
      <c r="BP613" s="655">
        <f>+SUM(AQ613:AT613)</f>
        <v>-863.86660642173183</v>
      </c>
      <c r="BQ613" s="655">
        <f>+SUM(AU613:AX613)</f>
        <v>-786.61435520709927</v>
      </c>
      <c r="BR613" s="656">
        <f t="shared" ref="BR613" si="4311">+BR615-BR609</f>
        <v>-837.64787557935097</v>
      </c>
      <c r="BS613" s="656">
        <f t="shared" ref="BS613:BU613" si="4312">+BS615-BS609</f>
        <v>-883.95055654603811</v>
      </c>
      <c r="BT613" s="656">
        <f t="shared" si="4312"/>
        <v>-931.60525987481151</v>
      </c>
      <c r="BU613" s="656">
        <f t="shared" si="4312"/>
        <v>-981.75655076597832</v>
      </c>
    </row>
    <row r="614" spans="1:73" s="363" customFormat="1" ht="15" hidden="1" customHeight="1">
      <c r="B614" s="363" t="s">
        <v>316</v>
      </c>
      <c r="Q614" s="516">
        <f t="shared" ref="Q614:AD614" si="4313">+Q613/M613-1</f>
        <v>2.7527575841810137</v>
      </c>
      <c r="R614" s="516">
        <f t="shared" si="4313"/>
        <v>8.4528757801087595E-2</v>
      </c>
      <c r="S614" s="1555">
        <f t="shared" si="4313"/>
        <v>8.8691415107673643E-2</v>
      </c>
      <c r="T614" s="516">
        <f t="shared" si="4313"/>
        <v>8.6444628415563995E-2</v>
      </c>
      <c r="U614" s="516">
        <f t="shared" si="4313"/>
        <v>-3.5762181493064205E-3</v>
      </c>
      <c r="V614" s="516">
        <f t="shared" si="4313"/>
        <v>-1.8683274021352836E-2</v>
      </c>
      <c r="W614" s="1555">
        <f t="shared" si="4313"/>
        <v>-4.5540796963946417E-2</v>
      </c>
      <c r="X614" s="516">
        <f t="shared" si="4313"/>
        <v>-3.0214424951267249E-2</v>
      </c>
      <c r="Y614" s="516">
        <f t="shared" si="4313"/>
        <v>0.27860026917900349</v>
      </c>
      <c r="Z614" s="516">
        <f t="shared" si="4313"/>
        <v>0.42550619522514421</v>
      </c>
      <c r="AA614" s="516">
        <f t="shared" si="4313"/>
        <v>0.38667992047713695</v>
      </c>
      <c r="AB614" s="516">
        <f t="shared" si="4313"/>
        <v>0.22663316582914517</v>
      </c>
      <c r="AC614" s="516">
        <f t="shared" si="4313"/>
        <v>8.59649122807018E-2</v>
      </c>
      <c r="AD614" s="516">
        <f t="shared" si="4313"/>
        <v>-0.14331142675429276</v>
      </c>
      <c r="AE614" s="516">
        <f t="shared" ref="AE614:AF614" si="4314">+AE613/AA613-1</f>
        <v>-0.20000000000000029</v>
      </c>
      <c r="AF614" s="516">
        <f t="shared" si="4314"/>
        <v>-0.16222859483818075</v>
      </c>
      <c r="AG614" s="516">
        <f t="shared" ref="AG614" si="4315">+AG613/AC613-1</f>
        <v>-0.25363489499192249</v>
      </c>
      <c r="AH614" s="516">
        <f t="shared" ref="AH614" si="4316">+AH613/AD613-1</f>
        <v>-7.4981440237564811E-2</v>
      </c>
      <c r="AI614" s="516">
        <f t="shared" ref="AI614" si="4317">+AI613/AE613-1</f>
        <v>-0.18593189964157708</v>
      </c>
      <c r="AJ614" s="516">
        <f t="shared" ref="AJ614" si="4318">+AJ613/AF613-1</f>
        <v>-0.13202933985330079</v>
      </c>
      <c r="AK614" s="516">
        <f t="shared" ref="AK614" si="4319">+AK613/AG613-1</f>
        <v>-0.15854545454545466</v>
      </c>
      <c r="AL614" s="1555">
        <f t="shared" ref="AL614" si="4320">+AL613/AH613-1</f>
        <v>-0.18630819275537291</v>
      </c>
      <c r="AM614" s="1555">
        <f t="shared" ref="AM614" si="4321">+AM613/AI613-1</f>
        <v>-0.10820861861984221</v>
      </c>
      <c r="AN614" s="1555">
        <f t="shared" ref="AN614" si="4322">+AN613/AJ613-1</f>
        <v>-2.1008266116973262E-2</v>
      </c>
      <c r="AO614" s="516">
        <f t="shared" ref="AO614" si="4323">+AO613/AK613-1</f>
        <v>8.3246232553351396E-2</v>
      </c>
      <c r="AP614" s="516">
        <f t="shared" ref="AP614" si="4324">+AP613/AL613-1</f>
        <v>0.1293827360885309</v>
      </c>
      <c r="AQ614" s="1555">
        <f t="shared" ref="AQ614" si="4325">+AQ613/AM613-1</f>
        <v>0.12306725002653063</v>
      </c>
      <c r="AR614" s="516">
        <f t="shared" ref="AR614" si="4326">+AR613/AN613-1</f>
        <v>4.3818462071709474E-2</v>
      </c>
      <c r="AS614" s="516">
        <f t="shared" ref="AS614" si="4327">+AS613/AO613-1</f>
        <v>-6.1137743479353523E-2</v>
      </c>
      <c r="AT614" s="516">
        <f t="shared" ref="AT614" si="4328">+AT613/AP613-1</f>
        <v>-0.11846442577662231</v>
      </c>
      <c r="AU614" s="516">
        <f t="shared" ref="AU614" si="4329">+AU613/AQ613-1</f>
        <v>-0.14076645179248704</v>
      </c>
      <c r="AV614" s="516">
        <f t="shared" ref="AV614" si="4330">+AV613/AR613-1</f>
        <v>-0.10721721225088376</v>
      </c>
      <c r="AW614" s="516">
        <f t="shared" ref="AW614" si="4331">+AW613/AS613-1</f>
        <v>-6.9682024837118717E-2</v>
      </c>
      <c r="AX614" s="516">
        <f t="shared" ref="AX614" si="4332">+AX613/AT613-1</f>
        <v>-6.0805338039507717E-2</v>
      </c>
      <c r="AY614" s="516"/>
      <c r="AZ614" s="516"/>
      <c r="BA614" s="72"/>
      <c r="BB614" s="516">
        <v>-0.11846442577662231</v>
      </c>
      <c r="BC614" s="2189"/>
      <c r="BD614" s="72"/>
      <c r="BE614" s="516"/>
      <c r="BF614" s="516"/>
      <c r="BG614" s="516"/>
      <c r="BH614" s="516">
        <f t="shared" ref="BH614:BQ614" si="4333">+BH613/BG613-1</f>
        <v>1.5460964627585847</v>
      </c>
      <c r="BI614" s="516"/>
      <c r="BJ614" s="2109">
        <f>+BJ613/BH613-1</f>
        <v>2.7983997213558043E-2</v>
      </c>
      <c r="BK614" s="516">
        <f>+BK613/BJ613-1</f>
        <v>0.19292637657248934</v>
      </c>
      <c r="BL614" s="516">
        <f t="shared" si="4333"/>
        <v>6.89774397095686E-2</v>
      </c>
      <c r="BM614" s="516">
        <f t="shared" si="4333"/>
        <v>-0.16511684321177333</v>
      </c>
      <c r="BN614" s="516">
        <f t="shared" si="4333"/>
        <v>-0.16926489341594031</v>
      </c>
      <c r="BO614" s="1555">
        <f t="shared" si="4333"/>
        <v>3.7474777119320235E-2</v>
      </c>
      <c r="BP614" s="516">
        <f t="shared" si="4333"/>
        <v>-2.9229624063692672E-2</v>
      </c>
      <c r="BQ614" s="516">
        <f t="shared" si="4333"/>
        <v>-8.9426134359589682E-2</v>
      </c>
      <c r="BR614" s="516">
        <f t="shared" ref="BR614" si="4334">+BR613/BQ613-1</f>
        <v>6.4877433312052535E-2</v>
      </c>
      <c r="BS614" s="516">
        <f t="shared" ref="BS614" si="4335">+BS613/BR613-1</f>
        <v>5.5277023098354139E-2</v>
      </c>
      <c r="BT614" s="516">
        <f t="shared" ref="BT614" si="4336">+BT613/BS613-1</f>
        <v>5.3911050766210389E-2</v>
      </c>
      <c r="BU614" s="516">
        <f t="shared" ref="BU614" si="4337">+BU613/BT613-1</f>
        <v>5.3833198513613123E-2</v>
      </c>
    </row>
    <row r="615" spans="1:73" s="1203" customFormat="1" ht="15" hidden="1" customHeight="1">
      <c r="B615" s="1203" t="s">
        <v>15</v>
      </c>
      <c r="M615" s="1204">
        <f t="shared" ref="M615:T615" si="4338">+M609+M613</f>
        <v>185.90671885726061</v>
      </c>
      <c r="N615" s="1204">
        <f t="shared" si="4338"/>
        <v>900.12273433078599</v>
      </c>
      <c r="O615" s="1204">
        <f t="shared" si="4338"/>
        <v>613.62920275300689</v>
      </c>
      <c r="P615" s="1204">
        <f t="shared" si="4338"/>
        <v>617.81780444993137</v>
      </c>
      <c r="Q615" s="1204">
        <f t="shared" si="4338"/>
        <v>702.1</v>
      </c>
      <c r="R615" s="1204">
        <f t="shared" si="4338"/>
        <v>1009</v>
      </c>
      <c r="S615" s="1927">
        <f t="shared" si="4338"/>
        <v>678.5</v>
      </c>
      <c r="T615" s="1204">
        <f t="shared" si="4338"/>
        <v>662.3</v>
      </c>
      <c r="U615" s="1204">
        <v>712.8</v>
      </c>
      <c r="V615" s="1204">
        <v>1105.9000000000001</v>
      </c>
      <c r="W615" s="1927">
        <v>692</v>
      </c>
      <c r="X615" s="1204">
        <v>780.2</v>
      </c>
      <c r="Y615" s="1204">
        <v>1099.5999999999999</v>
      </c>
      <c r="Z615" s="1204">
        <v>1604.2</v>
      </c>
      <c r="AA615" s="1204">
        <v>1040.7</v>
      </c>
      <c r="AB615" s="1204">
        <v>973.5</v>
      </c>
      <c r="AC615" s="1204">
        <v>1081.0999999999999</v>
      </c>
      <c r="AD615" s="1204">
        <v>1489.8</v>
      </c>
      <c r="AE615" s="1204">
        <v>794.2</v>
      </c>
      <c r="AF615" s="1204">
        <v>704.9</v>
      </c>
      <c r="AG615" s="1204">
        <v>745</v>
      </c>
      <c r="AH615" s="1204">
        <v>1130.5999999999999</v>
      </c>
      <c r="AI615" s="1204">
        <v>668.2</v>
      </c>
      <c r="AJ615" s="1204">
        <v>622.79999999999995</v>
      </c>
      <c r="AK615" s="1204">
        <v>635.06500000000005</v>
      </c>
      <c r="AL615" s="1558">
        <f t="shared" ref="AL615" si="4339">+AL617*AL$609</f>
        <v>1088.0532658279908</v>
      </c>
      <c r="AM615" s="1558">
        <f t="shared" ref="AM615:AP615" si="4340">+AM617*AM$609</f>
        <v>633.08691548618913</v>
      </c>
      <c r="AN615" s="1558">
        <f t="shared" si="4340"/>
        <v>646.7093150957196</v>
      </c>
      <c r="AO615" s="1205">
        <f t="shared" si="4340"/>
        <v>727.98105461557248</v>
      </c>
      <c r="AP615" s="1205">
        <f t="shared" si="4340"/>
        <v>1304.2509700413962</v>
      </c>
      <c r="AQ615" s="1558">
        <f t="shared" ref="AQ615:AT615" si="4341">+AQ617*AQ$609</f>
        <v>757.07895637652484</v>
      </c>
      <c r="AR615" s="1205">
        <f t="shared" si="4341"/>
        <v>717.48851107976975</v>
      </c>
      <c r="AS615" s="1205">
        <f t="shared" si="4341"/>
        <v>724.58311968207136</v>
      </c>
      <c r="AT615" s="1205">
        <f t="shared" si="4341"/>
        <v>1222.9311213636063</v>
      </c>
      <c r="AU615" s="1205">
        <f t="shared" ref="AU615:AX615" si="4342">+AU617*AU$609</f>
        <v>694.40946571123561</v>
      </c>
      <c r="AV615" s="1205">
        <f t="shared" si="4342"/>
        <v>682.40359123379278</v>
      </c>
      <c r="AW615" s="1205">
        <f t="shared" si="4342"/>
        <v>716.08044080421314</v>
      </c>
      <c r="AX615" s="1205">
        <f t="shared" si="4342"/>
        <v>1224.6018833061351</v>
      </c>
      <c r="AY615" s="1205"/>
      <c r="AZ615" s="1205"/>
      <c r="BA615" s="2264"/>
      <c r="BB615" s="1205">
        <v>1222.9311213636063</v>
      </c>
      <c r="BC615" s="2197">
        <f>+AT615/BB615-1</f>
        <v>0</v>
      </c>
      <c r="BD615" s="2264"/>
      <c r="BG615" s="1203">
        <f>+SUM(K615:N615)</f>
        <v>1086.0294531880465</v>
      </c>
      <c r="BH615" s="1203">
        <f>+SUM(O615:R615)</f>
        <v>2942.5470072029384</v>
      </c>
      <c r="BJ615" s="2112">
        <f>+SUM(S615:V615)</f>
        <v>3159.5</v>
      </c>
      <c r="BK615" s="1203">
        <f>+SUM(W615:Z615)</f>
        <v>4176</v>
      </c>
      <c r="BL615" s="1203">
        <f>+SUM(AA615:AD615)</f>
        <v>4585.1000000000004</v>
      </c>
      <c r="BM615" s="1203">
        <f>+SUM(AE615:AH615)</f>
        <v>3374.7</v>
      </c>
      <c r="BN615" s="1203">
        <f>+SUM(AI615:AL615)</f>
        <v>3014.1182658279909</v>
      </c>
      <c r="BO615" s="2496">
        <f>+SUM(AM615:AP615)</f>
        <v>3312.0282552388771</v>
      </c>
      <c r="BP615" s="1203">
        <f>+SUM(AQ615:AT615)</f>
        <v>3422.0817085019726</v>
      </c>
      <c r="BQ615" s="1203">
        <f>+SUM(AU615:AX615)</f>
        <v>3317.495381055377</v>
      </c>
      <c r="BR615" s="1205">
        <f>+BR617*BR$609</f>
        <v>3532.7259664028411</v>
      </c>
      <c r="BS615" s="1205">
        <f t="shared" ref="BS615:BU615" si="4343">+BS617*BS$609</f>
        <v>3728.0045412478453</v>
      </c>
      <c r="BT615" s="1205">
        <f t="shared" si="4343"/>
        <v>3928.9851833277203</v>
      </c>
      <c r="BU615" s="1205">
        <f t="shared" si="4343"/>
        <v>4140.4950226588453</v>
      </c>
    </row>
    <row r="616" spans="1:73" s="363" customFormat="1" ht="15" hidden="1" customHeight="1">
      <c r="B616" s="363" t="s">
        <v>316</v>
      </c>
      <c r="M616" s="363" t="str">
        <f>IF(ISNUMBER((M615/I615-1)),IF(I615=0,"NMF",IF(OR(I615*M615&lt;0,M615/I615-1&gt;10),"NMF",M615/I615-1)),"")</f>
        <v/>
      </c>
      <c r="N616" s="363" t="str">
        <f>IF(ISNUMBER((N615/J615-1)),IF(J615=0,"NMF",IF(OR(J615*N615&lt;0,N615/J615-1&gt;10),"NMF",N615/J615-1)),"")</f>
        <v/>
      </c>
      <c r="O616" s="363" t="str">
        <f>IF(ISNUMBER((O615/K615-1)),IF(K615=0,"NMF",IF(OR(K615*O615&lt;0,O615/K615-1&gt;10),"NMF",O615/K615-1)),"")</f>
        <v/>
      </c>
      <c r="P616" s="363" t="str">
        <f>IF(ISNUMBER((P615/L615-1)),IF(L615=0,"NMF",IF(OR(L615*P615&lt;0,P615/L615-1&gt;10),"NMF",P615/L615-1)),"")</f>
        <v/>
      </c>
      <c r="Q616" s="516">
        <f t="shared" ref="Q616:AF616" si="4344">+Q615/M615-1</f>
        <v>2.7766252038425421</v>
      </c>
      <c r="R616" s="516">
        <f t="shared" si="4344"/>
        <v>0.12095824437781921</v>
      </c>
      <c r="S616" s="1555">
        <f t="shared" si="4344"/>
        <v>0.10571660696061169</v>
      </c>
      <c r="T616" s="516">
        <f t="shared" si="4344"/>
        <v>7.1998889040876479E-2</v>
      </c>
      <c r="U616" s="516">
        <f t="shared" si="4344"/>
        <v>1.523999430280587E-2</v>
      </c>
      <c r="V616" s="516">
        <f t="shared" si="4344"/>
        <v>9.6035678889990095E-2</v>
      </c>
      <c r="W616" s="1555">
        <f t="shared" si="4344"/>
        <v>1.9896831245394209E-2</v>
      </c>
      <c r="X616" s="516">
        <f t="shared" si="4344"/>
        <v>0.17801600483164748</v>
      </c>
      <c r="Y616" s="516">
        <f t="shared" si="4344"/>
        <v>0.54264870931537601</v>
      </c>
      <c r="Z616" s="516">
        <f t="shared" si="4344"/>
        <v>0.45058323537390343</v>
      </c>
      <c r="AA616" s="516">
        <f t="shared" si="4344"/>
        <v>0.50390173410404637</v>
      </c>
      <c r="AB616" s="516">
        <f t="shared" si="4344"/>
        <v>0.24775698538836188</v>
      </c>
      <c r="AC616" s="516">
        <f t="shared" si="4344"/>
        <v>-1.6824299745361926E-2</v>
      </c>
      <c r="AD616" s="516">
        <f t="shared" si="4344"/>
        <v>-7.1312803889789333E-2</v>
      </c>
      <c r="AE616" s="516">
        <f t="shared" si="4344"/>
        <v>-0.2368598058998751</v>
      </c>
      <c r="AF616" s="516">
        <f t="shared" si="4344"/>
        <v>-0.27591165896250647</v>
      </c>
      <c r="AG616" s="516">
        <f t="shared" ref="AG616:AK616" si="4345">+AG615/AC615-1</f>
        <v>-0.31088705947645912</v>
      </c>
      <c r="AH616" s="516">
        <f t="shared" si="4345"/>
        <v>-0.24110618875016787</v>
      </c>
      <c r="AI616" s="516">
        <f t="shared" si="4345"/>
        <v>-0.15865021405187607</v>
      </c>
      <c r="AJ616" s="516">
        <f t="shared" si="4345"/>
        <v>-0.11647042133635976</v>
      </c>
      <c r="AK616" s="516">
        <f t="shared" si="4345"/>
        <v>-0.14756375838926172</v>
      </c>
      <c r="AL616" s="1555">
        <f t="shared" ref="AL616" si="4346">+AL615/AH615-1</f>
        <v>-3.7631995552811937E-2</v>
      </c>
      <c r="AM616" s="1555">
        <f t="shared" ref="AM616" si="4347">+AM615/AI615-1</f>
        <v>-5.2548764612108556E-2</v>
      </c>
      <c r="AN616" s="1555">
        <f t="shared" ref="AN616" si="4348">+AN615/AJ615-1</f>
        <v>3.8390037083686046E-2</v>
      </c>
      <c r="AO616" s="516">
        <f t="shared" ref="AO616" si="4349">+AO615/AK615-1</f>
        <v>0.14630951889266841</v>
      </c>
      <c r="AP616" s="516">
        <f t="shared" ref="AP616" si="4350">+AP615/AL615-1</f>
        <v>0.19870139726007108</v>
      </c>
      <c r="AQ616" s="1555">
        <f t="shared" ref="AQ616" si="4351">+AQ615/AM615-1</f>
        <v>0.19585310935563105</v>
      </c>
      <c r="AR616" s="516">
        <f t="shared" ref="AR616" si="4352">+AR615/AN615-1</f>
        <v>0.10944514688732165</v>
      </c>
      <c r="AS616" s="516">
        <f t="shared" ref="AS616" si="4353">+AS615/AO615-1</f>
        <v>-4.6676145099620037E-3</v>
      </c>
      <c r="AT616" s="516">
        <f t="shared" ref="AT616" si="4354">+AT615/AP615-1</f>
        <v>-6.2349847188696184E-2</v>
      </c>
      <c r="AU616" s="516">
        <f t="shared" ref="AU616" si="4355">+AU615/AQ615-1</f>
        <v>-8.2778011642581251E-2</v>
      </c>
      <c r="AV616" s="516">
        <f t="shared" ref="AV616" si="4356">+AV615/AR615-1</f>
        <v>-4.8899625992863127E-2</v>
      </c>
      <c r="AW616" s="516">
        <f t="shared" ref="AW616" si="4357">+AW615/AS615-1</f>
        <v>-1.173458040478359E-2</v>
      </c>
      <c r="AX616" s="516">
        <f t="shared" ref="AX616" si="4358">+AX615/AT615-1</f>
        <v>1.3661946395360225E-3</v>
      </c>
      <c r="AY616" s="516"/>
      <c r="AZ616" s="516"/>
      <c r="BA616" s="72"/>
      <c r="BB616" s="516">
        <v>-6.2349847188696184E-2</v>
      </c>
      <c r="BC616" s="2189"/>
      <c r="BD616" s="72"/>
      <c r="BE616" s="516"/>
      <c r="BF616" s="516"/>
      <c r="BG616" s="516"/>
      <c r="BH616" s="516">
        <f t="shared" ref="BH616:BQ616" si="4359">+BH615/BG615-1</f>
        <v>1.7094541483797445</v>
      </c>
      <c r="BI616" s="516"/>
      <c r="BJ616" s="2109">
        <f>+BJ615/BH615-1</f>
        <v>7.3729660823086629E-2</v>
      </c>
      <c r="BK616" s="516">
        <f>+BK615/BJ615-1</f>
        <v>0.32172812153821817</v>
      </c>
      <c r="BL616" s="516">
        <f t="shared" si="4359"/>
        <v>9.7964559386973349E-2</v>
      </c>
      <c r="BM616" s="516">
        <f t="shared" si="4359"/>
        <v>-0.26398551830930628</v>
      </c>
      <c r="BN616" s="516">
        <f t="shared" si="4359"/>
        <v>-0.10684852999437255</v>
      </c>
      <c r="BO616" s="1555">
        <f t="shared" si="4359"/>
        <v>9.8838188530418813E-2</v>
      </c>
      <c r="BP616" s="516">
        <f t="shared" si="4359"/>
        <v>3.3228416179426068E-2</v>
      </c>
      <c r="BQ616" s="516">
        <f t="shared" si="4359"/>
        <v>-3.0562194697676737E-2</v>
      </c>
      <c r="BR616" s="516">
        <f t="shared" ref="BR616" si="4360">+BR615/BQ615-1</f>
        <v>6.4877433312052979E-2</v>
      </c>
      <c r="BS616" s="516">
        <f t="shared" ref="BS616" si="4361">+BS615/BR615-1</f>
        <v>5.5277023098353917E-2</v>
      </c>
      <c r="BT616" s="516">
        <f t="shared" ref="BT616" si="4362">+BT615/BS615-1</f>
        <v>5.3911050766210167E-2</v>
      </c>
      <c r="BU616" s="516">
        <f t="shared" ref="BU616" si="4363">+BU615/BT615-1</f>
        <v>5.3833198513612901E-2</v>
      </c>
    </row>
    <row r="617" spans="1:73" s="363" customFormat="1" ht="15" hidden="1" customHeight="1">
      <c r="B617" s="361" t="s">
        <v>317</v>
      </c>
      <c r="C617" s="363">
        <f>+C615/C$541</f>
        <v>0</v>
      </c>
      <c r="D617" s="363">
        <f t="shared" ref="D617:J617" si="4364">+D615/D$541</f>
        <v>0</v>
      </c>
      <c r="E617" s="363">
        <f t="shared" si="4364"/>
        <v>0</v>
      </c>
      <c r="F617" s="363">
        <f t="shared" si="4364"/>
        <v>0</v>
      </c>
      <c r="G617" s="363">
        <f t="shared" si="4364"/>
        <v>0</v>
      </c>
      <c r="H617" s="363">
        <f t="shared" si="4364"/>
        <v>0</v>
      </c>
      <c r="I617" s="363">
        <f t="shared" si="4364"/>
        <v>0</v>
      </c>
      <c r="J617" s="363">
        <f t="shared" si="4364"/>
        <v>0</v>
      </c>
      <c r="M617" s="518">
        <f t="shared" ref="M617:W617" si="4365">+M615/M609</f>
        <v>0.7572074886583865</v>
      </c>
      <c r="N617" s="518">
        <f t="shared" si="4365"/>
        <v>0.743263520862113</v>
      </c>
      <c r="O617" s="518">
        <f t="shared" si="4365"/>
        <v>0.76014186996591204</v>
      </c>
      <c r="P617" s="518">
        <f t="shared" si="4365"/>
        <v>0.7658669724897551</v>
      </c>
      <c r="Q617" s="518">
        <f t="shared" si="4365"/>
        <v>0.75837113847483262</v>
      </c>
      <c r="R617" s="518">
        <f t="shared" si="4365"/>
        <v>0.74951715941167729</v>
      </c>
      <c r="S617" s="1568">
        <f t="shared" si="4365"/>
        <v>0.76295963117058363</v>
      </c>
      <c r="T617" s="518">
        <f t="shared" si="4365"/>
        <v>0.76345821325648411</v>
      </c>
      <c r="U617" s="518">
        <f t="shared" si="4365"/>
        <v>0.76178262263546004</v>
      </c>
      <c r="V617" s="518">
        <f t="shared" si="4365"/>
        <v>0.76969654788418718</v>
      </c>
      <c r="W617" s="1568">
        <f t="shared" si="4365"/>
        <v>0.7747424988804299</v>
      </c>
      <c r="X617" s="518">
        <f t="shared" ref="X617:Y617" si="4366">+X615/X609</f>
        <v>0.79677287581699352</v>
      </c>
      <c r="Y617" s="518">
        <f t="shared" si="4366"/>
        <v>0.79416437960421782</v>
      </c>
      <c r="Z617" s="518">
        <f t="shared" ref="Z617:AA617" si="4367">+Z615/Z609</f>
        <v>0.77277325497374627</v>
      </c>
      <c r="AA617" s="518">
        <f t="shared" si="4367"/>
        <v>0.78858831552625597</v>
      </c>
      <c r="AB617" s="518">
        <f t="shared" ref="AB617:AC617" si="4368">+AB615/AB609</f>
        <v>0.79952365308804207</v>
      </c>
      <c r="AC617" s="518">
        <f t="shared" si="4368"/>
        <v>0.77743420106428873</v>
      </c>
      <c r="AD617" s="518">
        <f t="shared" ref="AD617:AE617" si="4369">+AD615/AD609</f>
        <v>0.78663076191984782</v>
      </c>
      <c r="AE617" s="518">
        <f t="shared" si="4369"/>
        <v>0.78061725968154128</v>
      </c>
      <c r="AF617" s="518">
        <f t="shared" ref="AF617:AG617" si="4370">+AF615/AF609</f>
        <v>0.77512645700461846</v>
      </c>
      <c r="AG617" s="518">
        <f t="shared" si="4370"/>
        <v>0.76331967213114749</v>
      </c>
      <c r="AH617" s="518">
        <f t="shared" ref="AH617:AI617" si="4371">+AH615/AH609</f>
        <v>0.75152884871044923</v>
      </c>
      <c r="AI617" s="518">
        <f t="shared" si="4371"/>
        <v>0.78621014236969067</v>
      </c>
      <c r="AJ617" s="518">
        <f t="shared" ref="AJ617:AK617" si="4372">+AJ615/AJ609</f>
        <v>0.77820817193552416</v>
      </c>
      <c r="AK617" s="518">
        <f t="shared" si="4372"/>
        <v>0.76565421772012721</v>
      </c>
      <c r="AL617" s="1559">
        <f t="shared" ref="AL617" si="4373">+AH617+AL618</f>
        <v>0.78152884871044925</v>
      </c>
      <c r="AM617" s="1559">
        <f t="shared" ref="AM617" si="4374">+AI617+AM618</f>
        <v>0.79621014236969068</v>
      </c>
      <c r="AN617" s="1559">
        <f t="shared" ref="AN617" si="4375">+AJ617+AN618</f>
        <v>0.78820817193552417</v>
      </c>
      <c r="AO617" s="890">
        <f t="shared" ref="AO617" si="4376">+AK617+AO618</f>
        <v>0.77565421772012721</v>
      </c>
      <c r="AP617" s="890">
        <f t="shared" ref="AP617" si="4377">+AL617+AP618</f>
        <v>0.79152884871044926</v>
      </c>
      <c r="AQ617" s="1559">
        <f t="shared" ref="AQ617" si="4378">+AM617+AQ618</f>
        <v>0.80621014236969069</v>
      </c>
      <c r="AR617" s="890">
        <f t="shared" ref="AR617" si="4379">+AN617+AR618</f>
        <v>0.79820817193552418</v>
      </c>
      <c r="AS617" s="890">
        <f t="shared" ref="AS617" si="4380">+AO617+AS618</f>
        <v>0.78565421772012722</v>
      </c>
      <c r="AT617" s="890">
        <f t="shared" ref="AT617" si="4381">+AP617+AT618</f>
        <v>0.80152884871044927</v>
      </c>
      <c r="AU617" s="890">
        <f t="shared" ref="AU617" si="4382">+AQ617+AU618</f>
        <v>0.81621014236969069</v>
      </c>
      <c r="AV617" s="890">
        <f t="shared" ref="AV617" si="4383">+AR617+AV618</f>
        <v>0.80820817193552419</v>
      </c>
      <c r="AW617" s="890">
        <f t="shared" ref="AW617" si="4384">+AS617+AW618</f>
        <v>0.79565421772012723</v>
      </c>
      <c r="AX617" s="890">
        <f t="shared" ref="AX617" si="4385">+AT617+AX618</f>
        <v>0.81152884871044928</v>
      </c>
      <c r="AY617" s="890"/>
      <c r="AZ617" s="890"/>
      <c r="BA617" s="72"/>
      <c r="BB617" s="890">
        <v>0.80152884871044927</v>
      </c>
      <c r="BC617" s="2189">
        <f>+AT617-BB617</f>
        <v>0</v>
      </c>
      <c r="BD617" s="72"/>
      <c r="BE617" s="518"/>
      <c r="BF617" s="518"/>
      <c r="BG617" s="518">
        <f t="shared" ref="BG617:BM617" si="4386">+BG615/BG609</f>
        <v>0.74561390556549423</v>
      </c>
      <c r="BH617" s="518">
        <f t="shared" si="4386"/>
        <v>0.75722779482035962</v>
      </c>
      <c r="BI617" s="518"/>
      <c r="BJ617" s="2113">
        <f t="shared" si="4386"/>
        <v>0.76514179158695173</v>
      </c>
      <c r="BK617" s="518">
        <f t="shared" si="4386"/>
        <v>0.78306362391944351</v>
      </c>
      <c r="BL617" s="518">
        <f t="shared" si="4386"/>
        <v>0.78757428973856891</v>
      </c>
      <c r="BM617" s="518">
        <f t="shared" si="4386"/>
        <v>0.76572426937738225</v>
      </c>
      <c r="BN617" s="518">
        <f t="shared" ref="BN617:BO617" si="4387">+BN615/BN609</f>
        <v>0.77846933736047386</v>
      </c>
      <c r="BO617" s="1568">
        <f t="shared" si="4387"/>
        <v>0.78822052099630047</v>
      </c>
      <c r="BP617" s="518">
        <f t="shared" ref="BP617:BQ617" si="4388">+BP615/BP609</f>
        <v>0.79844213160160116</v>
      </c>
      <c r="BQ617" s="518">
        <f t="shared" si="4388"/>
        <v>0.80833496037962871</v>
      </c>
      <c r="BR617" s="890">
        <f t="shared" ref="BR617" si="4389">+BQ617+BR618</f>
        <v>0.80833496037962871</v>
      </c>
      <c r="BS617" s="890">
        <f t="shared" ref="BS617" si="4390">+BR617+BS618</f>
        <v>0.80833496037962871</v>
      </c>
      <c r="BT617" s="890">
        <f t="shared" ref="BT617" si="4391">+BS617+BT618</f>
        <v>0.80833496037962871</v>
      </c>
      <c r="BU617" s="890">
        <f t="shared" ref="BU617" si="4392">+BT617+BU618</f>
        <v>0.80833496037962871</v>
      </c>
    </row>
    <row r="618" spans="1:73" s="363" customFormat="1" ht="15" hidden="1" customHeight="1">
      <c r="G618" s="363">
        <f>+G617-C617</f>
        <v>0</v>
      </c>
      <c r="H618" s="363">
        <f>+H617-D617</f>
        <v>0</v>
      </c>
      <c r="I618" s="363">
        <f>+I617-E617</f>
        <v>0</v>
      </c>
      <c r="J618" s="363">
        <f>+J617-F617</f>
        <v>0</v>
      </c>
      <c r="M618" s="891">
        <f t="shared" ref="M618:AK618" si="4393">+M617-I617</f>
        <v>0.7572074886583865</v>
      </c>
      <c r="N618" s="891">
        <f t="shared" si="4393"/>
        <v>0.743263520862113</v>
      </c>
      <c r="O618" s="891">
        <f t="shared" si="4393"/>
        <v>0.76014186996591204</v>
      </c>
      <c r="P618" s="891">
        <f t="shared" si="4393"/>
        <v>0.7658669724897551</v>
      </c>
      <c r="Q618" s="891">
        <f t="shared" si="4393"/>
        <v>1.1636498164461218E-3</v>
      </c>
      <c r="R618" s="891">
        <f t="shared" si="4393"/>
        <v>6.2536385495642888E-3</v>
      </c>
      <c r="S618" s="1928">
        <f t="shared" si="4393"/>
        <v>2.8177612046715872E-3</v>
      </c>
      <c r="T618" s="891">
        <f t="shared" si="4393"/>
        <v>-2.4087592332709962E-3</v>
      </c>
      <c r="U618" s="891">
        <f t="shared" si="4393"/>
        <v>3.4114841606274204E-3</v>
      </c>
      <c r="V618" s="891">
        <f t="shared" si="4393"/>
        <v>2.0179388472509885E-2</v>
      </c>
      <c r="W618" s="1928">
        <f t="shared" si="4393"/>
        <v>1.1782867709846268E-2</v>
      </c>
      <c r="X618" s="891">
        <f t="shared" si="4393"/>
        <v>3.3314662560509412E-2</v>
      </c>
      <c r="Y618" s="891">
        <f t="shared" si="4393"/>
        <v>3.238175696875778E-2</v>
      </c>
      <c r="Z618" s="891">
        <f t="shared" si="4393"/>
        <v>3.0767070895590942E-3</v>
      </c>
      <c r="AA618" s="891">
        <f t="shared" si="4393"/>
        <v>1.384581664582607E-2</v>
      </c>
      <c r="AB618" s="891">
        <f t="shared" si="4393"/>
        <v>2.7507772710485545E-3</v>
      </c>
      <c r="AC618" s="891">
        <f t="shared" si="4393"/>
        <v>-1.6730178539929086E-2</v>
      </c>
      <c r="AD618" s="891">
        <f t="shared" si="4393"/>
        <v>1.385750694610155E-2</v>
      </c>
      <c r="AE618" s="891">
        <f t="shared" si="4393"/>
        <v>-7.9710558447146918E-3</v>
      </c>
      <c r="AF618" s="891">
        <f t="shared" si="4393"/>
        <v>-2.4397196083423611E-2</v>
      </c>
      <c r="AG618" s="891">
        <f t="shared" si="4393"/>
        <v>-1.4114528933141246E-2</v>
      </c>
      <c r="AH618" s="891">
        <f t="shared" si="4393"/>
        <v>-3.5101913209398594E-2</v>
      </c>
      <c r="AI618" s="891">
        <f t="shared" si="4393"/>
        <v>5.592882688149392E-3</v>
      </c>
      <c r="AJ618" s="891">
        <f t="shared" si="4393"/>
        <v>3.081714930905699E-3</v>
      </c>
      <c r="AK618" s="891">
        <f t="shared" si="4393"/>
        <v>2.3345455889797195E-3</v>
      </c>
      <c r="AL618" s="1560">
        <v>0.03</v>
      </c>
      <c r="AM618" s="1560">
        <v>0.01</v>
      </c>
      <c r="AN618" s="1560">
        <v>0.01</v>
      </c>
      <c r="AO618" s="527">
        <v>0.01</v>
      </c>
      <c r="AP618" s="527">
        <v>0.01</v>
      </c>
      <c r="AQ618" s="1560">
        <v>0.01</v>
      </c>
      <c r="AR618" s="527">
        <v>0.01</v>
      </c>
      <c r="AS618" s="527">
        <v>0.01</v>
      </c>
      <c r="AT618" s="527">
        <v>0.01</v>
      </c>
      <c r="AU618" s="527">
        <v>0.01</v>
      </c>
      <c r="AV618" s="527">
        <v>0.01</v>
      </c>
      <c r="AW618" s="527">
        <v>0.01</v>
      </c>
      <c r="AX618" s="527">
        <v>0.01</v>
      </c>
      <c r="AY618" s="527"/>
      <c r="AZ618" s="527"/>
      <c r="BA618" s="72"/>
      <c r="BB618" s="527">
        <v>0.01</v>
      </c>
      <c r="BC618" s="2189"/>
      <c r="BD618" s="72"/>
      <c r="BE618" s="891"/>
      <c r="BF618" s="891"/>
      <c r="BG618" s="891">
        <f t="shared" ref="BG618:BQ618" si="4394">+BG617-BF617</f>
        <v>0.74561390556549423</v>
      </c>
      <c r="BH618" s="891">
        <f t="shared" si="4394"/>
        <v>1.1613889254865395E-2</v>
      </c>
      <c r="BI618" s="891"/>
      <c r="BJ618" s="2114">
        <f>+BJ617-BH617</f>
        <v>7.9139967665921018E-3</v>
      </c>
      <c r="BK618" s="891">
        <f>+BK617-BJ617</f>
        <v>1.7921832332491783E-2</v>
      </c>
      <c r="BL618" s="891">
        <f t="shared" si="4394"/>
        <v>4.5106658191254034E-3</v>
      </c>
      <c r="BM618" s="891">
        <f t="shared" si="4394"/>
        <v>-2.1850020361186662E-2</v>
      </c>
      <c r="BN618" s="891">
        <f t="shared" si="4394"/>
        <v>1.2745067983091607E-2</v>
      </c>
      <c r="BO618" s="1928">
        <f t="shared" si="4394"/>
        <v>9.7511836358266102E-3</v>
      </c>
      <c r="BP618" s="891">
        <f t="shared" si="4394"/>
        <v>1.0221610605300691E-2</v>
      </c>
      <c r="BQ618" s="891">
        <f t="shared" si="4394"/>
        <v>9.8928287780275515E-3</v>
      </c>
      <c r="BR618" s="527">
        <v>0</v>
      </c>
      <c r="BS618" s="527">
        <v>0</v>
      </c>
      <c r="BT618" s="527">
        <v>0</v>
      </c>
      <c r="BU618" s="527">
        <v>0</v>
      </c>
    </row>
    <row r="619" spans="1:73" s="363" customFormat="1" ht="15" hidden="1" customHeight="1">
      <c r="M619" s="519"/>
      <c r="N619" s="519"/>
      <c r="O619" s="519"/>
      <c r="P619" s="519"/>
      <c r="Q619" s="519"/>
      <c r="R619" s="519"/>
      <c r="S619" s="1556"/>
      <c r="T619" s="519"/>
      <c r="U619" s="519"/>
      <c r="V619" s="519"/>
      <c r="W619" s="1556"/>
      <c r="X619" s="519"/>
      <c r="Y619" s="519"/>
      <c r="Z619" s="519"/>
      <c r="AA619" s="519"/>
      <c r="AB619" s="519"/>
      <c r="AC619" s="519"/>
      <c r="AD619" s="519"/>
      <c r="AE619" s="519"/>
      <c r="AF619" s="519"/>
      <c r="AG619" s="519"/>
      <c r="AH619" s="519"/>
      <c r="AI619" s="519"/>
      <c r="AJ619" s="519"/>
      <c r="AK619" s="519"/>
      <c r="AL619" s="1541"/>
      <c r="AM619" s="1541"/>
      <c r="AN619" s="1541"/>
      <c r="AQ619" s="1541"/>
      <c r="BA619" s="72"/>
      <c r="BC619" s="2189"/>
      <c r="BD619" s="72"/>
      <c r="BJ619" s="2099"/>
      <c r="BO619" s="1541"/>
    </row>
    <row r="620" spans="1:73" s="517" customFormat="1" ht="15" hidden="1" customHeight="1">
      <c r="B620" s="517" t="s">
        <v>16</v>
      </c>
      <c r="M620" s="807">
        <v>-141.91481188166097</v>
      </c>
      <c r="N620" s="807">
        <v>-558.34978278858603</v>
      </c>
      <c r="O620" s="807">
        <v>-463.95455808751024</v>
      </c>
      <c r="P620" s="807">
        <v>-496.15190153929689</v>
      </c>
      <c r="Q620" s="807">
        <v>-510.2</v>
      </c>
      <c r="R620" s="807">
        <v>-627.4</v>
      </c>
      <c r="S620" s="1929">
        <f>-488.2-12.9</f>
        <v>-501.09999999999997</v>
      </c>
      <c r="T620" s="807">
        <f>-511.8+1.5</f>
        <v>-510.3</v>
      </c>
      <c r="U620" s="807">
        <f>-529.1+5.4</f>
        <v>-523.70000000000005</v>
      </c>
      <c r="V620" s="807">
        <f>-697.7+23.2</f>
        <v>-674.5</v>
      </c>
      <c r="W620" s="1929">
        <v>-540.29999999999995</v>
      </c>
      <c r="X620" s="807">
        <v>-650.20000000000005</v>
      </c>
      <c r="Y620" s="807">
        <v>-783.1</v>
      </c>
      <c r="Z620" s="807">
        <v>-1170.5</v>
      </c>
      <c r="AA620" s="807">
        <v>-799.1</v>
      </c>
      <c r="AB620" s="807">
        <v>-720.7</v>
      </c>
      <c r="AC620" s="807">
        <v>-737.2</v>
      </c>
      <c r="AD620" s="807">
        <v>-1002.1</v>
      </c>
      <c r="AE620" s="807">
        <v>-668.1</v>
      </c>
      <c r="AF620" s="807">
        <v>-604.1</v>
      </c>
      <c r="AG620" s="807">
        <v>-608.6</v>
      </c>
      <c r="AH620" s="807">
        <v>-770.8</v>
      </c>
      <c r="AI620" s="807">
        <v>-561.5</v>
      </c>
      <c r="AJ620" s="807">
        <v>-536.20000000000005</v>
      </c>
      <c r="AK620" s="807">
        <v>-517.84500000000003</v>
      </c>
      <c r="AL620" s="1557">
        <f t="shared" ref="AL620" si="4395">+AL622*AL$609</f>
        <v>-835.32675802561948</v>
      </c>
      <c r="AM620" s="1557">
        <f t="shared" ref="AM620:AP620" si="4396">+AM622*AM$609</f>
        <v>-477.07524568977823</v>
      </c>
      <c r="AN620" s="1557">
        <f t="shared" si="4396"/>
        <v>-492.28820871597406</v>
      </c>
      <c r="AO620" s="656">
        <f t="shared" si="4396"/>
        <v>-563.12287458861761</v>
      </c>
      <c r="AP620" s="656">
        <f t="shared" si="4396"/>
        <v>-988.65705690924733</v>
      </c>
      <c r="AQ620" s="1557">
        <f t="shared" ref="AQ620:AT620" si="4397">+AQ622*AQ$609</f>
        <v>-563.43544933675378</v>
      </c>
      <c r="AR620" s="656">
        <f t="shared" si="4397"/>
        <v>-539.32435395140908</v>
      </c>
      <c r="AS620" s="656">
        <f t="shared" si="4397"/>
        <v>-553.36032315951149</v>
      </c>
      <c r="AT620" s="656">
        <f t="shared" si="4397"/>
        <v>-915.44886250654793</v>
      </c>
      <c r="AU620" s="656">
        <f t="shared" ref="AU620:AX620" si="4398">+AU622*AU$609</f>
        <v>-510.46373696986927</v>
      </c>
      <c r="AV620" s="656">
        <f t="shared" si="4398"/>
        <v>-506.60481910215003</v>
      </c>
      <c r="AW620" s="656">
        <f t="shared" si="4398"/>
        <v>-539.99369941586531</v>
      </c>
      <c r="AX620" s="656">
        <f t="shared" si="4398"/>
        <v>-905.40358626960074</v>
      </c>
      <c r="AY620" s="656"/>
      <c r="AZ620" s="656"/>
      <c r="BA620" s="988"/>
      <c r="BB620" s="656">
        <v>-915.44886250654793</v>
      </c>
      <c r="BC620" s="2188">
        <f>+AT620/BB620-1</f>
        <v>0</v>
      </c>
      <c r="BD620" s="988"/>
      <c r="BG620" s="655">
        <f>+SUM(K620:N620)</f>
        <v>-700.26459467024699</v>
      </c>
      <c r="BH620" s="655">
        <f>+SUM(O620:R620)</f>
        <v>-2097.7064596268069</v>
      </c>
      <c r="BI620" s="655"/>
      <c r="BJ620" s="2111">
        <f>+SUM(S620:V620)</f>
        <v>-2209.6</v>
      </c>
      <c r="BK620" s="655">
        <f>+SUM(W620:Z620)</f>
        <v>-3144.1</v>
      </c>
      <c r="BL620" s="655">
        <f>+SUM(AA620:AD620)</f>
        <v>-3259.1</v>
      </c>
      <c r="BM620" s="655">
        <f>+SUM(AE620:AH620)</f>
        <v>-2651.6000000000004</v>
      </c>
      <c r="BN620" s="655">
        <f>+SUM(AI620:AL620)</f>
        <v>-2450.8717580256198</v>
      </c>
      <c r="BO620" s="1926">
        <f>+SUM(AM620:AP620)</f>
        <v>-2521.1433859036169</v>
      </c>
      <c r="BP620" s="655">
        <f>+SUM(AQ620:AT620)</f>
        <v>-2571.5689889542223</v>
      </c>
      <c r="BQ620" s="655">
        <f>+SUM(AU620:AX620)</f>
        <v>-2462.4658417574856</v>
      </c>
      <c r="BR620" s="656">
        <f>+BR622*BR$609</f>
        <v>-2578.5205667694931</v>
      </c>
      <c r="BS620" s="656">
        <f t="shared" ref="BS620:BU620" si="4399">+BS622*BS$609</f>
        <v>-2721.0535076983911</v>
      </c>
      <c r="BT620" s="656">
        <f t="shared" si="4399"/>
        <v>-2867.7483614894936</v>
      </c>
      <c r="BU620" s="656">
        <f t="shared" si="4399"/>
        <v>-3022.128428320646</v>
      </c>
    </row>
    <row r="621" spans="1:73" s="363" customFormat="1" ht="15" hidden="1" customHeight="1">
      <c r="B621" s="363" t="s">
        <v>316</v>
      </c>
      <c r="Q621" s="516">
        <f t="shared" ref="Q621:AD621" si="4400">+Q620/M620-1</f>
        <v>2.5951145143710748</v>
      </c>
      <c r="R621" s="516">
        <f t="shared" si="4400"/>
        <v>0.12366838734413754</v>
      </c>
      <c r="S621" s="1555">
        <f t="shared" si="4400"/>
        <v>8.006267265830691E-2</v>
      </c>
      <c r="T621" s="516">
        <f t="shared" si="4400"/>
        <v>2.8515659048789388E-2</v>
      </c>
      <c r="U621" s="516">
        <f t="shared" si="4400"/>
        <v>2.6460211681693657E-2</v>
      </c>
      <c r="V621" s="516">
        <f t="shared" si="4400"/>
        <v>7.5071724577622012E-2</v>
      </c>
      <c r="W621" s="1555">
        <f t="shared" si="4400"/>
        <v>7.8227898623029368E-2</v>
      </c>
      <c r="X621" s="516">
        <f t="shared" si="4400"/>
        <v>0.27415245933764454</v>
      </c>
      <c r="Y621" s="516">
        <f t="shared" si="4400"/>
        <v>0.49532174909299198</v>
      </c>
      <c r="Z621" s="516">
        <f t="shared" si="4400"/>
        <v>0.73535952557449957</v>
      </c>
      <c r="AA621" s="516">
        <f t="shared" si="4400"/>
        <v>0.47899315195261916</v>
      </c>
      <c r="AB621" s="516">
        <f t="shared" si="4400"/>
        <v>0.10842817594586274</v>
      </c>
      <c r="AC621" s="516">
        <f t="shared" si="4400"/>
        <v>-5.8613203933086444E-2</v>
      </c>
      <c r="AD621" s="516">
        <f t="shared" si="4400"/>
        <v>-0.14387014096539941</v>
      </c>
      <c r="AE621" s="516">
        <f t="shared" ref="AE621:AF621" si="4401">+AE620/AA620-1</f>
        <v>-0.16393442622950816</v>
      </c>
      <c r="AF621" s="516">
        <f t="shared" si="4401"/>
        <v>-0.16178715138060218</v>
      </c>
      <c r="AG621" s="516">
        <f t="shared" ref="AG621" si="4402">+AG620/AC620-1</f>
        <v>-0.17444384156266957</v>
      </c>
      <c r="AH621" s="516">
        <f t="shared" ref="AH621" si="4403">+AH620/AD620-1</f>
        <v>-0.23081528789541972</v>
      </c>
      <c r="AI621" s="516">
        <f t="shared" ref="AI621" si="4404">+AI620/AE620-1</f>
        <v>-0.15955695255201319</v>
      </c>
      <c r="AJ621" s="516">
        <f t="shared" ref="AJ621" si="4405">+AJ620/AF620-1</f>
        <v>-0.11239860950173808</v>
      </c>
      <c r="AK621" s="516">
        <f t="shared" ref="AK621" si="4406">+AK620/AG620-1</f>
        <v>-0.14912093328951692</v>
      </c>
      <c r="AL621" s="1555">
        <f t="shared" ref="AL621" si="4407">+AL620/AH620-1</f>
        <v>8.3714008855240607E-2</v>
      </c>
      <c r="AM621" s="1555">
        <f t="shared" ref="AM621" si="4408">+AM620/AI620-1</f>
        <v>-0.1503557512203415</v>
      </c>
      <c r="AN621" s="1555">
        <f t="shared" ref="AN621" si="4409">+AN620/AJ620-1</f>
        <v>-8.1894426117168906E-2</v>
      </c>
      <c r="AO621" s="516">
        <f t="shared" ref="AO621" si="4410">+AO620/AK620-1</f>
        <v>8.7435187341033727E-2</v>
      </c>
      <c r="AP621" s="516">
        <f t="shared" ref="AP621" si="4411">+AP620/AL620-1</f>
        <v>0.1835572695480745</v>
      </c>
      <c r="AQ621" s="1555">
        <f t="shared" ref="AQ621" si="4412">+AQ620/AM620-1</f>
        <v>0.18102008944545389</v>
      </c>
      <c r="AR621" s="516">
        <f t="shared" ref="AR621" si="4413">+AR620/AN620-1</f>
        <v>9.5545951340411994E-2</v>
      </c>
      <c r="AS621" s="516">
        <f t="shared" ref="AS621" si="4414">+AS620/AO620-1</f>
        <v>-1.7336449769045581E-2</v>
      </c>
      <c r="AT621" s="516">
        <f t="shared" ref="AT621" si="4415">+AT620/AP620-1</f>
        <v>-7.4048117991049267E-2</v>
      </c>
      <c r="AU621" s="516">
        <f t="shared" ref="AU621" si="4416">+AU620/AQ620-1</f>
        <v>-9.4015583203435282E-2</v>
      </c>
      <c r="AV621" s="516">
        <f t="shared" ref="AV621" si="4417">+AV620/AR620-1</f>
        <v>-6.0667638332176921E-2</v>
      </c>
      <c r="AW621" s="516">
        <f t="shared" ref="AW621" si="4418">+AW620/AS620-1</f>
        <v>-2.4155370712751867E-2</v>
      </c>
      <c r="AX621" s="516">
        <f t="shared" ref="AX621" si="4419">+AX620/AT620-1</f>
        <v>-1.0973061028709652E-2</v>
      </c>
      <c r="AY621" s="516"/>
      <c r="AZ621" s="516"/>
      <c r="BA621" s="72"/>
      <c r="BB621" s="516">
        <v>-7.4048117991049267E-2</v>
      </c>
      <c r="BC621" s="2189"/>
      <c r="BD621" s="72"/>
      <c r="BE621" s="516"/>
      <c r="BF621" s="516"/>
      <c r="BG621" s="516"/>
      <c r="BH621" s="516">
        <f t="shared" ref="BH621:BQ621" si="4420">+BH620/BG620-1</f>
        <v>1.995591203086045</v>
      </c>
      <c r="BI621" s="516"/>
      <c r="BJ621" s="2109">
        <f>+BJ620/BH620-1</f>
        <v>5.3340895176105629E-2</v>
      </c>
      <c r="BK621" s="516">
        <f>+BK620/BJ620-1</f>
        <v>0.42292722664735694</v>
      </c>
      <c r="BL621" s="516">
        <f t="shared" si="4420"/>
        <v>3.657644476956845E-2</v>
      </c>
      <c r="BM621" s="516">
        <f t="shared" si="4420"/>
        <v>-0.18640115369273713</v>
      </c>
      <c r="BN621" s="516">
        <f t="shared" si="4420"/>
        <v>-7.5700800261872314E-2</v>
      </c>
      <c r="BO621" s="1555">
        <f t="shared" si="4420"/>
        <v>2.8672094999620423E-2</v>
      </c>
      <c r="BP621" s="516">
        <f t="shared" si="4420"/>
        <v>2.0001084957146142E-2</v>
      </c>
      <c r="BQ621" s="516">
        <f t="shared" si="4420"/>
        <v>-4.242668490146384E-2</v>
      </c>
      <c r="BR621" s="516">
        <f t="shared" ref="BR621" si="4421">+BR620/BQ620-1</f>
        <v>4.7129476090185252E-2</v>
      </c>
      <c r="BS621" s="516">
        <f t="shared" ref="BS621" si="4422">+BS620/BR620-1</f>
        <v>5.5277023098353917E-2</v>
      </c>
      <c r="BT621" s="516">
        <f t="shared" ref="BT621" si="4423">+BT620/BS620-1</f>
        <v>5.3911050766210389E-2</v>
      </c>
      <c r="BU621" s="516">
        <f t="shared" ref="BU621" si="4424">+BU620/BT620-1</f>
        <v>5.3833198513613123E-2</v>
      </c>
    </row>
    <row r="622" spans="1:73" s="523" customFormat="1" ht="15" hidden="1" customHeight="1">
      <c r="B622" s="523" t="s">
        <v>318</v>
      </c>
      <c r="M622" s="524">
        <f t="shared" ref="M622:S622" si="4425">+M620/M$609</f>
        <v>-0.57802622180022956</v>
      </c>
      <c r="N622" s="524">
        <f t="shared" si="4425"/>
        <v>-0.46104937649039734</v>
      </c>
      <c r="O622" s="524">
        <f t="shared" si="4425"/>
        <v>-0.57473028301393081</v>
      </c>
      <c r="P622" s="524">
        <f t="shared" si="4425"/>
        <v>-0.61504597632186053</v>
      </c>
      <c r="Q622" s="524">
        <f t="shared" si="4425"/>
        <v>-0.55109094836897821</v>
      </c>
      <c r="R622" s="524">
        <f t="shared" si="4425"/>
        <v>-0.46605259248254344</v>
      </c>
      <c r="S622" s="1562">
        <f t="shared" si="4425"/>
        <v>-0.56347689193747885</v>
      </c>
      <c r="T622" s="524">
        <f t="shared" ref="T622:Y622" si="4426">+T620/T$609</f>
        <v>-0.58824207492795388</v>
      </c>
      <c r="U622" s="524">
        <f t="shared" si="4426"/>
        <v>-0.55968793416693385</v>
      </c>
      <c r="V622" s="524">
        <f t="shared" si="4426"/>
        <v>-0.46944599109131402</v>
      </c>
      <c r="W622" s="1562">
        <f t="shared" si="4426"/>
        <v>-0.60490371697268241</v>
      </c>
      <c r="X622" s="524">
        <f t="shared" si="4426"/>
        <v>-0.6640114379084967</v>
      </c>
      <c r="Y622" s="524">
        <f t="shared" si="4426"/>
        <v>-0.56557850642784924</v>
      </c>
      <c r="Z622" s="524">
        <f t="shared" ref="Z622:AK622" si="4427">+Z620/Z$609</f>
        <v>-0.56385182330555417</v>
      </c>
      <c r="AA622" s="524">
        <f t="shared" si="4427"/>
        <v>-0.60551640524361594</v>
      </c>
      <c r="AB622" s="524">
        <f t="shared" si="4427"/>
        <v>-0.59190210249671493</v>
      </c>
      <c r="AC622" s="524">
        <f t="shared" si="4427"/>
        <v>-0.53013087875737097</v>
      </c>
      <c r="AD622" s="524">
        <f t="shared" si="4427"/>
        <v>-0.52911980569195838</v>
      </c>
      <c r="AE622" s="524">
        <f t="shared" si="4427"/>
        <v>-0.65667387458226856</v>
      </c>
      <c r="AF622" s="524">
        <f t="shared" si="4427"/>
        <v>-0.66428414339124697</v>
      </c>
      <c r="AG622" s="524">
        <f t="shared" si="4427"/>
        <v>-0.62356557377049182</v>
      </c>
      <c r="AH622" s="524">
        <f t="shared" si="4427"/>
        <v>-0.51236373304972072</v>
      </c>
      <c r="AI622" s="524">
        <f t="shared" si="4427"/>
        <v>-0.66066596070125894</v>
      </c>
      <c r="AJ622" s="524">
        <f t="shared" si="4427"/>
        <v>-0.66999875046857438</v>
      </c>
      <c r="AK622" s="524">
        <f t="shared" si="4427"/>
        <v>-0.62433012112977293</v>
      </c>
      <c r="AL622" s="1560">
        <v>-0.6</v>
      </c>
      <c r="AM622" s="1560">
        <v>-0.6</v>
      </c>
      <c r="AN622" s="1560">
        <v>-0.6</v>
      </c>
      <c r="AO622" s="527">
        <v>-0.6</v>
      </c>
      <c r="AP622" s="527">
        <v>-0.6</v>
      </c>
      <c r="AQ622" s="1560">
        <v>-0.6</v>
      </c>
      <c r="AR622" s="527">
        <v>-0.6</v>
      </c>
      <c r="AS622" s="527">
        <v>-0.6</v>
      </c>
      <c r="AT622" s="527">
        <v>-0.6</v>
      </c>
      <c r="AU622" s="527">
        <v>-0.6</v>
      </c>
      <c r="AV622" s="527">
        <v>-0.6</v>
      </c>
      <c r="AW622" s="527">
        <v>-0.6</v>
      </c>
      <c r="AX622" s="527">
        <v>-0.6</v>
      </c>
      <c r="AY622" s="527"/>
      <c r="AZ622" s="527"/>
      <c r="BA622" s="735"/>
      <c r="BB622" s="527">
        <v>-0.6</v>
      </c>
      <c r="BC622" s="2215"/>
      <c r="BD622" s="735"/>
      <c r="BE622" s="524"/>
      <c r="BF622" s="524"/>
      <c r="BG622" s="524">
        <f t="shared" ref="BG622:BM622" si="4428">+BG620/BG$609</f>
        <v>-0.48076690538052474</v>
      </c>
      <c r="BH622" s="524">
        <f t="shared" si="4428"/>
        <v>-0.53981861044712309</v>
      </c>
      <c r="BI622" s="524"/>
      <c r="BJ622" s="2115">
        <f t="shared" si="4428"/>
        <v>-0.53510280192768744</v>
      </c>
      <c r="BK622" s="524">
        <f t="shared" si="4428"/>
        <v>-0.58956665229049865</v>
      </c>
      <c r="BL622" s="524">
        <f t="shared" si="4428"/>
        <v>-0.55980968085471838</v>
      </c>
      <c r="BM622" s="524">
        <f t="shared" si="4428"/>
        <v>-0.6016518424396442</v>
      </c>
      <c r="BN622" s="524">
        <f t="shared" ref="BN622:BO622" si="4429">+BN620/BN$609</f>
        <v>-0.63299723008764819</v>
      </c>
      <c r="BO622" s="1562">
        <f t="shared" si="4429"/>
        <v>-0.59999999999999987</v>
      </c>
      <c r="BP622" s="524">
        <f t="shared" ref="BP622:BQ622" si="4430">+BP620/BP$609</f>
        <v>-0.6</v>
      </c>
      <c r="BQ622" s="524">
        <f t="shared" si="4430"/>
        <v>-0.6</v>
      </c>
      <c r="BR622" s="527">
        <f t="shared" ref="BR622" si="4431">+BQ622+1%</f>
        <v>-0.59</v>
      </c>
      <c r="BS622" s="527">
        <f>+BR622</f>
        <v>-0.59</v>
      </c>
      <c r="BT622" s="527">
        <f t="shared" ref="BT622:BU622" si="4432">+BS622</f>
        <v>-0.59</v>
      </c>
      <c r="BU622" s="527">
        <f t="shared" si="4432"/>
        <v>-0.59</v>
      </c>
    </row>
    <row r="623" spans="1:73" s="361" customFormat="1" ht="15" hidden="1" customHeight="1">
      <c r="B623" s="361" t="s">
        <v>319</v>
      </c>
      <c r="M623" s="807">
        <v>-45.368026098137754</v>
      </c>
      <c r="N623" s="807">
        <v>-155.57894336944102</v>
      </c>
      <c r="O623" s="807">
        <v>-141.07777306587218</v>
      </c>
      <c r="P623" s="807">
        <v>-147.59171834559294</v>
      </c>
      <c r="Q623" s="807">
        <v>-171.6</v>
      </c>
      <c r="R623" s="807">
        <v>-200</v>
      </c>
      <c r="S623" s="1929">
        <f>-158.8+1.6</f>
        <v>-157.20000000000002</v>
      </c>
      <c r="T623" s="807">
        <f>-158.7+1.2</f>
        <v>-157.5</v>
      </c>
      <c r="U623" s="807">
        <f>-172.7+5.5</f>
        <v>-167.2</v>
      </c>
      <c r="V623" s="807">
        <f>-185.3-2.2</f>
        <v>-187.5</v>
      </c>
      <c r="W623" s="1929">
        <v>-176.7</v>
      </c>
      <c r="X623" s="807">
        <v>-180</v>
      </c>
      <c r="Y623" s="807">
        <v>-194</v>
      </c>
      <c r="Z623" s="807">
        <v>-286.89999999999998</v>
      </c>
      <c r="AA623" s="807">
        <v>-234.9</v>
      </c>
      <c r="AB623" s="807">
        <v>-266.60000000000002</v>
      </c>
      <c r="AC623" s="807">
        <v>-287.3</v>
      </c>
      <c r="AD623" s="807">
        <v>-274.60000000000002</v>
      </c>
      <c r="AE623" s="807">
        <v>-230.7</v>
      </c>
      <c r="AF623" s="807">
        <v>-232.8</v>
      </c>
      <c r="AG623" s="807">
        <v>-245.7</v>
      </c>
      <c r="AH623" s="807">
        <v>-256.2</v>
      </c>
      <c r="AI623" s="807">
        <v>-223.4</v>
      </c>
      <c r="AJ623" s="807">
        <v>-213.4</v>
      </c>
      <c r="AK623" s="807">
        <v>-191.917</v>
      </c>
      <c r="AL623" s="1557">
        <f t="shared" ref="AL623" si="4433">+AH623*(1+AL624)</f>
        <v>-266.44799999999998</v>
      </c>
      <c r="AM623" s="1557">
        <f t="shared" ref="AM623" si="4434">+AI623*(1+AM624)</f>
        <v>-232.33600000000001</v>
      </c>
      <c r="AN623" s="1557">
        <f t="shared" ref="AN623" si="4435">+AJ623*(1+AN624)</f>
        <v>-221.93600000000001</v>
      </c>
      <c r="AO623" s="656">
        <f t="shared" ref="AO623" si="4436">+AK623*(1+AO624)</f>
        <v>-199.59368000000001</v>
      </c>
      <c r="AP623" s="656">
        <f t="shared" ref="AP623" si="4437">+AL623*(1+AP624)</f>
        <v>-277.10591999999997</v>
      </c>
      <c r="AQ623" s="1557">
        <f t="shared" ref="AQ623" si="4438">+AM623*(1+AQ624)</f>
        <v>-241.62944000000002</v>
      </c>
      <c r="AR623" s="656">
        <f t="shared" ref="AR623" si="4439">+AN623*(1+AR624)</f>
        <v>-230.81344000000001</v>
      </c>
      <c r="AS623" s="656">
        <f t="shared" ref="AS623" si="4440">+AO623*(1+AS624)</f>
        <v>-207.57742720000002</v>
      </c>
      <c r="AT623" s="656">
        <f t="shared" ref="AT623" si="4441">+AP623*(1+AT624)</f>
        <v>-288.19015679999995</v>
      </c>
      <c r="AU623" s="656">
        <f t="shared" ref="AU623" si="4442">+AQ623*(1+AU624)</f>
        <v>-251.29461760000004</v>
      </c>
      <c r="AV623" s="656">
        <f t="shared" ref="AV623" si="4443">+AR623*(1+AV624)</f>
        <v>-240.04597760000001</v>
      </c>
      <c r="AW623" s="656">
        <f t="shared" ref="AW623" si="4444">+AS623*(1+AW624)</f>
        <v>-215.88052428800003</v>
      </c>
      <c r="AX623" s="656">
        <f t="shared" ref="AX623" si="4445">+AT623*(1+AX624)</f>
        <v>-299.71776307199997</v>
      </c>
      <c r="AY623" s="656"/>
      <c r="AZ623" s="656"/>
      <c r="BA623" s="85"/>
      <c r="BB623" s="656">
        <v>-288.19015679999995</v>
      </c>
      <c r="BC623" s="2197">
        <f>+AT623/BB623-1</f>
        <v>0</v>
      </c>
      <c r="BD623" s="85"/>
      <c r="BE623" s="517"/>
      <c r="BF623" s="517"/>
      <c r="BG623" s="655">
        <f>+SUM(K623:N623)</f>
        <v>-200.94696946757878</v>
      </c>
      <c r="BH623" s="655">
        <f>+SUM(O623:R623)</f>
        <v>-660.26949141146508</v>
      </c>
      <c r="BI623" s="655"/>
      <c r="BJ623" s="2111">
        <f>+SUM(S623:V623)</f>
        <v>-669.40000000000009</v>
      </c>
      <c r="BK623" s="655">
        <f>+SUM(W623:Z623)</f>
        <v>-837.6</v>
      </c>
      <c r="BL623" s="655">
        <f>+SUM(AA623:AD623)</f>
        <v>-1063.4000000000001</v>
      </c>
      <c r="BM623" s="655">
        <f>+SUM(AE623:AH623)</f>
        <v>-965.40000000000009</v>
      </c>
      <c r="BN623" s="655">
        <f>+SUM(AI623:AL623)</f>
        <v>-895.16499999999996</v>
      </c>
      <c r="BO623" s="1926">
        <f>+SUM(AM623:AP623)</f>
        <v>-930.97160000000008</v>
      </c>
      <c r="BP623" s="655">
        <f>+SUM(AQ623:AT623)</f>
        <v>-968.210464</v>
      </c>
      <c r="BQ623" s="655">
        <f>+SUM(AU623:AX623)</f>
        <v>-1006.9388825600001</v>
      </c>
      <c r="BR623" s="656">
        <f t="shared" ref="BR623" si="4446">+BQ623*(1+BR624)</f>
        <v>-1027.0776602112001</v>
      </c>
      <c r="BS623" s="656">
        <f t="shared" ref="BS623" si="4447">+BR623*(1+BS624)</f>
        <v>-1047.6192134154242</v>
      </c>
      <c r="BT623" s="656">
        <f t="shared" ref="BT623" si="4448">+BS623*(1+BT624)</f>
        <v>-1068.5715976837328</v>
      </c>
      <c r="BU623" s="656">
        <f t="shared" ref="BU623" si="4449">+BT623*(1+BU624)</f>
        <v>-1089.9430296374073</v>
      </c>
    </row>
    <row r="624" spans="1:73" s="363" customFormat="1" ht="15" hidden="1" customHeight="1">
      <c r="B624" s="363" t="s">
        <v>316</v>
      </c>
      <c r="Q624" s="516">
        <f t="shared" ref="Q624:AK624" si="4450">+Q623/M623-1</f>
        <v>2.7823995169814926</v>
      </c>
      <c r="R624" s="516">
        <f t="shared" si="4450"/>
        <v>0.28552100733243702</v>
      </c>
      <c r="S624" s="1555">
        <f t="shared" si="4450"/>
        <v>0.11427900075088382</v>
      </c>
      <c r="T624" s="516">
        <f t="shared" si="4450"/>
        <v>6.7133046254034046E-2</v>
      </c>
      <c r="U624" s="516">
        <f t="shared" si="4450"/>
        <v>-2.5641025641025661E-2</v>
      </c>
      <c r="V624" s="516">
        <f t="shared" si="4450"/>
        <v>-6.25E-2</v>
      </c>
      <c r="W624" s="1555">
        <f t="shared" si="4450"/>
        <v>0.1240458015267174</v>
      </c>
      <c r="X624" s="516">
        <f t="shared" si="4450"/>
        <v>0.14285714285714279</v>
      </c>
      <c r="Y624" s="516">
        <f t="shared" si="4450"/>
        <v>0.16028708133971303</v>
      </c>
      <c r="Z624" s="516">
        <f t="shared" si="4450"/>
        <v>0.53013333333333312</v>
      </c>
      <c r="AA624" s="516">
        <f t="shared" si="4450"/>
        <v>0.32937181663837034</v>
      </c>
      <c r="AB624" s="516">
        <f t="shared" si="4450"/>
        <v>0.48111111111111127</v>
      </c>
      <c r="AC624" s="516">
        <f t="shared" si="4450"/>
        <v>0.48092783505154646</v>
      </c>
      <c r="AD624" s="516">
        <f t="shared" si="4450"/>
        <v>-4.2872080864412521E-2</v>
      </c>
      <c r="AE624" s="516">
        <f t="shared" si="4450"/>
        <v>-1.7879948914431787E-2</v>
      </c>
      <c r="AF624" s="516">
        <f t="shared" si="4450"/>
        <v>-0.12678169542385598</v>
      </c>
      <c r="AG624" s="516">
        <f t="shared" si="4450"/>
        <v>-0.14479638009049778</v>
      </c>
      <c r="AH624" s="516">
        <f t="shared" si="4450"/>
        <v>-6.7006554989075151E-2</v>
      </c>
      <c r="AI624" s="516">
        <f t="shared" si="4450"/>
        <v>-3.1642826181187633E-2</v>
      </c>
      <c r="AJ624" s="516">
        <f t="shared" si="4450"/>
        <v>-8.333333333333337E-2</v>
      </c>
      <c r="AK624" s="516">
        <f t="shared" si="4450"/>
        <v>-0.21889702889702889</v>
      </c>
      <c r="AL624" s="1561">
        <v>0.04</v>
      </c>
      <c r="AM624" s="1561">
        <v>0.04</v>
      </c>
      <c r="AN624" s="1561">
        <v>0.04</v>
      </c>
      <c r="AO624" s="526">
        <v>0.04</v>
      </c>
      <c r="AP624" s="526">
        <v>0.04</v>
      </c>
      <c r="AQ624" s="1561">
        <v>0.04</v>
      </c>
      <c r="AR624" s="526">
        <v>0.04</v>
      </c>
      <c r="AS624" s="526">
        <v>0.04</v>
      </c>
      <c r="AT624" s="526">
        <v>0.04</v>
      </c>
      <c r="AU624" s="526">
        <v>0.04</v>
      </c>
      <c r="AV624" s="526">
        <v>0.04</v>
      </c>
      <c r="AW624" s="526">
        <v>0.04</v>
      </c>
      <c r="AX624" s="526">
        <v>0.04</v>
      </c>
      <c r="AY624" s="526"/>
      <c r="AZ624" s="526"/>
      <c r="BA624" s="72"/>
      <c r="BB624" s="526">
        <v>0.04</v>
      </c>
      <c r="BC624" s="2189"/>
      <c r="BD624" s="72"/>
      <c r="BE624" s="516"/>
      <c r="BF624" s="516"/>
      <c r="BG624" s="516"/>
      <c r="BH624" s="516">
        <f t="shared" ref="BH624:BQ624" si="4451">+BH623/BG623-1</f>
        <v>2.2857897442339601</v>
      </c>
      <c r="BI624" s="516"/>
      <c r="BJ624" s="2109">
        <f>+BJ623/BH623-1</f>
        <v>1.3828457481833034E-2</v>
      </c>
      <c r="BK624" s="516">
        <f>+BK623/BJ623-1</f>
        <v>0.2512697938452344</v>
      </c>
      <c r="BL624" s="516">
        <f t="shared" si="4451"/>
        <v>0.26957975167144221</v>
      </c>
      <c r="BM624" s="516">
        <f t="shared" si="4451"/>
        <v>-9.2157231521534655E-2</v>
      </c>
      <c r="BN624" s="516">
        <f t="shared" si="4451"/>
        <v>-7.2752227056142704E-2</v>
      </c>
      <c r="BO624" s="1555">
        <f t="shared" si="4451"/>
        <v>4.0000000000000036E-2</v>
      </c>
      <c r="BP624" s="516">
        <f t="shared" si="4451"/>
        <v>3.9999999999999813E-2</v>
      </c>
      <c r="BQ624" s="516">
        <f t="shared" si="4451"/>
        <v>4.0000000000000036E-2</v>
      </c>
      <c r="BR624" s="526">
        <v>0.02</v>
      </c>
      <c r="BS624" s="526">
        <v>0.02</v>
      </c>
      <c r="BT624" s="526">
        <v>0.02</v>
      </c>
      <c r="BU624" s="526">
        <v>0.02</v>
      </c>
    </row>
    <row r="625" spans="1:73" s="363" customFormat="1" ht="15" hidden="1" customHeight="1">
      <c r="B625" s="363" t="s">
        <v>318</v>
      </c>
      <c r="M625" s="524">
        <f t="shared" ref="M625:Z625" si="4452">+M623/M$609</f>
        <v>-0.18478626979337581</v>
      </c>
      <c r="N625" s="524">
        <f t="shared" si="4452"/>
        <v>-0.12846709544198992</v>
      </c>
      <c r="O625" s="524">
        <f t="shared" si="4452"/>
        <v>-0.17476209044125901</v>
      </c>
      <c r="P625" s="524">
        <f t="shared" si="4452"/>
        <v>-0.18295947717877795</v>
      </c>
      <c r="Q625" s="524">
        <f t="shared" si="4452"/>
        <v>-0.18535320803629293</v>
      </c>
      <c r="R625" s="524">
        <f t="shared" si="4452"/>
        <v>-0.14856633486851878</v>
      </c>
      <c r="S625" s="1562">
        <f t="shared" si="4452"/>
        <v>-0.17676824468683236</v>
      </c>
      <c r="T625" s="524">
        <f t="shared" si="4452"/>
        <v>-0.18155619596541786</v>
      </c>
      <c r="U625" s="524">
        <f t="shared" si="4452"/>
        <v>-0.17868975098856468</v>
      </c>
      <c r="V625" s="524">
        <f t="shared" si="4452"/>
        <v>-0.13049832962138086</v>
      </c>
      <c r="W625" s="1562">
        <f t="shared" si="4452"/>
        <v>-0.19782803403493057</v>
      </c>
      <c r="X625" s="524">
        <f t="shared" si="4452"/>
        <v>-0.18382352941176469</v>
      </c>
      <c r="Y625" s="524">
        <f t="shared" si="4452"/>
        <v>-0.14011266791853244</v>
      </c>
      <c r="Z625" s="524">
        <f t="shared" si="4452"/>
        <v>-0.13820511585336478</v>
      </c>
      <c r="AA625" s="524">
        <f>+AA623/AA$609</f>
        <v>-0.17799499886337805</v>
      </c>
      <c r="AB625" s="524">
        <f>+AB623/AB$609</f>
        <v>-0.21895532194480949</v>
      </c>
      <c r="AC625" s="524">
        <f>+AC623/AC$609</f>
        <v>-0.20660146699266504</v>
      </c>
      <c r="AD625" s="524">
        <f>+AD623/AD$609</f>
        <v>-0.14499181582976928</v>
      </c>
      <c r="AE625" s="524">
        <f t="shared" ref="AE625:AH625" si="4453">+AE623/AE$609</f>
        <v>-0.22675447218399841</v>
      </c>
      <c r="AF625" s="524">
        <f t="shared" ref="AF625" si="4454">+AF623/AF$609</f>
        <v>-0.25599296239278646</v>
      </c>
      <c r="AG625" s="524">
        <f t="shared" si="4453"/>
        <v>-0.2517418032786885</v>
      </c>
      <c r="AH625" s="524">
        <f t="shared" si="4453"/>
        <v>-0.17030045200744481</v>
      </c>
      <c r="AI625" s="524">
        <f t="shared" ref="AI625:AL625" si="4455">+AI623/AI$609</f>
        <v>-0.26285445346511355</v>
      </c>
      <c r="AJ625" s="524">
        <f t="shared" si="4455"/>
        <v>-0.26665000624765717</v>
      </c>
      <c r="AK625" s="524">
        <f t="shared" si="4455"/>
        <v>-0.23138113500538313</v>
      </c>
      <c r="AL625" s="1562">
        <f t="shared" si="4455"/>
        <v>-0.19138474670423139</v>
      </c>
      <c r="AM625" s="1562">
        <f t="shared" ref="AM625:AP625" si="4456">+AM623/AM$609</f>
        <v>-0.29220044690947339</v>
      </c>
      <c r="AN625" s="1562">
        <f t="shared" si="4456"/>
        <v>-0.27049520513059383</v>
      </c>
      <c r="AO625" s="524">
        <f t="shared" si="4456"/>
        <v>-0.212664435071096</v>
      </c>
      <c r="AP625" s="524">
        <f t="shared" si="4456"/>
        <v>-0.1681711072996083</v>
      </c>
      <c r="AQ625" s="1562">
        <f t="shared" ref="AQ625:AT625" si="4457">+AQ623/AQ$609</f>
        <v>-0.2573101571274225</v>
      </c>
      <c r="AR625" s="524">
        <f t="shared" si="4457"/>
        <v>-0.25678066081265305</v>
      </c>
      <c r="AS625" s="524">
        <f t="shared" si="4457"/>
        <v>-0.2250729788664271</v>
      </c>
      <c r="AT625" s="524">
        <f t="shared" si="4457"/>
        <v>-0.18888449280121658</v>
      </c>
      <c r="AU625" s="524">
        <f t="shared" ref="AU625:AX625" si="4458">+AU623/AU$609</f>
        <v>-0.29537214818630647</v>
      </c>
      <c r="AV625" s="524">
        <f t="shared" si="4458"/>
        <v>-0.28429967724203348</v>
      </c>
      <c r="AW625" s="524">
        <f t="shared" si="4458"/>
        <v>-0.23987004795225653</v>
      </c>
      <c r="AX625" s="524">
        <f t="shared" si="4458"/>
        <v>-0.19861933459323858</v>
      </c>
      <c r="AY625" s="524"/>
      <c r="AZ625" s="524"/>
      <c r="BA625" s="72"/>
      <c r="BB625" s="524">
        <v>-0.18888449280121658</v>
      </c>
      <c r="BC625" s="2189"/>
      <c r="BD625" s="72"/>
      <c r="BE625" s="524"/>
      <c r="BF625" s="524"/>
      <c r="BG625" s="524">
        <f t="shared" ref="BG625:BM625" si="4459">+BG623/BG$609</f>
        <v>-0.1379602130277848</v>
      </c>
      <c r="BH625" s="524">
        <f t="shared" si="4459"/>
        <v>-0.16991212366184721</v>
      </c>
      <c r="BI625" s="524"/>
      <c r="BJ625" s="2115">
        <f t="shared" si="4459"/>
        <v>-0.16210980069261136</v>
      </c>
      <c r="BK625" s="524">
        <f t="shared" si="4459"/>
        <v>-0.15706276134935965</v>
      </c>
      <c r="BL625" s="524">
        <f t="shared" si="4459"/>
        <v>-0.18265828437940157</v>
      </c>
      <c r="BM625" s="524">
        <f t="shared" si="4459"/>
        <v>-0.2190506444000726</v>
      </c>
      <c r="BN625" s="524">
        <f t="shared" ref="BN625:BO625" si="4460">+BN623/BN$609</f>
        <v>-0.23119812924356459</v>
      </c>
      <c r="BO625" s="1562">
        <f t="shared" si="4460"/>
        <v>-0.22155937782959342</v>
      </c>
      <c r="BP625" s="524">
        <f t="shared" ref="BP625:BQ625" si="4461">+BP623/BP$609</f>
        <v>-0.22590343906590846</v>
      </c>
      <c r="BQ625" s="524">
        <f t="shared" si="4461"/>
        <v>-0.24534891785739571</v>
      </c>
      <c r="BR625" s="524">
        <f>+BR623/BR$609</f>
        <v>-0.23500910845314937</v>
      </c>
      <c r="BS625" s="524">
        <f t="shared" ref="BS625:BU625" si="4462">+BS623/BS$609</f>
        <v>-0.22715295166610577</v>
      </c>
      <c r="BT625" s="524">
        <f t="shared" si="4462"/>
        <v>-0.21984399018397349</v>
      </c>
      <c r="BU625" s="524">
        <f t="shared" si="4462"/>
        <v>-0.21278592314603031</v>
      </c>
    </row>
    <row r="626" spans="1:73" s="361" customFormat="1" ht="15" hidden="1" customHeight="1">
      <c r="B626" s="361" t="s">
        <v>20</v>
      </c>
      <c r="M626" s="807">
        <v>-9.3907804420923589E-3</v>
      </c>
      <c r="N626" s="807">
        <v>-21.355286266552113</v>
      </c>
      <c r="O626" s="807">
        <v>0.3</v>
      </c>
      <c r="P626" s="807">
        <v>-38.318049289149627</v>
      </c>
      <c r="Q626" s="807">
        <v>-24.2</v>
      </c>
      <c r="R626" s="807">
        <v>-34</v>
      </c>
      <c r="S626" s="1929">
        <v>-10.199999999999999</v>
      </c>
      <c r="T626" s="807">
        <f>-22.1+4.5</f>
        <v>-17.600000000000001</v>
      </c>
      <c r="U626" s="807">
        <f>-1.5-6.4+2.1</f>
        <v>-5.8000000000000007</v>
      </c>
      <c r="V626" s="807">
        <f>-20.4-18.7+2</f>
        <v>-37.099999999999994</v>
      </c>
      <c r="W626" s="1929">
        <v>-5.9</v>
      </c>
      <c r="X626" s="807">
        <v>3.5</v>
      </c>
      <c r="Y626" s="807">
        <v>-12.8</v>
      </c>
      <c r="Z626" s="807">
        <v>-4.7</v>
      </c>
      <c r="AA626" s="807">
        <v>-3.1</v>
      </c>
      <c r="AB626" s="807">
        <v>-17.3</v>
      </c>
      <c r="AC626" s="807">
        <v>2.7</v>
      </c>
      <c r="AD626" s="807">
        <v>-15.6</v>
      </c>
      <c r="AE626" s="807">
        <v>-8.1</v>
      </c>
      <c r="AF626" s="807">
        <v>-38.5</v>
      </c>
      <c r="AG626" s="807">
        <v>1.8</v>
      </c>
      <c r="AH626" s="807">
        <v>-41.5</v>
      </c>
      <c r="AI626" s="807">
        <v>-46.4</v>
      </c>
      <c r="AJ626" s="807">
        <v>-29.2</v>
      </c>
      <c r="AK626" s="807">
        <v>-28.702999999999999</v>
      </c>
      <c r="AL626" s="1557">
        <f t="shared" ref="AL626" si="4463">+AL628*AL$609</f>
        <v>-48.177796724157915</v>
      </c>
      <c r="AM626" s="1557">
        <f t="shared" ref="AM626:AP626" si="4464">+AM628*AM$609</f>
        <v>-27.515500955932378</v>
      </c>
      <c r="AN626" s="1557">
        <f t="shared" si="4464"/>
        <v>-28.392914534758159</v>
      </c>
      <c r="AO626" s="656">
        <f t="shared" si="4464"/>
        <v>-32.478331529542366</v>
      </c>
      <c r="AP626" s="656">
        <f t="shared" si="4464"/>
        <v>-57.021181543686502</v>
      </c>
      <c r="AQ626" s="1557">
        <f t="shared" ref="AQ626:AT626" si="4465">+AQ628*AQ$609</f>
        <v>-32.496359400111729</v>
      </c>
      <c r="AR626" s="656">
        <f t="shared" si="4465"/>
        <v>-31.105742565308635</v>
      </c>
      <c r="AS626" s="656">
        <f t="shared" si="4465"/>
        <v>-31.915272566398052</v>
      </c>
      <c r="AT626" s="656">
        <f t="shared" si="4465"/>
        <v>-52.79887036475057</v>
      </c>
      <c r="AU626" s="656">
        <f t="shared" ref="AU626:AX626" si="4466">+AU628*AU$609</f>
        <v>-29.441195219121791</v>
      </c>
      <c r="AV626" s="656">
        <f t="shared" si="4466"/>
        <v>-29.218630625302691</v>
      </c>
      <c r="AW626" s="656">
        <f t="shared" si="4466"/>
        <v>-31.144347326158186</v>
      </c>
      <c r="AX626" s="656">
        <f t="shared" si="4466"/>
        <v>-52.219505137991234</v>
      </c>
      <c r="AY626" s="656"/>
      <c r="AZ626" s="656"/>
      <c r="BA626" s="85"/>
      <c r="BB626" s="656">
        <v>-52.79887036475057</v>
      </c>
      <c r="BC626" s="2197">
        <f>+AT626/BB626-1</f>
        <v>0</v>
      </c>
      <c r="BD626" s="85"/>
      <c r="BE626" s="517"/>
      <c r="BF626" s="517"/>
      <c r="BG626" s="655">
        <f>+SUM(K626:N626)</f>
        <v>-21.364677046994206</v>
      </c>
      <c r="BH626" s="655">
        <f>+SUM(O626:R626)</f>
        <v>-96.218049289149633</v>
      </c>
      <c r="BI626" s="655"/>
      <c r="BJ626" s="2111">
        <f>+SUM(S626:V626)</f>
        <v>-70.699999999999989</v>
      </c>
      <c r="BK626" s="655">
        <f>+SUM(W626:Z626)</f>
        <v>-19.900000000000002</v>
      </c>
      <c r="BL626" s="655">
        <f>+SUM(AA626:AD626)</f>
        <v>-33.300000000000004</v>
      </c>
      <c r="BM626" s="655">
        <f>+SUM(AE626:AH626)</f>
        <v>-86.300000000000011</v>
      </c>
      <c r="BN626" s="655">
        <f>+SUM(AI626:AL626)</f>
        <v>-152.48079672415793</v>
      </c>
      <c r="BO626" s="1926">
        <f>+SUM(AM626:AP626)</f>
        <v>-145.4079285639194</v>
      </c>
      <c r="BP626" s="655">
        <f>+SUM(AQ626:AT626)</f>
        <v>-148.31624489656897</v>
      </c>
      <c r="BQ626" s="655">
        <f>+SUM(AU626:AX626)</f>
        <v>-142.02367830857389</v>
      </c>
      <c r="BR626" s="656">
        <f>+BR628*BR$609</f>
        <v>-151.23781002677086</v>
      </c>
      <c r="BS626" s="656">
        <f t="shared" ref="BS626:BU626" si="4467">+BS628*BS$609</f>
        <v>-159.59778594496515</v>
      </c>
      <c r="BT626" s="656">
        <f t="shared" si="4467"/>
        <v>-168.20187028521892</v>
      </c>
      <c r="BU626" s="656">
        <f t="shared" si="4467"/>
        <v>-177.2567149586441</v>
      </c>
    </row>
    <row r="627" spans="1:73" s="363" customFormat="1" ht="15" hidden="1" customHeight="1">
      <c r="B627" s="363" t="s">
        <v>316</v>
      </c>
      <c r="Q627" s="516"/>
      <c r="R627" s="516"/>
      <c r="S627" s="1555"/>
      <c r="T627" s="516">
        <f t="shared" ref="T627:AD627" si="4468">+T626/P626-1</f>
        <v>-0.5406864303767227</v>
      </c>
      <c r="U627" s="516">
        <f t="shared" si="4468"/>
        <v>-0.7603305785123966</v>
      </c>
      <c r="V627" s="516">
        <f t="shared" si="4468"/>
        <v>9.1176470588235192E-2</v>
      </c>
      <c r="W627" s="1555">
        <f t="shared" si="4468"/>
        <v>-0.42156862745098034</v>
      </c>
      <c r="X627" s="516">
        <f t="shared" si="4468"/>
        <v>-1.1988636363636362</v>
      </c>
      <c r="Y627" s="516">
        <f t="shared" si="4468"/>
        <v>1.2068965517241379</v>
      </c>
      <c r="Z627" s="516">
        <f t="shared" si="4468"/>
        <v>-0.87331536388140163</v>
      </c>
      <c r="AA627" s="516">
        <f t="shared" si="4468"/>
        <v>-0.47457627118644075</v>
      </c>
      <c r="AB627" s="516">
        <f t="shared" si="4468"/>
        <v>-5.9428571428571431</v>
      </c>
      <c r="AC627" s="516">
        <f t="shared" si="4468"/>
        <v>-1.2109375</v>
      </c>
      <c r="AD627" s="516">
        <f t="shared" si="4468"/>
        <v>2.3191489361702127</v>
      </c>
      <c r="AE627" s="516">
        <f t="shared" ref="AE627:AF627" si="4469">+AE626/AA626-1</f>
        <v>1.6129032258064515</v>
      </c>
      <c r="AF627" s="516">
        <f t="shared" si="4469"/>
        <v>1.2254335260115607</v>
      </c>
      <c r="AG627" s="516">
        <f t="shared" ref="AG627" si="4470">+AG626/AC626-1</f>
        <v>-0.33333333333333337</v>
      </c>
      <c r="AH627" s="516">
        <f t="shared" ref="AH627" si="4471">+AH626/AD626-1</f>
        <v>1.6602564102564101</v>
      </c>
      <c r="AI627" s="516">
        <f t="shared" ref="AI627:AJ627" si="4472">+AI626/AE626-1</f>
        <v>4.7283950617283947</v>
      </c>
      <c r="AJ627" s="516">
        <f t="shared" si="4472"/>
        <v>-0.24155844155844153</v>
      </c>
      <c r="AK627" s="516">
        <f t="shared" ref="AK627" si="4473">+AK626/AG626-1</f>
        <v>-16.946111111111108</v>
      </c>
      <c r="AL627" s="1555">
        <f t="shared" ref="AL627" si="4474">+AL626/AH626-1</f>
        <v>0.16091076443754004</v>
      </c>
      <c r="AM627" s="1555">
        <f t="shared" ref="AM627" si="4475">+AM626/AI626-1</f>
        <v>-0.40699351388076765</v>
      </c>
      <c r="AN627" s="1555">
        <f t="shared" ref="AN627" si="4476">+AN626/AJ626-1</f>
        <v>-2.7639913193213683E-2</v>
      </c>
      <c r="AO627" s="516">
        <f t="shared" ref="AO627" si="4477">+AO626/AK626-1</f>
        <v>0.13153090372234155</v>
      </c>
      <c r="AP627" s="516">
        <f t="shared" ref="AP627" si="4478">+AP626/AL626-1</f>
        <v>0.18355726954807428</v>
      </c>
      <c r="AQ627" s="1555">
        <f t="shared" ref="AQ627" si="4479">+AQ626/AM626-1</f>
        <v>0.18102008944545389</v>
      </c>
      <c r="AR627" s="516">
        <f t="shared" ref="AR627" si="4480">+AR626/AN626-1</f>
        <v>9.5545951340411772E-2</v>
      </c>
      <c r="AS627" s="516">
        <f t="shared" ref="AS627" si="4481">+AS626/AO626-1</f>
        <v>-1.7336449769045359E-2</v>
      </c>
      <c r="AT627" s="516">
        <f t="shared" ref="AT627" si="4482">+AT626/AP626-1</f>
        <v>-7.4048117991049156E-2</v>
      </c>
      <c r="AU627" s="516">
        <f t="shared" ref="AU627" si="4483">+AU626/AQ626-1</f>
        <v>-9.4015583203435171E-2</v>
      </c>
      <c r="AV627" s="516">
        <f t="shared" ref="AV627" si="4484">+AV626/AR626-1</f>
        <v>-6.0667638332176921E-2</v>
      </c>
      <c r="AW627" s="516">
        <f t="shared" ref="AW627" si="4485">+AW626/AS626-1</f>
        <v>-2.4155370712751867E-2</v>
      </c>
      <c r="AX627" s="516">
        <f t="shared" ref="AX627" si="4486">+AX626/AT626-1</f>
        <v>-1.0973061028709652E-2</v>
      </c>
      <c r="AY627" s="516"/>
      <c r="AZ627" s="516"/>
      <c r="BA627" s="72"/>
      <c r="BB627" s="516">
        <v>-7.4048117991049156E-2</v>
      </c>
      <c r="BC627" s="2189"/>
      <c r="BD627" s="72"/>
      <c r="BE627" s="516"/>
      <c r="BF627" s="516"/>
      <c r="BG627" s="516"/>
      <c r="BH627" s="516">
        <f t="shared" ref="BH627:BR627" si="4487">+BH626/BG626-1</f>
        <v>3.503604200405479</v>
      </c>
      <c r="BI627" s="516"/>
      <c r="BJ627" s="2109">
        <f>+BJ626/BH626-1</f>
        <v>-0.26521062812720397</v>
      </c>
      <c r="BK627" s="516">
        <f>+BK626/BJ626-1</f>
        <v>-0.71852899575671847</v>
      </c>
      <c r="BL627" s="516">
        <f t="shared" si="4487"/>
        <v>0.6733668341708543</v>
      </c>
      <c r="BM627" s="516">
        <f t="shared" si="4487"/>
        <v>1.5915915915915915</v>
      </c>
      <c r="BN627" s="516">
        <f t="shared" si="4487"/>
        <v>0.76686902345490049</v>
      </c>
      <c r="BO627" s="1555">
        <f t="shared" si="4487"/>
        <v>-4.63853043280823E-2</v>
      </c>
      <c r="BP627" s="516">
        <f t="shared" si="4487"/>
        <v>2.0001084957146142E-2</v>
      </c>
      <c r="BQ627" s="516">
        <f t="shared" si="4487"/>
        <v>-4.242668490146384E-2</v>
      </c>
      <c r="BR627" s="516">
        <f t="shared" si="4487"/>
        <v>6.4877433312052979E-2</v>
      </c>
      <c r="BS627" s="516">
        <f t="shared" ref="BS627" si="4488">+BS626/BR626-1</f>
        <v>5.5277023098354139E-2</v>
      </c>
      <c r="BT627" s="516">
        <f t="shared" ref="BT627" si="4489">+BT626/BS626-1</f>
        <v>5.3911050766210167E-2</v>
      </c>
      <c r="BU627" s="516">
        <f t="shared" ref="BU627" si="4490">+BU626/BT626-1</f>
        <v>5.3833198513613123E-2</v>
      </c>
    </row>
    <row r="628" spans="1:73" s="363" customFormat="1" ht="15" hidden="1" customHeight="1">
      <c r="B628" s="363" t="s">
        <v>318</v>
      </c>
      <c r="M628" s="524">
        <f t="shared" ref="M628:T628" si="4491">+M626/M$609</f>
        <v>-3.8249124715921129E-5</v>
      </c>
      <c r="N628" s="524">
        <f t="shared" si="4491"/>
        <v>-1.7633823315546689E-2</v>
      </c>
      <c r="O628" s="524">
        <f t="shared" si="4491"/>
        <v>3.7162925096569023E-4</v>
      </c>
      <c r="P628" s="524">
        <f t="shared" si="4491"/>
        <v>-4.7500295701129333E-2</v>
      </c>
      <c r="Q628" s="524">
        <f t="shared" si="4491"/>
        <v>-2.613955497947721E-2</v>
      </c>
      <c r="R628" s="524">
        <f t="shared" si="4491"/>
        <v>-2.5256276927648195E-2</v>
      </c>
      <c r="S628" s="1562">
        <f t="shared" si="4491"/>
        <v>-1.1469695265939503E-2</v>
      </c>
      <c r="T628" s="524">
        <f t="shared" si="4491"/>
        <v>-2.0288184438040348E-2</v>
      </c>
      <c r="U628" s="524">
        <f t="shared" ref="U628:AE628" si="4492">+U626/U$609</f>
        <v>-6.1985679170674362E-3</v>
      </c>
      <c r="V628" s="524">
        <f t="shared" si="4492"/>
        <v>-2.5821269487750553E-2</v>
      </c>
      <c r="W628" s="1562">
        <f t="shared" si="4492"/>
        <v>-6.6054635020152261E-3</v>
      </c>
      <c r="X628" s="524">
        <f t="shared" si="4492"/>
        <v>3.574346405228758E-3</v>
      </c>
      <c r="Y628" s="524">
        <f t="shared" si="4492"/>
        <v>-9.2445471616351312E-3</v>
      </c>
      <c r="Z628" s="524">
        <f t="shared" si="4492"/>
        <v>-2.2640782311286671E-3</v>
      </c>
      <c r="AA628" s="524">
        <f t="shared" si="4492"/>
        <v>-2.3490187163749338E-3</v>
      </c>
      <c r="AB628" s="524">
        <f t="shared" si="4492"/>
        <v>-1.4208278580814719E-2</v>
      </c>
      <c r="AC628" s="524">
        <f t="shared" si="4492"/>
        <v>1.9416079390191287E-3</v>
      </c>
      <c r="AD628" s="524">
        <f t="shared" si="4492"/>
        <v>-8.236971329003643E-3</v>
      </c>
      <c r="AE628" s="524">
        <f t="shared" si="4492"/>
        <v>-7.9614704147827793E-3</v>
      </c>
      <c r="AF628" s="524">
        <f t="shared" ref="AF628:AI628" si="4493">+AF626/AF$609</f>
        <v>-4.2335605893996042E-2</v>
      </c>
      <c r="AG628" s="524">
        <f t="shared" si="4493"/>
        <v>1.8442622950819673E-3</v>
      </c>
      <c r="AH628" s="524">
        <f t="shared" si="4493"/>
        <v>-2.7585748471151288E-2</v>
      </c>
      <c r="AI628" s="524">
        <f t="shared" si="4493"/>
        <v>-5.4594658195081774E-2</v>
      </c>
      <c r="AJ628" s="524">
        <f t="shared" ref="AJ628:AK628" si="4494">+AJ626/AJ$609</f>
        <v>-3.6486317630888415E-2</v>
      </c>
      <c r="AK628" s="524">
        <f t="shared" si="4494"/>
        <v>-3.4605234127563021E-2</v>
      </c>
      <c r="AL628" s="1560">
        <f t="shared" ref="AL628" si="4495">+AK628</f>
        <v>-3.4605234127563021E-2</v>
      </c>
      <c r="AM628" s="1560">
        <f t="shared" ref="AM628" si="4496">+AL628</f>
        <v>-3.4605234127563021E-2</v>
      </c>
      <c r="AN628" s="1560">
        <f t="shared" ref="AN628" si="4497">+AM628</f>
        <v>-3.4605234127563021E-2</v>
      </c>
      <c r="AO628" s="527">
        <f t="shared" ref="AO628" si="4498">+AN628</f>
        <v>-3.4605234127563021E-2</v>
      </c>
      <c r="AP628" s="527">
        <f t="shared" ref="AP628" si="4499">+AO628</f>
        <v>-3.4605234127563021E-2</v>
      </c>
      <c r="AQ628" s="1560">
        <f t="shared" ref="AQ628" si="4500">+AP628</f>
        <v>-3.4605234127563021E-2</v>
      </c>
      <c r="AR628" s="527">
        <f t="shared" ref="AR628" si="4501">+AQ628</f>
        <v>-3.4605234127563021E-2</v>
      </c>
      <c r="AS628" s="527">
        <f t="shared" ref="AS628" si="4502">+AR628</f>
        <v>-3.4605234127563021E-2</v>
      </c>
      <c r="AT628" s="527">
        <f t="shared" ref="AT628" si="4503">+AS628</f>
        <v>-3.4605234127563021E-2</v>
      </c>
      <c r="AU628" s="527">
        <f t="shared" ref="AU628" si="4504">+AT628</f>
        <v>-3.4605234127563021E-2</v>
      </c>
      <c r="AV628" s="527">
        <f t="shared" ref="AV628" si="4505">+AU628</f>
        <v>-3.4605234127563021E-2</v>
      </c>
      <c r="AW628" s="527">
        <f t="shared" ref="AW628" si="4506">+AV628</f>
        <v>-3.4605234127563021E-2</v>
      </c>
      <c r="AX628" s="527">
        <f t="shared" ref="AX628" si="4507">+AW628</f>
        <v>-3.4605234127563021E-2</v>
      </c>
      <c r="AY628" s="527"/>
      <c r="AZ628" s="527"/>
      <c r="BA628" s="72"/>
      <c r="BB628" s="527">
        <v>-3.4605234127563021E-2</v>
      </c>
      <c r="BC628" s="2189"/>
      <c r="BD628" s="72"/>
      <c r="BE628" s="524"/>
      <c r="BF628" s="524"/>
      <c r="BG628" s="524">
        <f t="shared" ref="BG628:BM628" si="4508">+BG626/BG$609</f>
        <v>-1.4667926590197703E-2</v>
      </c>
      <c r="BH628" s="524">
        <f t="shared" si="4508"/>
        <v>-2.4760515671216461E-2</v>
      </c>
      <c r="BI628" s="524"/>
      <c r="BJ628" s="2115">
        <f t="shared" si="4508"/>
        <v>-1.7121546024749953E-2</v>
      </c>
      <c r="BK628" s="524">
        <f t="shared" si="4508"/>
        <v>-3.7315531886965821E-3</v>
      </c>
      <c r="BL628" s="524">
        <f t="shared" si="4508"/>
        <v>-5.7198804493455635E-3</v>
      </c>
      <c r="BM628" s="524">
        <f t="shared" si="4508"/>
        <v>-1.9581593755672536E-2</v>
      </c>
      <c r="BN628" s="524">
        <f t="shared" ref="BN628:BO628" si="4509">+BN626/BN$609</f>
        <v>-3.938187367490191E-2</v>
      </c>
      <c r="BO628" s="1562">
        <f t="shared" si="4509"/>
        <v>-3.4605234127563014E-2</v>
      </c>
      <c r="BP628" s="524">
        <f t="shared" ref="BP628:BQ628" si="4510">+BP626/BP$609</f>
        <v>-3.4605234127563021E-2</v>
      </c>
      <c r="BQ628" s="524">
        <f t="shared" si="4510"/>
        <v>-3.4605234127563021E-2</v>
      </c>
      <c r="BR628" s="527">
        <f t="shared" ref="BR628" si="4511">+BQ628</f>
        <v>-3.4605234127563021E-2</v>
      </c>
      <c r="BS628" s="527">
        <f t="shared" ref="BS628" si="4512">+BR628</f>
        <v>-3.4605234127563021E-2</v>
      </c>
      <c r="BT628" s="527">
        <f t="shared" ref="BT628" si="4513">+BS628</f>
        <v>-3.4605234127563021E-2</v>
      </c>
      <c r="BU628" s="527">
        <f t="shared" ref="BU628" si="4514">+BT628</f>
        <v>-3.4605234127563021E-2</v>
      </c>
    </row>
    <row r="629" spans="1:73" s="361" customFormat="1" ht="15" hidden="1" customHeight="1">
      <c r="B629" s="361" t="s">
        <v>322</v>
      </c>
      <c r="M629" s="655">
        <f>+M620+M623+M626</f>
        <v>-187.29222876024082</v>
      </c>
      <c r="N629" s="655">
        <f t="shared" ref="N629:Z629" si="4515">+N620+N623+N626</f>
        <v>-735.28401242457915</v>
      </c>
      <c r="O629" s="655">
        <f t="shared" si="4515"/>
        <v>-604.73233115338246</v>
      </c>
      <c r="P629" s="655">
        <f t="shared" si="4515"/>
        <v>-682.06166917403937</v>
      </c>
      <c r="Q629" s="655">
        <f t="shared" si="4515"/>
        <v>-706</v>
      </c>
      <c r="R629" s="655">
        <f t="shared" si="4515"/>
        <v>-861.4</v>
      </c>
      <c r="S629" s="1926">
        <f t="shared" si="4515"/>
        <v>-668.5</v>
      </c>
      <c r="T629" s="655">
        <f t="shared" si="4515"/>
        <v>-685.4</v>
      </c>
      <c r="U629" s="655">
        <f t="shared" si="4515"/>
        <v>-696.7</v>
      </c>
      <c r="V629" s="655">
        <f t="shared" si="4515"/>
        <v>-899.1</v>
      </c>
      <c r="W629" s="1926">
        <f>+W620+W623+W626</f>
        <v>-722.9</v>
      </c>
      <c r="X629" s="655">
        <f t="shared" si="4515"/>
        <v>-826.7</v>
      </c>
      <c r="Y629" s="655">
        <f t="shared" si="4515"/>
        <v>-989.9</v>
      </c>
      <c r="Z629" s="655">
        <f t="shared" si="4515"/>
        <v>-1462.1000000000001</v>
      </c>
      <c r="AA629" s="655">
        <f>+AA620+AA623+AA626</f>
        <v>-1037.0999999999999</v>
      </c>
      <c r="AB629" s="655">
        <f>+AB620+AB623+AB626</f>
        <v>-1004.6</v>
      </c>
      <c r="AC629" s="655">
        <f>+AC620+AC623+AC626</f>
        <v>-1021.8</v>
      </c>
      <c r="AD629" s="655">
        <f>+AD620+AD623+AD626</f>
        <v>-1292.3</v>
      </c>
      <c r="AE629" s="655">
        <f t="shared" ref="AE629:AH629" si="4516">+AE620+AE623+AE626</f>
        <v>-906.9</v>
      </c>
      <c r="AF629" s="655">
        <f t="shared" ref="AF629" si="4517">AF620+AF623+AF626</f>
        <v>-875.40000000000009</v>
      </c>
      <c r="AG629" s="655">
        <f t="shared" si="4516"/>
        <v>-852.5</v>
      </c>
      <c r="AH629" s="655">
        <f t="shared" si="4516"/>
        <v>-1068.5</v>
      </c>
      <c r="AI629" s="655">
        <f t="shared" ref="AI629:AL629" si="4518">+AI620+AI623+AI626</f>
        <v>-831.3</v>
      </c>
      <c r="AJ629" s="655">
        <f t="shared" ref="AJ629" si="4519">+AJ620+AJ623+AJ626</f>
        <v>-778.80000000000007</v>
      </c>
      <c r="AK629" s="655">
        <f t="shared" si="4518"/>
        <v>-738.46500000000003</v>
      </c>
      <c r="AL629" s="1557">
        <f t="shared" si="4518"/>
        <v>-1149.9525547497774</v>
      </c>
      <c r="AM629" s="1557">
        <f t="shared" ref="AM629:AP629" si="4520">+AM620+AM623+AM626</f>
        <v>-736.92674664571064</v>
      </c>
      <c r="AN629" s="1557">
        <f t="shared" si="4520"/>
        <v>-742.61712325073222</v>
      </c>
      <c r="AO629" s="656">
        <f t="shared" si="4520"/>
        <v>-795.19488611815996</v>
      </c>
      <c r="AP629" s="656">
        <f t="shared" si="4520"/>
        <v>-1322.7841584529338</v>
      </c>
      <c r="AQ629" s="1557">
        <f t="shared" ref="AQ629:AT629" si="4521">+AQ620+AQ623+AQ626</f>
        <v>-837.56124873686554</v>
      </c>
      <c r="AR629" s="656">
        <f t="shared" si="4521"/>
        <v>-801.24353651671777</v>
      </c>
      <c r="AS629" s="656">
        <f t="shared" si="4521"/>
        <v>-792.8530229259095</v>
      </c>
      <c r="AT629" s="656">
        <f t="shared" si="4521"/>
        <v>-1256.4378896712985</v>
      </c>
      <c r="AU629" s="656">
        <f t="shared" ref="AU629:AX629" si="4522">+AU620+AU623+AU626</f>
        <v>-791.19954978899113</v>
      </c>
      <c r="AV629" s="656">
        <f t="shared" si="4522"/>
        <v>-775.86942732745274</v>
      </c>
      <c r="AW629" s="656">
        <f t="shared" si="4522"/>
        <v>-787.01857103002351</v>
      </c>
      <c r="AX629" s="656">
        <f t="shared" si="4522"/>
        <v>-1257.3408544795921</v>
      </c>
      <c r="AY629" s="656"/>
      <c r="AZ629" s="656"/>
      <c r="BA629" s="85"/>
      <c r="BB629" s="656">
        <v>-1256.4378896712985</v>
      </c>
      <c r="BC629" s="2197">
        <f>+AT629/BB629-1</f>
        <v>0</v>
      </c>
      <c r="BD629" s="85"/>
      <c r="BE629" s="517"/>
      <c r="BF629" s="517"/>
      <c r="BG629" s="655">
        <f>+SUM(K629:N629)</f>
        <v>-922.57624118481999</v>
      </c>
      <c r="BH629" s="655">
        <f>+SUM(O629:R629)</f>
        <v>-2854.1940003274217</v>
      </c>
      <c r="BI629" s="655"/>
      <c r="BJ629" s="2111">
        <f>+SUM(S629:V629)</f>
        <v>-2949.7000000000003</v>
      </c>
      <c r="BK629" s="655">
        <f>+SUM(W629:Z629)</f>
        <v>-4001.6000000000004</v>
      </c>
      <c r="BL629" s="655">
        <f>+SUM(AA629:AD629)</f>
        <v>-4355.8</v>
      </c>
      <c r="BM629" s="655">
        <f>+SUM(AE629:AH629)</f>
        <v>-3703.3</v>
      </c>
      <c r="BN629" s="655">
        <f>+SUM(AI629:AL629)</f>
        <v>-3498.5175547497774</v>
      </c>
      <c r="BO629" s="1926">
        <f>+SUM(AM629:AP629)</f>
        <v>-3597.5229144675363</v>
      </c>
      <c r="BP629" s="655">
        <f>+SUM(AQ629:AT629)</f>
        <v>-3688.0956978507911</v>
      </c>
      <c r="BQ629" s="655">
        <f>+SUM(AU629:AX629)</f>
        <v>-3611.4284026260593</v>
      </c>
      <c r="BR629" s="656">
        <f t="shared" ref="BR629" si="4523">+BR620+BR623+BR626</f>
        <v>-3756.8360370074643</v>
      </c>
      <c r="BS629" s="656">
        <f t="shared" ref="BS629:BU629" si="4524">+BS620+BS623+BS626</f>
        <v>-3928.2705070587799</v>
      </c>
      <c r="BT629" s="656">
        <f t="shared" si="4524"/>
        <v>-4104.5218294584456</v>
      </c>
      <c r="BU629" s="656">
        <f t="shared" si="4524"/>
        <v>-4289.3281729166974</v>
      </c>
    </row>
    <row r="630" spans="1:73" s="363" customFormat="1" ht="15" hidden="1" customHeight="1">
      <c r="B630" s="363" t="s">
        <v>316</v>
      </c>
      <c r="Q630" s="516">
        <f t="shared" ref="Q630:AD630" si="4525">+Q629/M629-1</f>
        <v>2.7695103778372712</v>
      </c>
      <c r="R630" s="516">
        <f t="shared" si="4525"/>
        <v>0.17152010032090437</v>
      </c>
      <c r="S630" s="1555">
        <f t="shared" si="4525"/>
        <v>0.10544775855624589</v>
      </c>
      <c r="T630" s="516">
        <f t="shared" si="4525"/>
        <v>4.8944706568883056E-3</v>
      </c>
      <c r="U630" s="516">
        <f t="shared" si="4525"/>
        <v>-1.3172804532577853E-2</v>
      </c>
      <c r="V630" s="516">
        <f t="shared" si="4525"/>
        <v>4.3765962386812296E-2</v>
      </c>
      <c r="W630" s="1555">
        <f t="shared" si="4525"/>
        <v>8.137621540762896E-2</v>
      </c>
      <c r="X630" s="516">
        <f t="shared" si="4525"/>
        <v>0.20615698861978426</v>
      </c>
      <c r="Y630" s="516">
        <f t="shared" si="4525"/>
        <v>0.42084110808095287</v>
      </c>
      <c r="Z630" s="516">
        <f t="shared" si="4525"/>
        <v>0.62618173729284843</v>
      </c>
      <c r="AA630" s="516">
        <f t="shared" si="4525"/>
        <v>0.43463826255360338</v>
      </c>
      <c r="AB630" s="516">
        <f t="shared" si="4525"/>
        <v>0.21519293576871901</v>
      </c>
      <c r="AC630" s="516">
        <f t="shared" si="4525"/>
        <v>3.2225477320941387E-2</v>
      </c>
      <c r="AD630" s="516">
        <f t="shared" si="4525"/>
        <v>-0.11613432733739149</v>
      </c>
      <c r="AE630" s="516">
        <f t="shared" ref="AE630:AF630" si="4526">+AE629/AA629-1</f>
        <v>-0.12554237778420585</v>
      </c>
      <c r="AF630" s="516">
        <f t="shared" si="4526"/>
        <v>-0.12860840135377261</v>
      </c>
      <c r="AG630" s="516">
        <f t="shared" ref="AG630" si="4527">+AG629/AC629-1</f>
        <v>-0.16568800156586416</v>
      </c>
      <c r="AH630" s="516">
        <f t="shared" ref="AH630" si="4528">+AH629/AD629-1</f>
        <v>-0.17317960225953721</v>
      </c>
      <c r="AI630" s="516">
        <f t="shared" ref="AI630:AJ630" si="4529">+AI629/AE629-1</f>
        <v>-8.3360899768441965E-2</v>
      </c>
      <c r="AJ630" s="516">
        <f t="shared" si="4529"/>
        <v>-0.11034955448937633</v>
      </c>
      <c r="AK630" s="516">
        <f t="shared" ref="AK630" si="4530">+AK629/AG629-1</f>
        <v>-0.13376539589442815</v>
      </c>
      <c r="AL630" s="1555">
        <f t="shared" ref="AL630" si="4531">+AL629/AH629-1</f>
        <v>7.6230748478968158E-2</v>
      </c>
      <c r="AM630" s="1555">
        <f t="shared" ref="AM630" si="4532">+AM629/AI629-1</f>
        <v>-0.11352490479284172</v>
      </c>
      <c r="AN630" s="1555">
        <f t="shared" ref="AN630" si="4533">+AN629/AJ629-1</f>
        <v>-4.6459780109486148E-2</v>
      </c>
      <c r="AO630" s="516">
        <f t="shared" ref="AO630" si="4534">+AO629/AK629-1</f>
        <v>7.6821360684879991E-2</v>
      </c>
      <c r="AP630" s="516">
        <f t="shared" ref="AP630" si="4535">+AP629/AL629-1</f>
        <v>0.15029455170936457</v>
      </c>
      <c r="AQ630" s="1555">
        <f t="shared" ref="AQ630" si="4536">+AQ629/AM629-1</f>
        <v>0.13655970902021908</v>
      </c>
      <c r="AR630" s="516">
        <f t="shared" ref="AR630" si="4537">+AR629/AN629-1</f>
        <v>7.8945679315007178E-2</v>
      </c>
      <c r="AS630" s="516">
        <f t="shared" ref="AS630" si="4538">+AS629/AO629-1</f>
        <v>-2.945017923445814E-3</v>
      </c>
      <c r="AT630" s="516">
        <f t="shared" ref="AT630" si="4539">+AT629/AP629-1</f>
        <v>-5.0156534123625085E-2</v>
      </c>
      <c r="AU630" s="516">
        <f t="shared" ref="AU630" si="4540">+AU629/AQ629-1</f>
        <v>-5.535320433913693E-2</v>
      </c>
      <c r="AV630" s="516">
        <f t="shared" ref="AV630" si="4541">+AV629/AR629-1</f>
        <v>-3.166841045554647E-2</v>
      </c>
      <c r="AW630" s="516">
        <f t="shared" ref="AW630" si="4542">+AW629/AS629-1</f>
        <v>-7.3588063956101513E-3</v>
      </c>
      <c r="AX630" s="516">
        <f t="shared" ref="AX630" si="4543">+AX629/AT629-1</f>
        <v>7.1867046967977188E-4</v>
      </c>
      <c r="AY630" s="516"/>
      <c r="AZ630" s="516"/>
      <c r="BA630" s="72"/>
      <c r="BB630" s="516">
        <v>-5.0156534123625085E-2</v>
      </c>
      <c r="BC630" s="2189"/>
      <c r="BD630" s="72"/>
      <c r="BE630" s="516"/>
      <c r="BF630" s="516"/>
      <c r="BG630" s="516"/>
      <c r="BH630" s="516">
        <f t="shared" ref="BH630:BR630" si="4544">+BH629/BG629-1</f>
        <v>2.0937215515781316</v>
      </c>
      <c r="BI630" s="516"/>
      <c r="BJ630" s="2109">
        <f>+BJ629/BH629-1</f>
        <v>3.3461635635707587E-2</v>
      </c>
      <c r="BK630" s="516">
        <f>+BK629/BJ629-1</f>
        <v>0.35661253686815608</v>
      </c>
      <c r="BL630" s="516">
        <f t="shared" si="4544"/>
        <v>8.8514594162335092E-2</v>
      </c>
      <c r="BM630" s="516">
        <f t="shared" si="4544"/>
        <v>-0.1498002663115845</v>
      </c>
      <c r="BN630" s="516">
        <f t="shared" si="4544"/>
        <v>-5.5297287621910884E-2</v>
      </c>
      <c r="BO630" s="1555">
        <f t="shared" si="4544"/>
        <v>2.8299231937065406E-2</v>
      </c>
      <c r="BP630" s="516">
        <f t="shared" si="4544"/>
        <v>2.5176429875960915E-2</v>
      </c>
      <c r="BQ630" s="516">
        <f t="shared" si="4544"/>
        <v>-2.0787772743914745E-2</v>
      </c>
      <c r="BR630" s="516">
        <f t="shared" si="4544"/>
        <v>4.0263191781864327E-2</v>
      </c>
      <c r="BS630" s="516">
        <f t="shared" ref="BS630" si="4545">+BS629/BR629-1</f>
        <v>4.5632672909481808E-2</v>
      </c>
      <c r="BT630" s="516">
        <f t="shared" ref="BT630" si="4546">+BT629/BS629-1</f>
        <v>4.4867409737429309E-2</v>
      </c>
      <c r="BU630" s="516">
        <f t="shared" ref="BU630" si="4547">+BU629/BT629-1</f>
        <v>4.5025060442335452E-2</v>
      </c>
    </row>
    <row r="631" spans="1:73" s="361" customFormat="1" ht="15" hidden="1" customHeight="1">
      <c r="B631" s="361" t="s">
        <v>318</v>
      </c>
      <c r="M631" s="525">
        <f t="shared" ref="M631:Y631" si="4548">+M629/M$609</f>
        <v>-0.76285074071832126</v>
      </c>
      <c r="N631" s="525">
        <f t="shared" si="4548"/>
        <v>-0.60715029524793396</v>
      </c>
      <c r="O631" s="525">
        <f t="shared" si="4548"/>
        <v>-0.74912074420422425</v>
      </c>
      <c r="P631" s="525">
        <f t="shared" si="4548"/>
        <v>-0.84550574920176769</v>
      </c>
      <c r="Q631" s="525">
        <f t="shared" si="4548"/>
        <v>-0.76258371138474834</v>
      </c>
      <c r="R631" s="525">
        <f t="shared" si="4548"/>
        <v>-0.63987520427871036</v>
      </c>
      <c r="S631" s="1563">
        <f t="shared" si="4548"/>
        <v>-0.75171483189025079</v>
      </c>
      <c r="T631" s="525">
        <f t="shared" si="4548"/>
        <v>-0.79008645533141209</v>
      </c>
      <c r="U631" s="525">
        <f t="shared" si="4548"/>
        <v>-0.74457625307256603</v>
      </c>
      <c r="V631" s="525">
        <f t="shared" si="4548"/>
        <v>-0.62576559020044542</v>
      </c>
      <c r="W631" s="1563">
        <f t="shared" si="4548"/>
        <v>-0.80933721450962826</v>
      </c>
      <c r="X631" s="525">
        <f t="shared" si="4548"/>
        <v>-0.84426062091503273</v>
      </c>
      <c r="Y631" s="525">
        <f t="shared" si="4548"/>
        <v>-0.71493572150801676</v>
      </c>
      <c r="Z631" s="525">
        <f>+Z629/Z$609</f>
        <v>-0.70432101739004771</v>
      </c>
      <c r="AA631" s="525">
        <f>+AA629/AA$609</f>
        <v>-0.78586042282336888</v>
      </c>
      <c r="AB631" s="525">
        <f>+AB629/AB$609</f>
        <v>-0.82506570302233906</v>
      </c>
      <c r="AC631" s="525">
        <f>+AC629/AC$609</f>
        <v>-0.73479073781101689</v>
      </c>
      <c r="AD631" s="525">
        <f>+AD629/AD$609</f>
        <v>-0.68234859285073124</v>
      </c>
      <c r="AE631" s="525">
        <f t="shared" ref="AE631:AH631" si="4549">+AE629/AE$609</f>
        <v>-0.8913898171810497</v>
      </c>
      <c r="AF631" s="525">
        <f t="shared" ref="AF631" si="4550">+AF629/AF$609</f>
        <v>-0.96261271167802964</v>
      </c>
      <c r="AG631" s="525">
        <f t="shared" si="4549"/>
        <v>-0.87346311475409832</v>
      </c>
      <c r="AH631" s="525">
        <f t="shared" si="4549"/>
        <v>-0.71024993352831689</v>
      </c>
      <c r="AI631" s="525">
        <f>+AI629/AI$609</f>
        <v>-0.97811507236145423</v>
      </c>
      <c r="AJ631" s="525">
        <f>+AJ629/AJ$609</f>
        <v>-0.97313507434711999</v>
      </c>
      <c r="AK631" s="525">
        <f t="shared" ref="AK631:AL631" si="4551">+AK629/AK$609</f>
        <v>-0.89031649026271908</v>
      </c>
      <c r="AL631" s="1563">
        <f t="shared" si="4551"/>
        <v>-0.82598998083179442</v>
      </c>
      <c r="AM631" s="1563">
        <f t="shared" ref="AM631:AP631" si="4552">+AM629/AM$609</f>
        <v>-0.92680568103703642</v>
      </c>
      <c r="AN631" s="1563">
        <f t="shared" si="4552"/>
        <v>-0.90510043925815675</v>
      </c>
      <c r="AO631" s="525">
        <f t="shared" si="4552"/>
        <v>-0.84726966919865898</v>
      </c>
      <c r="AP631" s="525">
        <f t="shared" si="4552"/>
        <v>-0.80277634142717125</v>
      </c>
      <c r="AQ631" s="1563">
        <f t="shared" ref="AQ631:AT631" si="4553">+AQ629/AQ$609</f>
        <v>-0.89191539125498553</v>
      </c>
      <c r="AR631" s="525">
        <f t="shared" si="4553"/>
        <v>-0.89138589494021603</v>
      </c>
      <c r="AS631" s="525">
        <f t="shared" si="4553"/>
        <v>-0.85967821299399005</v>
      </c>
      <c r="AT631" s="525">
        <f t="shared" si="4553"/>
        <v>-0.82348972692877964</v>
      </c>
      <c r="AU631" s="525">
        <f t="shared" ref="AU631:AX631" si="4554">+AU629/AU$609</f>
        <v>-0.92997738231386951</v>
      </c>
      <c r="AV631" s="525">
        <f t="shared" si="4554"/>
        <v>-0.9189049113695964</v>
      </c>
      <c r="AW631" s="525">
        <f t="shared" si="4554"/>
        <v>-0.8744752820798195</v>
      </c>
      <c r="AX631" s="525">
        <f t="shared" si="4554"/>
        <v>-0.83322456872080164</v>
      </c>
      <c r="AY631" s="525"/>
      <c r="AZ631" s="525"/>
      <c r="BA631" s="85"/>
      <c r="BB631" s="525">
        <v>-0.82348972692877964</v>
      </c>
      <c r="BC631" s="2197"/>
      <c r="BD631" s="85"/>
      <c r="BE631" s="525"/>
      <c r="BF631" s="525"/>
      <c r="BG631" s="525">
        <f t="shared" ref="BG631:BM631" si="4555">+BG629/BG$609</f>
        <v>-0.6333950449985073</v>
      </c>
      <c r="BH631" s="525">
        <f t="shared" si="4555"/>
        <v>-0.73449124978018676</v>
      </c>
      <c r="BI631" s="525"/>
      <c r="BJ631" s="2116">
        <f t="shared" si="4555"/>
        <v>-0.71433414864504885</v>
      </c>
      <c r="BK631" s="525">
        <f t="shared" si="4555"/>
        <v>-0.75036096682855491</v>
      </c>
      <c r="BL631" s="525">
        <f t="shared" si="4555"/>
        <v>-0.74818784568346564</v>
      </c>
      <c r="BM631" s="525">
        <f t="shared" si="4555"/>
        <v>-0.84028408059538928</v>
      </c>
      <c r="BN631" s="525">
        <f t="shared" ref="BN631:BO631" si="4556">+BN629/BN$609</f>
        <v>-0.9035772330061147</v>
      </c>
      <c r="BO631" s="1563">
        <f t="shared" si="4556"/>
        <v>-0.85616461195715632</v>
      </c>
      <c r="BP631" s="525">
        <f t="shared" ref="BP631:BQ631" si="4557">+BP629/BP$609</f>
        <v>-0.86050867319347146</v>
      </c>
      <c r="BQ631" s="525">
        <f t="shared" si="4557"/>
        <v>-0.87995415198495863</v>
      </c>
      <c r="BR631" s="525">
        <f>+BR629/BR$609</f>
        <v>-0.85961434258071234</v>
      </c>
      <c r="BS631" s="525">
        <f t="shared" ref="BS631:BU631" si="4558">+BS629/BS$609</f>
        <v>-0.85175818579366869</v>
      </c>
      <c r="BT631" s="525">
        <f t="shared" si="4558"/>
        <v>-0.84444922431153657</v>
      </c>
      <c r="BU631" s="525">
        <f t="shared" si="4558"/>
        <v>-0.83739115727359337</v>
      </c>
    </row>
    <row r="632" spans="1:73" s="363" customFormat="1" ht="15" hidden="1" customHeight="1">
      <c r="S632" s="1541"/>
      <c r="W632" s="1541"/>
      <c r="AL632" s="1541"/>
      <c r="AM632" s="1541"/>
      <c r="AN632" s="1541"/>
      <c r="AQ632" s="1541"/>
      <c r="BA632" s="72"/>
      <c r="BC632" s="2189"/>
      <c r="BD632" s="72"/>
      <c r="BJ632" s="2099"/>
      <c r="BO632" s="1541"/>
    </row>
    <row r="633" spans="1:73" s="529" customFormat="1" ht="15" hidden="1" customHeight="1">
      <c r="A633" s="528"/>
      <c r="B633" s="529" t="s">
        <v>323</v>
      </c>
      <c r="M633" s="530">
        <f>+M615+M629</f>
        <v>-1.3855099029802034</v>
      </c>
      <c r="N633" s="530">
        <f t="shared" ref="N633:Z633" si="4559">+N615+N629</f>
        <v>164.83872190620684</v>
      </c>
      <c r="O633" s="530">
        <f t="shared" si="4559"/>
        <v>8.8968715996244327</v>
      </c>
      <c r="P633" s="530">
        <f t="shared" si="4559"/>
        <v>-64.243864724107993</v>
      </c>
      <c r="Q633" s="530">
        <f t="shared" si="4559"/>
        <v>-3.8999999999999773</v>
      </c>
      <c r="R633" s="530">
        <f t="shared" si="4559"/>
        <v>147.60000000000002</v>
      </c>
      <c r="S633" s="1564">
        <f t="shared" si="4559"/>
        <v>10</v>
      </c>
      <c r="T633" s="530">
        <f>+T615+T629</f>
        <v>-23.100000000000023</v>
      </c>
      <c r="U633" s="530">
        <f t="shared" si="4559"/>
        <v>16.099999999999909</v>
      </c>
      <c r="V633" s="530">
        <f t="shared" si="4559"/>
        <v>206.80000000000007</v>
      </c>
      <c r="W633" s="1564">
        <f t="shared" si="4559"/>
        <v>-30.899999999999977</v>
      </c>
      <c r="X633" s="530">
        <f t="shared" si="4559"/>
        <v>-46.5</v>
      </c>
      <c r="Y633" s="530">
        <f t="shared" si="4559"/>
        <v>109.69999999999993</v>
      </c>
      <c r="Z633" s="530">
        <f t="shared" si="4559"/>
        <v>142.09999999999991</v>
      </c>
      <c r="AA633" s="530">
        <f>+AA615+AA629</f>
        <v>3.6000000000001364</v>
      </c>
      <c r="AB633" s="530">
        <f>+AB615+AB629</f>
        <v>-31.100000000000023</v>
      </c>
      <c r="AC633" s="530">
        <f>+AC615+AC629</f>
        <v>59.299999999999955</v>
      </c>
      <c r="AD633" s="530">
        <f>+AD615+AD629</f>
        <v>197.5</v>
      </c>
      <c r="AE633" s="530">
        <f t="shared" ref="AE633:AH633" si="4560">+AE615+AE629</f>
        <v>-112.69999999999993</v>
      </c>
      <c r="AF633" s="530">
        <f>+AF615+AF629</f>
        <v>-170.50000000000011</v>
      </c>
      <c r="AG633" s="530">
        <f t="shared" si="4560"/>
        <v>-107.5</v>
      </c>
      <c r="AH633" s="530">
        <f t="shared" si="4560"/>
        <v>62.099999999999909</v>
      </c>
      <c r="AI633" s="530">
        <f t="shared" ref="AI633:AL633" si="4561">+AI615+AI629</f>
        <v>-163.09999999999991</v>
      </c>
      <c r="AJ633" s="530">
        <f t="shared" si="4561"/>
        <v>-156.00000000000011</v>
      </c>
      <c r="AK633" s="530">
        <f t="shared" si="4561"/>
        <v>-103.39999999999998</v>
      </c>
      <c r="AL633" s="1564">
        <f t="shared" si="4561"/>
        <v>-61.899288921786592</v>
      </c>
      <c r="AM633" s="1564">
        <f t="shared" ref="AM633:AP633" si="4562">+AM615+AM629</f>
        <v>-103.83983115952151</v>
      </c>
      <c r="AN633" s="1564">
        <f t="shared" si="4562"/>
        <v>-95.907808155012617</v>
      </c>
      <c r="AO633" s="530">
        <f t="shared" si="4562"/>
        <v>-67.213831502587482</v>
      </c>
      <c r="AP633" s="530">
        <f t="shared" si="4562"/>
        <v>-18.533188411537594</v>
      </c>
      <c r="AQ633" s="1564">
        <f t="shared" ref="AQ633:AT633" si="4563">+AQ615+AQ629</f>
        <v>-80.482292360340693</v>
      </c>
      <c r="AR633" s="530">
        <f t="shared" si="4563"/>
        <v>-83.755025436948017</v>
      </c>
      <c r="AS633" s="530">
        <f t="shared" si="4563"/>
        <v>-68.269903243838144</v>
      </c>
      <c r="AT633" s="530">
        <f t="shared" si="4563"/>
        <v>-33.506768307692255</v>
      </c>
      <c r="AU633" s="530">
        <f t="shared" ref="AU633:AX633" si="4564">+AU615+AU629</f>
        <v>-96.790084077755523</v>
      </c>
      <c r="AV633" s="530">
        <f t="shared" si="4564"/>
        <v>-93.465836093659959</v>
      </c>
      <c r="AW633" s="530">
        <f t="shared" si="4564"/>
        <v>-70.938130225810369</v>
      </c>
      <c r="AX633" s="530">
        <f t="shared" si="4564"/>
        <v>-32.738971173457003</v>
      </c>
      <c r="AY633" s="514"/>
      <c r="AZ633" s="514"/>
      <c r="BA633" s="85"/>
      <c r="BB633" s="530">
        <v>-33.506768307692255</v>
      </c>
      <c r="BC633" s="2198">
        <f>+AT633/BB633-1</f>
        <v>0</v>
      </c>
      <c r="BD633" s="85"/>
      <c r="BE633" s="530"/>
      <c r="BF633" s="530"/>
      <c r="BG633" s="530">
        <f>+SUM(K633:N633)</f>
        <v>163.45321200322664</v>
      </c>
      <c r="BH633" s="514">
        <f>+SUM(O633:R633)</f>
        <v>88.353006875516485</v>
      </c>
      <c r="BI633" s="514"/>
      <c r="BJ633" s="2108">
        <f>+SUM(S633:V633)</f>
        <v>209.79999999999995</v>
      </c>
      <c r="BK633" s="530">
        <f>+SUM(W633:Z633)</f>
        <v>174.39999999999986</v>
      </c>
      <c r="BL633" s="530">
        <f>+SUM(AA633:AD633)</f>
        <v>229.30000000000007</v>
      </c>
      <c r="BM633" s="530">
        <f>+SUM(AE633:AH633)</f>
        <v>-328.60000000000014</v>
      </c>
      <c r="BN633" s="530">
        <f>+SUM(AI633:AL633)</f>
        <v>-484.39928892178659</v>
      </c>
      <c r="BO633" s="1564">
        <f>+SUM(AM633:AP633)</f>
        <v>-285.4946592286592</v>
      </c>
      <c r="BP633" s="530">
        <f>+SUM(AQ633:AT633)</f>
        <v>-266.01398934881911</v>
      </c>
      <c r="BQ633" s="530">
        <f>+SUM(AU633:AX633)</f>
        <v>-293.93302157068285</v>
      </c>
      <c r="BR633" s="530">
        <f>+BR615+BR629</f>
        <v>-224.11007060462316</v>
      </c>
      <c r="BS633" s="530">
        <f t="shared" ref="BS633:BU633" si="4565">+BS615+BS629</f>
        <v>-200.26596581093463</v>
      </c>
      <c r="BT633" s="530">
        <f t="shared" si="4565"/>
        <v>-175.53664613072533</v>
      </c>
      <c r="BU633" s="530">
        <f t="shared" si="4565"/>
        <v>-148.83315025785214</v>
      </c>
    </row>
    <row r="634" spans="1:73" s="363" customFormat="1" ht="15" hidden="1" customHeight="1">
      <c r="B634" s="363" t="s">
        <v>316</v>
      </c>
      <c r="M634" s="363" t="str">
        <f>IF(ISNUMBER((M633/I633-1)),IF(I633=0,"NMF",IF(OR(I633*M633&lt;0,M633/I633-1&gt;10),"NMF",M633/I633-1)),"")</f>
        <v/>
      </c>
      <c r="N634" s="363" t="str">
        <f>IF(ISNUMBER((N633/J633-1)),IF(J633=0,"NMF",IF(OR(J633*N633&lt;0,N633/J633-1&gt;10),"NMF",N633/J633-1)),"")</f>
        <v/>
      </c>
      <c r="O634" s="363" t="str">
        <f>IF(ISNUMBER((O633/K633-1)),IF(K633=0,"NMF",IF(OR(K633*O633&lt;0,O633/K633-1&gt;10),"NMF",O633/K633-1)),"")</f>
        <v/>
      </c>
      <c r="P634" s="363" t="str">
        <f>IF(ISNUMBER((P633/L633-1)),IF(L633=0,"NMF",IF(OR(L633*P633&lt;0,P633/L633-1&gt;10),"NMF",P633/L633-1)),"")</f>
        <v/>
      </c>
      <c r="Q634" s="516">
        <f t="shared" ref="Q634:AD634" si="4566">+Q633/M633-1</f>
        <v>1.8148481592308774</v>
      </c>
      <c r="R634" s="516">
        <f t="shared" si="4566"/>
        <v>-0.10457932278809856</v>
      </c>
      <c r="S634" s="1555">
        <f t="shared" si="4566"/>
        <v>0.1239905946739901</v>
      </c>
      <c r="T634" s="516">
        <f t="shared" si="4566"/>
        <v>-0.64043259073528969</v>
      </c>
      <c r="U634" s="516">
        <f t="shared" si="4566"/>
        <v>-5.1282051282051286</v>
      </c>
      <c r="V634" s="516">
        <f t="shared" si="4566"/>
        <v>0.40108401084010858</v>
      </c>
      <c r="W634" s="1555">
        <f t="shared" si="4566"/>
        <v>-4.0899999999999981</v>
      </c>
      <c r="X634" s="516">
        <f t="shared" si="4566"/>
        <v>1.0129870129870109</v>
      </c>
      <c r="Y634" s="516">
        <f t="shared" si="4566"/>
        <v>5.813664596273326</v>
      </c>
      <c r="Z634" s="516">
        <f t="shared" si="4566"/>
        <v>-0.31286266924564865</v>
      </c>
      <c r="AA634" s="516">
        <f t="shared" si="4566"/>
        <v>-1.1165048543689364</v>
      </c>
      <c r="AB634" s="516">
        <f t="shared" si="4566"/>
        <v>-0.33118279569892428</v>
      </c>
      <c r="AC634" s="516">
        <f t="shared" si="4566"/>
        <v>-0.45943482224247956</v>
      </c>
      <c r="AD634" s="516">
        <f t="shared" si="4566"/>
        <v>0.38986629134412465</v>
      </c>
      <c r="AE634" s="516">
        <f t="shared" ref="AE634:AF634" si="4567">+AE633/AA633-1</f>
        <v>-32.305555555554349</v>
      </c>
      <c r="AF634" s="516">
        <f t="shared" si="4567"/>
        <v>4.482315112540193</v>
      </c>
      <c r="AG634" s="516">
        <f t="shared" ref="AG634" si="4568">+AG633/AC633-1</f>
        <v>-2.8128161888701531</v>
      </c>
      <c r="AH634" s="516">
        <f t="shared" ref="AH634" si="4569">+AH633/AD633-1</f>
        <v>-0.68556962025316504</v>
      </c>
      <c r="AI634" s="516">
        <f t="shared" ref="AI634" si="4570">+AI633/AE633-1</f>
        <v>0.44720496894409956</v>
      </c>
      <c r="AJ634" s="516">
        <f t="shared" ref="AJ634" si="4571">+AJ633/AF633-1</f>
        <v>-8.5043988269794646E-2</v>
      </c>
      <c r="AK634" s="516">
        <f t="shared" ref="AK634" si="4572">+AK633/AG633-1</f>
        <v>-3.8139534883721127E-2</v>
      </c>
      <c r="AL634" s="1555">
        <f t="shared" ref="AL634" si="4573">+AL633/AH633-1</f>
        <v>-1.9967679375489</v>
      </c>
      <c r="AM634" s="1555">
        <f t="shared" ref="AM634" si="4574">+AM633/AI633-1</f>
        <v>-0.36333641226534907</v>
      </c>
      <c r="AN634" s="1555">
        <f t="shared" ref="AN634" si="4575">+AN633/AJ633-1</f>
        <v>-0.38520635798068881</v>
      </c>
      <c r="AO634" s="516">
        <f t="shared" ref="AO634" si="4576">+AO633/AK633-1</f>
        <v>-0.3499629448492505</v>
      </c>
      <c r="AP634" s="516">
        <f t="shared" ref="AP634" si="4577">+AP633/AL633-1</f>
        <v>-0.70059125501497488</v>
      </c>
      <c r="AQ634" s="1555">
        <f t="shared" ref="AQ634" si="4578">+AQ633/AM633-1</f>
        <v>-0.22493814308401894</v>
      </c>
      <c r="AR634" s="516">
        <f t="shared" ref="AR634" si="4579">+AR633/AN633-1</f>
        <v>-0.12671317332601806</v>
      </c>
      <c r="AS634" s="516">
        <f t="shared" ref="AS634" si="4580">+AS633/AO633-1</f>
        <v>1.5712119330825614E-2</v>
      </c>
      <c r="AT634" s="516">
        <f t="shared" ref="AT634" si="4581">+AT633/AP633-1</f>
        <v>0.80793329046571682</v>
      </c>
      <c r="AU634" s="516">
        <f t="shared" ref="AU634" si="4582">+AU633/AQ633-1</f>
        <v>0.20262583531294687</v>
      </c>
      <c r="AV634" s="516">
        <f t="shared" ref="AV634" si="4583">+AV633/AR633-1</f>
        <v>0.11594302080443386</v>
      </c>
      <c r="AW634" s="516">
        <f t="shared" ref="AW634" si="4584">+AW633/AS633-1</f>
        <v>3.9083503201142289E-2</v>
      </c>
      <c r="AX634" s="516">
        <f t="shared" ref="AX634" si="4585">+AX633/AT633-1</f>
        <v>-2.2914687778438636E-2</v>
      </c>
      <c r="AY634" s="516"/>
      <c r="AZ634" s="516"/>
      <c r="BA634" s="72"/>
      <c r="BB634" s="516">
        <v>0.80793329046571682</v>
      </c>
      <c r="BC634" s="2189"/>
      <c r="BD634" s="72"/>
      <c r="BE634" s="516"/>
      <c r="BF634" s="516"/>
      <c r="BG634" s="516"/>
      <c r="BH634" s="516">
        <f t="shared" ref="BH634:BR634" si="4586">+BH633/BG633-1</f>
        <v>-0.45945995314076571</v>
      </c>
      <c r="BI634" s="516"/>
      <c r="BJ634" s="2109">
        <f>+BJ633/BH633-1</f>
        <v>1.3745654779536163</v>
      </c>
      <c r="BK634" s="516">
        <f>+BK633/BJ633-1</f>
        <v>-0.16873212583412822</v>
      </c>
      <c r="BL634" s="516">
        <f t="shared" si="4586"/>
        <v>0.31479357798165286</v>
      </c>
      <c r="BM634" s="516">
        <f t="shared" si="4586"/>
        <v>-2.4330571303968602</v>
      </c>
      <c r="BN634" s="516">
        <f t="shared" si="4586"/>
        <v>0.47413052015151069</v>
      </c>
      <c r="BO634" s="1555">
        <f t="shared" si="4586"/>
        <v>-0.41062122559235115</v>
      </c>
      <c r="BP634" s="516">
        <f t="shared" si="4586"/>
        <v>-6.8234796169120537E-2</v>
      </c>
      <c r="BQ634" s="516">
        <f t="shared" si="4586"/>
        <v>0.10495324809874584</v>
      </c>
      <c r="BR634" s="516">
        <f t="shared" si="4586"/>
        <v>-0.23754714796230947</v>
      </c>
      <c r="BS634" s="516">
        <f t="shared" ref="BS634" si="4587">+BS633/BR633-1</f>
        <v>-0.10639461550906604</v>
      </c>
      <c r="BT634" s="516">
        <f t="shared" ref="BT634" si="4588">+BT633/BS633-1</f>
        <v>-0.12348238793383171</v>
      </c>
      <c r="BU634" s="516">
        <f t="shared" ref="BU634" si="4589">+BU633/BT633-1</f>
        <v>-0.15212490645962673</v>
      </c>
    </row>
    <row r="635" spans="1:73" s="363" customFormat="1" ht="15" hidden="1" customHeight="1">
      <c r="B635" s="363" t="s">
        <v>324</v>
      </c>
      <c r="M635" s="525">
        <f t="shared" ref="M635:Z635" si="4590">+M633/M$609</f>
        <v>-5.6432520599348475E-3</v>
      </c>
      <c r="N635" s="525">
        <f t="shared" si="4590"/>
        <v>0.13611322561417905</v>
      </c>
      <c r="O635" s="525">
        <f t="shared" si="4590"/>
        <v>1.1021125761687834E-2</v>
      </c>
      <c r="P635" s="525">
        <f t="shared" si="4590"/>
        <v>-7.9638776712012624E-2</v>
      </c>
      <c r="Q635" s="525">
        <f t="shared" si="4590"/>
        <v>-4.2125729099157239E-3</v>
      </c>
      <c r="R635" s="525">
        <f t="shared" si="4590"/>
        <v>0.10964195513296689</v>
      </c>
      <c r="S635" s="1563">
        <f t="shared" si="4590"/>
        <v>1.1244799280332847E-2</v>
      </c>
      <c r="T635" s="525">
        <f t="shared" si="4590"/>
        <v>-2.662824207492798E-2</v>
      </c>
      <c r="U635" s="525">
        <f t="shared" si="4590"/>
        <v>1.7206369562893991E-2</v>
      </c>
      <c r="V635" s="525">
        <f t="shared" si="4590"/>
        <v>0.1439309576837417</v>
      </c>
      <c r="W635" s="1563">
        <f t="shared" si="4590"/>
        <v>-3.4594715629198358E-2</v>
      </c>
      <c r="X635" s="525">
        <f t="shared" si="4590"/>
        <v>-4.7487745098039214E-2</v>
      </c>
      <c r="Y635" s="525">
        <f t="shared" si="4590"/>
        <v>7.9228658096201027E-2</v>
      </c>
      <c r="Z635" s="525">
        <f t="shared" si="4590"/>
        <v>6.8452237583698589E-2</v>
      </c>
      <c r="AA635" s="525">
        <f>+AA633/AA$609</f>
        <v>2.7278927028871231E-3</v>
      </c>
      <c r="AB635" s="525">
        <f>+AB633/AB$609</f>
        <v>-2.5542049934296998E-2</v>
      </c>
      <c r="AC635" s="525">
        <f>+AC633/AC$609</f>
        <v>4.2643463253271938E-2</v>
      </c>
      <c r="AD635" s="525">
        <f>+AD633/AD$609</f>
        <v>0.10428216906911664</v>
      </c>
      <c r="AE635" s="525">
        <f t="shared" ref="AE635:AH635" si="4591">+AE633/AE$609</f>
        <v>-0.11077255749950848</v>
      </c>
      <c r="AF635" s="525">
        <f t="shared" ref="AF635" si="4592">+AF633/AF$541</f>
        <v>-0.28694042409962994</v>
      </c>
      <c r="AG635" s="525">
        <f t="shared" si="4591"/>
        <v>-0.11014344262295082</v>
      </c>
      <c r="AH635" s="525">
        <f t="shared" si="4591"/>
        <v>4.127891518213235E-2</v>
      </c>
      <c r="AI635" s="525">
        <f t="shared" ref="AI635:AL635" si="4593">+AI633/AI$609</f>
        <v>-0.19190492999176365</v>
      </c>
      <c r="AJ635" s="525">
        <f t="shared" si="4593"/>
        <v>-0.1949269024115958</v>
      </c>
      <c r="AK635" s="525">
        <f t="shared" si="4593"/>
        <v>-0.12466227254259191</v>
      </c>
      <c r="AL635" s="1563">
        <f t="shared" si="4593"/>
        <v>-4.4461132121345122E-2</v>
      </c>
      <c r="AM635" s="1563">
        <f t="shared" ref="AM635:AP635" si="4594">+AM633/AM$609</f>
        <v>-0.13059553866734575</v>
      </c>
      <c r="AN635" s="1563">
        <f t="shared" si="4594"/>
        <v>-0.11689226732263254</v>
      </c>
      <c r="AO635" s="525">
        <f t="shared" si="4594"/>
        <v>-7.1615451478531794E-2</v>
      </c>
      <c r="AP635" s="525">
        <f t="shared" si="4594"/>
        <v>-1.1247492716721989E-2</v>
      </c>
      <c r="AQ635" s="1563">
        <f t="shared" ref="AQ635:AT635" si="4595">+AQ633/AQ$609</f>
        <v>-8.5705248885294835E-2</v>
      </c>
      <c r="AR635" s="525">
        <f t="shared" si="4595"/>
        <v>-9.3177723004691904E-2</v>
      </c>
      <c r="AS635" s="525">
        <f t="shared" si="4595"/>
        <v>-7.4023995273862817E-2</v>
      </c>
      <c r="AT635" s="525">
        <f t="shared" si="4595"/>
        <v>-2.1960878218330357E-2</v>
      </c>
      <c r="AU635" s="525">
        <f t="shared" ref="AU635:AX635" si="4596">+AU633/AU$609</f>
        <v>-0.11376723994417884</v>
      </c>
      <c r="AV635" s="525">
        <f t="shared" si="4596"/>
        <v>-0.11069673943407217</v>
      </c>
      <c r="AW635" s="525">
        <f t="shared" si="4596"/>
        <v>-7.8821064359692231E-2</v>
      </c>
      <c r="AX635" s="525">
        <f t="shared" si="4596"/>
        <v>-2.1695720010352398E-2</v>
      </c>
      <c r="AY635" s="525"/>
      <c r="AZ635" s="525"/>
      <c r="BA635" s="72"/>
      <c r="BB635" s="525">
        <v>-2.1960878218330357E-2</v>
      </c>
      <c r="BC635" s="2189"/>
      <c r="BD635" s="72"/>
      <c r="BE635" s="525"/>
      <c r="BF635" s="525"/>
      <c r="BG635" s="525">
        <f t="shared" ref="BG635:BM635" si="4597">+BG633/BG$609</f>
        <v>0.112218860566987</v>
      </c>
      <c r="BH635" s="525">
        <f t="shared" si="4597"/>
        <v>2.2736545040172848E-2</v>
      </c>
      <c r="BI635" s="525"/>
      <c r="BJ635" s="2116">
        <f t="shared" si="4597"/>
        <v>5.0807642941902972E-2</v>
      </c>
      <c r="BK635" s="525">
        <f t="shared" si="4597"/>
        <v>3.2702657090888612E-2</v>
      </c>
      <c r="BL635" s="525">
        <f t="shared" si="4597"/>
        <v>3.9386444055103241E-2</v>
      </c>
      <c r="BM635" s="525">
        <f t="shared" si="4597"/>
        <v>-7.4559811218006922E-2</v>
      </c>
      <c r="BN635" s="525">
        <f t="shared" ref="BN635:BO635" si="4598">+BN633/BN$609</f>
        <v>-0.12510789564564076</v>
      </c>
      <c r="BO635" s="1563">
        <f t="shared" si="4598"/>
        <v>-6.7944090960855866E-2</v>
      </c>
      <c r="BP635" s="525">
        <f t="shared" ref="BP635:BQ635" si="4599">+BP633/BP$609</f>
        <v>-6.2066541591870444E-2</v>
      </c>
      <c r="BQ635" s="525">
        <f t="shared" si="4599"/>
        <v>-7.1619191605330049E-2</v>
      </c>
      <c r="BR635" s="525">
        <f>+BR633/BR$609</f>
        <v>-5.1279382201083641E-2</v>
      </c>
      <c r="BS635" s="525">
        <f t="shared" ref="BS635:BU635" si="4600">+BS633/BS$609</f>
        <v>-4.3423225414039986E-2</v>
      </c>
      <c r="BT635" s="525">
        <f t="shared" si="4600"/>
        <v>-3.6114263931907878E-2</v>
      </c>
      <c r="BU635" s="525">
        <f t="shared" si="4600"/>
        <v>-2.9056196893964697E-2</v>
      </c>
    </row>
    <row r="636" spans="1:73" s="363" customFormat="1" ht="15" hidden="1" customHeight="1">
      <c r="S636" s="1541"/>
      <c r="W636" s="1541"/>
      <c r="AL636" s="1541"/>
      <c r="AM636" s="1541"/>
      <c r="AN636" s="1541"/>
      <c r="AQ636" s="1541"/>
      <c r="BA636" s="72"/>
      <c r="BC636" s="2189"/>
      <c r="BD636" s="72"/>
      <c r="BJ636" s="2099"/>
      <c r="BO636" s="1541"/>
    </row>
    <row r="637" spans="1:73" s="517" customFormat="1" ht="15" hidden="1" customHeight="1">
      <c r="B637" s="517" t="s">
        <v>325</v>
      </c>
      <c r="M637" s="808">
        <v>13.012523611854267</v>
      </c>
      <c r="N637" s="808">
        <v>52.690251136706962</v>
      </c>
      <c r="O637" s="808">
        <v>48.246564407668643</v>
      </c>
      <c r="P637" s="808">
        <v>51.449946580690835</v>
      </c>
      <c r="Q637" s="808">
        <v>56.59999999999998</v>
      </c>
      <c r="R637" s="808">
        <v>61.199999999999989</v>
      </c>
      <c r="S637" s="1988">
        <f>59.7+88.8</f>
        <v>148.5</v>
      </c>
      <c r="T637" s="808">
        <f>57.0000000000001+88.1</f>
        <v>145.10000000000008</v>
      </c>
      <c r="U637" s="806">
        <f>59.4+84.5</f>
        <v>143.9</v>
      </c>
      <c r="V637" s="806">
        <f>45.4+90.2</f>
        <v>135.6</v>
      </c>
      <c r="W637" s="1930">
        <v>164.4</v>
      </c>
      <c r="X637" s="806">
        <v>191.8</v>
      </c>
      <c r="Y637" s="806">
        <v>198.8</v>
      </c>
      <c r="Z637" s="806">
        <v>206.3</v>
      </c>
      <c r="AA637" s="806">
        <v>190.7</v>
      </c>
      <c r="AB637" s="806">
        <v>189.7</v>
      </c>
      <c r="AC637" s="806">
        <v>191.3</v>
      </c>
      <c r="AD637" s="806">
        <v>223.5</v>
      </c>
      <c r="AE637" s="806">
        <v>177.4</v>
      </c>
      <c r="AF637" s="806">
        <v>164.6</v>
      </c>
      <c r="AG637" s="806">
        <v>169.3</v>
      </c>
      <c r="AH637" s="806">
        <v>180.8</v>
      </c>
      <c r="AI637" s="806">
        <v>187.5</v>
      </c>
      <c r="AJ637" s="806">
        <v>179.3</v>
      </c>
      <c r="AK637" s="806">
        <v>140.854927</v>
      </c>
      <c r="AL637" s="1565">
        <f t="shared" ref="AL637" si="4601">+AVERAGE(AH637:AK637)</f>
        <v>172.11373175</v>
      </c>
      <c r="AM637" s="1565">
        <f>+AVERAGE(AI637:AL637)</f>
        <v>169.9421646875</v>
      </c>
      <c r="AN637" s="1565">
        <f t="shared" ref="AN637:AP637" si="4602">+AVERAGE(AJ637:AM637)</f>
        <v>165.55270585937501</v>
      </c>
      <c r="AO637" s="1539">
        <f t="shared" si="4602"/>
        <v>162.11588232421877</v>
      </c>
      <c r="AP637" s="1539">
        <f t="shared" si="4602"/>
        <v>167.43112115527344</v>
      </c>
      <c r="AQ637" s="1565">
        <f t="shared" ref="AQ637" si="4603">+AVERAGE(AM637:AP637)</f>
        <v>166.26046850659179</v>
      </c>
      <c r="AR637" s="1539">
        <f t="shared" ref="AR637" si="4604">+AVERAGE(AN637:AQ637)</f>
        <v>165.34004446136476</v>
      </c>
      <c r="AS637" s="1539">
        <f t="shared" ref="AS637" si="4605">+AVERAGE(AO637:AR637)</f>
        <v>165.28687911186219</v>
      </c>
      <c r="AT637" s="1539">
        <f t="shared" ref="AT637" si="4606">+AVERAGE(AP637:AS637)</f>
        <v>166.07962830877304</v>
      </c>
      <c r="AU637" s="1539">
        <f t="shared" ref="AU637" si="4607">+AVERAGE(AQ637:AT637)</f>
        <v>165.74175509714794</v>
      </c>
      <c r="AV637" s="1539">
        <f t="shared" ref="AV637" si="4608">+AVERAGE(AR637:AU637)</f>
        <v>165.61207674478698</v>
      </c>
      <c r="AW637" s="1539">
        <f t="shared" ref="AW637" si="4609">+AVERAGE(AS637:AV637)</f>
        <v>165.68008481564254</v>
      </c>
      <c r="AX637" s="1539">
        <f t="shared" ref="AX637" si="4610">+AVERAGE(AT637:AW637)</f>
        <v>165.77838624158761</v>
      </c>
      <c r="AY637" s="1539"/>
      <c r="AZ637" s="1539"/>
      <c r="BA637" s="988"/>
      <c r="BB637" s="1539">
        <v>166.07962830877304</v>
      </c>
      <c r="BC637" s="2188"/>
      <c r="BD637" s="988"/>
      <c r="BG637" s="517">
        <f>+SUM(K637:N637)</f>
        <v>65.702774748561225</v>
      </c>
      <c r="BH637" s="517">
        <f>+SUM(O637:R637)</f>
        <v>217.49651098835943</v>
      </c>
      <c r="BJ637" s="2117">
        <f>+SUM(S637:V637)</f>
        <v>573.10000000000014</v>
      </c>
      <c r="BK637" s="517">
        <f>+SUM(W637:Z637)</f>
        <v>761.3</v>
      </c>
      <c r="BL637" s="517">
        <f>+SUM(AA637:AD637)</f>
        <v>795.2</v>
      </c>
      <c r="BM637" s="517">
        <f>+SUM(AE637:AH637)</f>
        <v>692.1</v>
      </c>
      <c r="BN637" s="517">
        <f>+SUM(AI637:AL637)</f>
        <v>679.76865874999999</v>
      </c>
      <c r="BO637" s="2497">
        <f>+SUM(AM637:AP637)</f>
        <v>665.04187402636717</v>
      </c>
      <c r="BP637" s="517">
        <f>+SUM(AQ637:AT637)</f>
        <v>662.96702038859178</v>
      </c>
      <c r="BQ637" s="517">
        <f>+SUM(AU637:AX637)</f>
        <v>662.81230289916516</v>
      </c>
      <c r="BR637" s="1539">
        <f t="shared" ref="BR637" si="4611">+AVERAGE(BN637:BQ637)</f>
        <v>667.64746401603111</v>
      </c>
      <c r="BS637" s="1539">
        <f t="shared" ref="BS637" si="4612">+AVERAGE(BO637:BR637)</f>
        <v>664.61716533253878</v>
      </c>
      <c r="BT637" s="1539">
        <f t="shared" ref="BT637" si="4613">+AVERAGE(BP637:BS637)</f>
        <v>664.51098815908176</v>
      </c>
      <c r="BU637" s="1539">
        <f t="shared" ref="BU637" si="4614">+AVERAGE(BQ637:BT637)</f>
        <v>664.89698010170423</v>
      </c>
    </row>
    <row r="638" spans="1:73" s="862" customFormat="1" ht="15" hidden="1" customHeight="1">
      <c r="B638" s="862" t="s">
        <v>318</v>
      </c>
      <c r="M638" s="567">
        <f t="shared" ref="M638:V638" si="4615">+M637/M$609</f>
        <v>5.3000668215791642E-2</v>
      </c>
      <c r="N638" s="567">
        <f t="shared" si="4615"/>
        <v>4.3508224024687125E-2</v>
      </c>
      <c r="O638" s="567">
        <f t="shared" si="4615"/>
        <v>5.9766115308299429E-2</v>
      </c>
      <c r="P638" s="567">
        <f t="shared" si="4615"/>
        <v>6.3779021159152502E-2</v>
      </c>
      <c r="Q638" s="567">
        <f t="shared" si="4615"/>
        <v>6.1136314538777256E-2</v>
      </c>
      <c r="R638" s="567">
        <f t="shared" si="4615"/>
        <v>4.5461298469766744E-2</v>
      </c>
      <c r="S638" s="1566">
        <f t="shared" si="4615"/>
        <v>0.16698526931294277</v>
      </c>
      <c r="T638" s="567">
        <f t="shared" si="4615"/>
        <v>0.16726224783861682</v>
      </c>
      <c r="U638" s="567">
        <f t="shared" si="4615"/>
        <v>0.15378860745965586</v>
      </c>
      <c r="V638" s="567">
        <f t="shared" si="4615"/>
        <v>9.4376391982182631E-2</v>
      </c>
      <c r="W638" s="1566">
        <f>+W637/W$609</f>
        <v>0.18405732198835648</v>
      </c>
      <c r="X638" s="567">
        <f t="shared" ref="X638:AD638" si="4616">+X637/X$541</f>
        <v>0.50183150183150182</v>
      </c>
      <c r="Y638" s="567">
        <f t="shared" si="4616"/>
        <v>0.40242914979757088</v>
      </c>
      <c r="Z638" s="567">
        <f t="shared" si="4616"/>
        <v>0.28171514406663939</v>
      </c>
      <c r="AA638" s="567">
        <f t="shared" ref="AA638:AB638" si="4617">+AA637/AA$541</f>
        <v>0.32548216419184162</v>
      </c>
      <c r="AB638" s="567">
        <f t="shared" si="4617"/>
        <v>0.33760455597081329</v>
      </c>
      <c r="AC638" s="567">
        <f t="shared" si="4616"/>
        <v>0.34568124322370802</v>
      </c>
      <c r="AD638" s="567">
        <f t="shared" si="4616"/>
        <v>0.24863722327288909</v>
      </c>
      <c r="AE638" s="567">
        <f t="shared" ref="AE638:AF638" si="4618">+AE637/AE$541</f>
        <v>0.2761519302615193</v>
      </c>
      <c r="AF638" s="567">
        <f t="shared" si="4618"/>
        <v>0.27701110737125545</v>
      </c>
      <c r="AG638" s="567">
        <f t="shared" ref="AG638:AH638" si="4619">+AG637/AG$541</f>
        <v>0.28094922004646533</v>
      </c>
      <c r="AH638" s="567">
        <f t="shared" si="4619"/>
        <v>0.20554797635288768</v>
      </c>
      <c r="AI638" s="567">
        <f t="shared" ref="AI638:AL638" si="4620">+AI637/AI$541</f>
        <v>0.2673606159988593</v>
      </c>
      <c r="AJ638" s="567">
        <f t="shared" si="4620"/>
        <v>0.26426329054223352</v>
      </c>
      <c r="AK638" s="567">
        <f t="shared" si="4620"/>
        <v>0.22594802471640399</v>
      </c>
      <c r="AL638" s="1566">
        <f t="shared" si="4620"/>
        <v>0.19338187426968673</v>
      </c>
      <c r="AM638" s="1566">
        <f t="shared" ref="AM638:AP638" si="4621">+AM637/AM$541</f>
        <v>0.23621752026057294</v>
      </c>
      <c r="AN638" s="1566">
        <f t="shared" si="4621"/>
        <v>0.22108173949295207</v>
      </c>
      <c r="AO638" s="567">
        <f t="shared" si="4621"/>
        <v>0.2163987254293753</v>
      </c>
      <c r="AP638" s="567">
        <f t="shared" si="4621"/>
        <v>0.15095524256355947</v>
      </c>
      <c r="AQ638" s="1566">
        <f t="shared" ref="AQ638:AT638" si="4622">+AQ637/AQ$541</f>
        <v>0.18480439459305856</v>
      </c>
      <c r="AR638" s="567">
        <f t="shared" si="4622"/>
        <v>0.19029265387955799</v>
      </c>
      <c r="AS638" s="567">
        <f t="shared" si="4622"/>
        <v>0.21215905378797667</v>
      </c>
      <c r="AT638" s="567">
        <f t="shared" si="4622"/>
        <v>0.15294127338953614</v>
      </c>
      <c r="AU638" s="567">
        <f t="shared" ref="AU638:AX638" si="4623">+AU637/AU$541</f>
        <v>0.19211737378226254</v>
      </c>
      <c r="AV638" s="567">
        <f t="shared" si="4623"/>
        <v>0.19172970450356827</v>
      </c>
      <c r="AW638" s="567">
        <f t="shared" si="4623"/>
        <v>0.20595113319699848</v>
      </c>
      <c r="AX638" s="567">
        <f t="shared" si="4623"/>
        <v>0.14587891132936767</v>
      </c>
      <c r="AY638" s="567"/>
      <c r="AZ638" s="567"/>
      <c r="BA638" s="617"/>
      <c r="BB638" s="567">
        <v>0.15294127338953614</v>
      </c>
      <c r="BC638" s="2192"/>
      <c r="BD638" s="617"/>
      <c r="BE638" s="567"/>
      <c r="BF638" s="567"/>
      <c r="BG638" s="567">
        <f>+BG637/BG$609</f>
        <v>4.5108263263908197E-2</v>
      </c>
      <c r="BH638" s="567">
        <f>+BH637/BH$609</f>
        <v>5.5970016109747424E-2</v>
      </c>
      <c r="BI638" s="567"/>
      <c r="BJ638" s="2118">
        <f>+BJ637/BJ$609</f>
        <v>0.13878865667304388</v>
      </c>
      <c r="BK638" s="567">
        <f>+BK637/BK$609</f>
        <v>0.14275534887209587</v>
      </c>
      <c r="BL638" s="567">
        <f>+BL637/BL$609</f>
        <v>0.1365900580576454</v>
      </c>
      <c r="BM638" s="567">
        <f>+BM637/BM$609</f>
        <v>0.15703848248320929</v>
      </c>
      <c r="BN638" s="567">
        <f t="shared" ref="BN638:BO638" si="4624">+BN637/BN$609</f>
        <v>0.17556678625885402</v>
      </c>
      <c r="BO638" s="1566">
        <f t="shared" si="4624"/>
        <v>0.15827149167591015</v>
      </c>
      <c r="BP638" s="567">
        <f t="shared" ref="BP638:BQ638" si="4625">+BP637/BP$609</f>
        <v>0.15468385796444062</v>
      </c>
      <c r="BQ638" s="567">
        <f t="shared" si="4625"/>
        <v>0.16149965412542161</v>
      </c>
      <c r="BR638" s="567">
        <f>+BR637/BR$609</f>
        <v>0.15276667126334853</v>
      </c>
      <c r="BS638" s="567">
        <f t="shared" ref="BS638:BU638" si="4626">+BS637/BS$609</f>
        <v>0.14410746662526194</v>
      </c>
      <c r="BT638" s="567">
        <f t="shared" si="4626"/>
        <v>0.13671404655958849</v>
      </c>
      <c r="BU638" s="567">
        <f t="shared" si="4626"/>
        <v>0.12980560805551042</v>
      </c>
    </row>
    <row r="639" spans="1:73" s="363" customFormat="1" ht="15" hidden="1" customHeight="1">
      <c r="B639" s="363" t="s">
        <v>384</v>
      </c>
      <c r="C639" s="567">
        <f t="shared" ref="C639:V639" si="4627">+C637/C$89</f>
        <v>0</v>
      </c>
      <c r="D639" s="567">
        <f t="shared" si="4627"/>
        <v>0</v>
      </c>
      <c r="E639" s="567">
        <f t="shared" si="4627"/>
        <v>0</v>
      </c>
      <c r="F639" s="567">
        <f t="shared" si="4627"/>
        <v>0</v>
      </c>
      <c r="G639" s="567">
        <f t="shared" si="4627"/>
        <v>0</v>
      </c>
      <c r="H639" s="567">
        <f t="shared" si="4627"/>
        <v>0</v>
      </c>
      <c r="I639" s="567">
        <f t="shared" si="4627"/>
        <v>0</v>
      </c>
      <c r="J639" s="567">
        <f t="shared" si="4627"/>
        <v>0</v>
      </c>
      <c r="K639" s="567">
        <f t="shared" si="4627"/>
        <v>0</v>
      </c>
      <c r="L639" s="567">
        <f t="shared" si="4627"/>
        <v>0</v>
      </c>
      <c r="M639" s="567">
        <f t="shared" si="4627"/>
        <v>0.15666720094317102</v>
      </c>
      <c r="N639" s="567">
        <f t="shared" si="4627"/>
        <v>0.31685042186834528</v>
      </c>
      <c r="O639" s="567">
        <f t="shared" si="4627"/>
        <v>0.37615754171789068</v>
      </c>
      <c r="P639" s="567">
        <f t="shared" si="4627"/>
        <v>0.35565159693721221</v>
      </c>
      <c r="Q639" s="567">
        <f t="shared" si="4627"/>
        <v>0.39557116897646405</v>
      </c>
      <c r="R639" s="567">
        <f t="shared" si="4627"/>
        <v>0.35783772651100182</v>
      </c>
      <c r="S639" s="1566">
        <f t="shared" si="4627"/>
        <v>0.56186152099886488</v>
      </c>
      <c r="T639" s="567">
        <f t="shared" si="4627"/>
        <v>0.53267254038179179</v>
      </c>
      <c r="U639" s="567">
        <f t="shared" si="4627"/>
        <v>0.50884016973125878</v>
      </c>
      <c r="V639" s="567">
        <f t="shared" si="4627"/>
        <v>0.45533915379449291</v>
      </c>
      <c r="W639" s="1566">
        <f t="shared" ref="W639:AD639" si="4628">+W637/W$89</f>
        <v>0.26270373921380635</v>
      </c>
      <c r="X639" s="567">
        <f t="shared" si="4628"/>
        <v>0.27248188663162382</v>
      </c>
      <c r="Y639" s="567">
        <f t="shared" si="4628"/>
        <v>0.27956686823231613</v>
      </c>
      <c r="Z639" s="567">
        <f t="shared" si="4628"/>
        <v>0.30427728613569321</v>
      </c>
      <c r="AA639" s="567">
        <f t="shared" si="4628"/>
        <v>0.2738368753589891</v>
      </c>
      <c r="AB639" s="567">
        <f t="shared" si="4628"/>
        <v>0.27142652740020029</v>
      </c>
      <c r="AC639" s="567">
        <f t="shared" si="4628"/>
        <v>0.28792895845875982</v>
      </c>
      <c r="AD639" s="567">
        <f t="shared" si="4628"/>
        <v>0.30536958600901765</v>
      </c>
      <c r="AE639" s="567">
        <f t="shared" ref="AE639:AL639" si="4629">+AE637/AE$89</f>
        <v>0.27321731095025414</v>
      </c>
      <c r="AF639" s="567">
        <f t="shared" si="4629"/>
        <v>0.26139431475305697</v>
      </c>
      <c r="AG639" s="567">
        <f t="shared" si="4629"/>
        <v>0.2720552788044352</v>
      </c>
      <c r="AH639" s="567">
        <f t="shared" si="4629"/>
        <v>0.26180133217492035</v>
      </c>
      <c r="AI639" s="567">
        <f t="shared" si="4629"/>
        <v>0.3106876553438277</v>
      </c>
      <c r="AJ639" s="567">
        <f t="shared" si="4629"/>
        <v>0.30503572643756383</v>
      </c>
      <c r="AK639" s="567">
        <f t="shared" si="4629"/>
        <v>0.26123629337312948</v>
      </c>
      <c r="AL639" s="1566">
        <f t="shared" si="4629"/>
        <v>0.47232088844676184</v>
      </c>
      <c r="AM639" s="1566"/>
      <c r="AN639" s="1566"/>
      <c r="AO639" s="567"/>
      <c r="AP639" s="567"/>
      <c r="AQ639" s="1566"/>
      <c r="AR639" s="567"/>
      <c r="AS639" s="567"/>
      <c r="AT639" s="567"/>
      <c r="AU639" s="567"/>
      <c r="AV639" s="567"/>
      <c r="AW639" s="567"/>
      <c r="AX639" s="567"/>
      <c r="AY639" s="567"/>
      <c r="AZ639" s="567"/>
      <c r="BA639" s="72"/>
      <c r="BB639" s="567"/>
      <c r="BC639" s="2189"/>
      <c r="BD639" s="72"/>
      <c r="BE639" s="567"/>
      <c r="BF639" s="567"/>
      <c r="BG639" s="567">
        <f t="shared" ref="BG639:BM639" si="4630">+BG637/BG$89</f>
        <v>0.17141098053375139</v>
      </c>
      <c r="BH639" s="567">
        <f t="shared" si="4630"/>
        <v>0.37049882944772267</v>
      </c>
      <c r="BI639" s="567"/>
      <c r="BJ639" s="2118">
        <f t="shared" si="4630"/>
        <v>0.51293296339389616</v>
      </c>
      <c r="BK639" s="567">
        <f t="shared" si="4630"/>
        <v>0.28001324113579523</v>
      </c>
      <c r="BL639" s="567">
        <f t="shared" si="4630"/>
        <v>0.28485456369107326</v>
      </c>
      <c r="BM639" s="567">
        <f t="shared" si="4630"/>
        <v>0.26702419074809985</v>
      </c>
      <c r="BN639" s="567">
        <f>+BN637/BN$89</f>
        <v>0.32448958554355717</v>
      </c>
      <c r="BO639" s="1566">
        <f>+BO637/BO$89</f>
        <v>0.70078174291503392</v>
      </c>
      <c r="BP639" s="567">
        <f t="shared" ref="BP639:BQ639" si="4631">+BP637/BP$89</f>
        <v>0.72909603034047266</v>
      </c>
      <c r="BQ639" s="567">
        <f t="shared" si="4631"/>
        <v>0.74569831269650821</v>
      </c>
      <c r="BR639" s="567">
        <f>+BR637/BR$89</f>
        <v>0.84745544405727768</v>
      </c>
      <c r="BS639" s="567">
        <f>+BS637/BS$89</f>
        <v>0.89427589579388211</v>
      </c>
      <c r="BT639" s="567">
        <f>+BT637/BT$89</f>
        <v>0.9195711502283842</v>
      </c>
      <c r="BU639" s="567">
        <f>+BU637/BU$89</f>
        <v>0.93314126566053424</v>
      </c>
    </row>
    <row r="640" spans="1:73" s="363" customFormat="1" ht="15" hidden="1" customHeight="1">
      <c r="S640" s="1541"/>
      <c r="W640" s="1541"/>
      <c r="AL640" s="1541"/>
      <c r="AM640" s="1541"/>
      <c r="AN640" s="1541"/>
      <c r="AQ640" s="1541"/>
      <c r="BA640" s="72"/>
      <c r="BC640" s="2189"/>
      <c r="BD640" s="72"/>
      <c r="BJ640" s="2099"/>
      <c r="BO640" s="1541"/>
    </row>
    <row r="641" spans="1:73" s="529" customFormat="1" ht="15" hidden="1" customHeight="1">
      <c r="A641" s="528"/>
      <c r="B641" s="529" t="s">
        <v>114</v>
      </c>
      <c r="M641" s="530">
        <f t="shared" ref="M641:X641" si="4632">+M633+M637</f>
        <v>11.627013708874063</v>
      </c>
      <c r="N641" s="530">
        <f t="shared" si="4632"/>
        <v>217.5289730429138</v>
      </c>
      <c r="O641" s="530">
        <f t="shared" si="4632"/>
        <v>57.143436007293076</v>
      </c>
      <c r="P641" s="530">
        <f t="shared" si="4632"/>
        <v>-12.793918143417159</v>
      </c>
      <c r="Q641" s="530">
        <f t="shared" si="4632"/>
        <v>52.7</v>
      </c>
      <c r="R641" s="530">
        <f t="shared" si="4632"/>
        <v>208.8</v>
      </c>
      <c r="S641" s="1564">
        <f t="shared" si="4632"/>
        <v>158.5</v>
      </c>
      <c r="T641" s="530">
        <f t="shared" si="4632"/>
        <v>122.00000000000006</v>
      </c>
      <c r="U641" s="530">
        <f t="shared" si="4632"/>
        <v>159.99999999999991</v>
      </c>
      <c r="V641" s="530">
        <f t="shared" si="4632"/>
        <v>342.40000000000009</v>
      </c>
      <c r="W641" s="1564">
        <f t="shared" si="4632"/>
        <v>133.50000000000003</v>
      </c>
      <c r="X641" s="530">
        <f t="shared" si="4632"/>
        <v>145.30000000000001</v>
      </c>
      <c r="Y641" s="530">
        <f t="shared" ref="Y641" si="4633">+Y633+Y637</f>
        <v>308.49999999999994</v>
      </c>
      <c r="Z641" s="530">
        <f t="shared" ref="Z641:AF641" si="4634">+Z633+Z637</f>
        <v>348.39999999999992</v>
      </c>
      <c r="AA641" s="530">
        <f t="shared" si="4634"/>
        <v>194.30000000000013</v>
      </c>
      <c r="AB641" s="530">
        <f t="shared" si="4634"/>
        <v>158.59999999999997</v>
      </c>
      <c r="AC641" s="530">
        <f t="shared" si="4634"/>
        <v>250.59999999999997</v>
      </c>
      <c r="AD641" s="530">
        <f t="shared" si="4634"/>
        <v>421</v>
      </c>
      <c r="AE641" s="530">
        <f t="shared" si="4634"/>
        <v>64.700000000000074</v>
      </c>
      <c r="AF641" s="530">
        <f t="shared" si="4634"/>
        <v>-5.9000000000001194</v>
      </c>
      <c r="AG641" s="530">
        <f t="shared" ref="AG641" si="4635">+AG633+AG637</f>
        <v>61.800000000000011</v>
      </c>
      <c r="AH641" s="530">
        <f>+AH633+AH637</f>
        <v>242.89999999999992</v>
      </c>
      <c r="AI641" s="530">
        <f t="shared" ref="AI641:AL641" si="4636">+AI633+AI637</f>
        <v>24.400000000000091</v>
      </c>
      <c r="AJ641" s="530">
        <f t="shared" ref="AJ641:AK641" si="4637">+AJ633+AJ637</f>
        <v>23.299999999999898</v>
      </c>
      <c r="AK641" s="530">
        <f t="shared" si="4637"/>
        <v>37.454927000000026</v>
      </c>
      <c r="AL641" s="1567">
        <f t="shared" si="4636"/>
        <v>110.21444282821341</v>
      </c>
      <c r="AM641" s="1567">
        <f t="shared" ref="AM641:AP641" si="4638">+AM633+AM637</f>
        <v>66.102333527978487</v>
      </c>
      <c r="AN641" s="1567">
        <f t="shared" si="4638"/>
        <v>69.644897704362393</v>
      </c>
      <c r="AO641" s="832">
        <f t="shared" si="4638"/>
        <v>94.902050821631292</v>
      </c>
      <c r="AP641" s="832">
        <f t="shared" si="4638"/>
        <v>148.89793274373585</v>
      </c>
      <c r="AQ641" s="1567">
        <f t="shared" ref="AQ641:AT641" si="4639">+AQ633+AQ637</f>
        <v>85.778176146251099</v>
      </c>
      <c r="AR641" s="832">
        <f t="shared" si="4639"/>
        <v>81.585019024416738</v>
      </c>
      <c r="AS641" s="832">
        <f t="shared" si="4639"/>
        <v>97.016975868024048</v>
      </c>
      <c r="AT641" s="832">
        <f t="shared" si="4639"/>
        <v>132.57286000108078</v>
      </c>
      <c r="AU641" s="832">
        <f t="shared" ref="AU641:AX641" si="4640">+AU633+AU637</f>
        <v>68.951671019392421</v>
      </c>
      <c r="AV641" s="832">
        <f t="shared" si="4640"/>
        <v>72.146240651127016</v>
      </c>
      <c r="AW641" s="832">
        <f t="shared" si="4640"/>
        <v>94.741954589832176</v>
      </c>
      <c r="AX641" s="832">
        <f t="shared" si="4640"/>
        <v>133.03941506813061</v>
      </c>
      <c r="AY641" s="2647"/>
      <c r="AZ641" s="2647"/>
      <c r="BA641" s="85"/>
      <c r="BB641" s="832">
        <v>132.57286000108078</v>
      </c>
      <c r="BC641" s="2198">
        <f>+AT641/BB641-1</f>
        <v>0</v>
      </c>
      <c r="BD641" s="85"/>
      <c r="BE641" s="530"/>
      <c r="BF641" s="530"/>
      <c r="BG641" s="530">
        <f>+SUM(K641:N641)</f>
        <v>229.15598675178788</v>
      </c>
      <c r="BH641" s="514">
        <f>+SUM(O641:R641)</f>
        <v>305.84951786387592</v>
      </c>
      <c r="BI641" s="514"/>
      <c r="BJ641" s="2108">
        <f>+SUM(S641:V641)</f>
        <v>782.90000000000009</v>
      </c>
      <c r="BK641" s="530">
        <f>+SUM(W641:Z641)</f>
        <v>935.69999999999982</v>
      </c>
      <c r="BL641" s="530">
        <f>+SUM(AA641:AD641)</f>
        <v>1024.5</v>
      </c>
      <c r="BM641" s="530">
        <f>+SUM(AE641:AH641)</f>
        <v>363.49999999999989</v>
      </c>
      <c r="BN641" s="530">
        <f>+SUM(AI641:AL641)</f>
        <v>195.36936982821342</v>
      </c>
      <c r="BO641" s="1564">
        <f>+SUM(AM641:AP641)</f>
        <v>379.54721479770802</v>
      </c>
      <c r="BP641" s="530">
        <f>+SUM(AQ641:AT641)</f>
        <v>396.95303103977267</v>
      </c>
      <c r="BQ641" s="530">
        <f>+SUM(AU641:AX641)</f>
        <v>368.87928132848219</v>
      </c>
      <c r="BR641" s="530">
        <f t="shared" ref="BR641" si="4641">+BR633+BR637</f>
        <v>443.53739341140795</v>
      </c>
      <c r="BS641" s="530">
        <f t="shared" ref="BS641:BU641" si="4642">+BS633+BS637</f>
        <v>464.35119952160414</v>
      </c>
      <c r="BT641" s="530">
        <f t="shared" si="4642"/>
        <v>488.97434202835643</v>
      </c>
      <c r="BU641" s="530">
        <f t="shared" si="4642"/>
        <v>516.06382984385209</v>
      </c>
    </row>
    <row r="642" spans="1:73" s="363" customFormat="1" ht="15" hidden="1" customHeight="1">
      <c r="B642" s="363" t="s">
        <v>316</v>
      </c>
      <c r="M642" s="363" t="str">
        <f>IF(ISNUMBER((M641/I641-1)),IF(I641=0,"NMF",IF(OR(I641*M641&lt;0,M641/I641-1&gt;10),"NMF",M641/I641-1)),"")</f>
        <v/>
      </c>
      <c r="N642" s="363" t="str">
        <f>IF(ISNUMBER((N641/J641-1)),IF(J641=0,"NMF",IF(OR(J641*N641&lt;0,N641/J641-1&gt;10),"NMF",N641/J641-1)),"")</f>
        <v/>
      </c>
      <c r="O642" s="363" t="str">
        <f>IF(ISNUMBER((O641/K641-1)),IF(K641=0,"NMF",IF(OR(K641*O641&lt;0,O641/K641-1&gt;10),"NMF",O641/K641-1)),"")</f>
        <v/>
      </c>
      <c r="P642" s="363" t="str">
        <f>IF(ISNUMBER((P641/L641-1)),IF(L641=0,"NMF",IF(OR(L641*P641&lt;0,P641/L641-1&gt;10),"NMF",P641/L641-1)),"")</f>
        <v/>
      </c>
      <c r="Q642" s="516">
        <f t="shared" ref="Q642:AD642" si="4643">+Q641/M641-1</f>
        <v>3.5325481950518283</v>
      </c>
      <c r="R642" s="516">
        <f t="shared" si="4643"/>
        <v>-4.0127863984315115E-2</v>
      </c>
      <c r="S642" s="1555">
        <f t="shared" si="4643"/>
        <v>1.7737219018431274</v>
      </c>
      <c r="T642" s="516">
        <f t="shared" si="4643"/>
        <v>-10.535780879039983</v>
      </c>
      <c r="U642" s="516">
        <f t="shared" si="4643"/>
        <v>2.0360531309297896</v>
      </c>
      <c r="V642" s="516">
        <f t="shared" si="4643"/>
        <v>0.63984674329501945</v>
      </c>
      <c r="W642" s="1555">
        <f t="shared" si="4643"/>
        <v>-0.15772870662460547</v>
      </c>
      <c r="X642" s="516">
        <f t="shared" si="4643"/>
        <v>0.19098360655737667</v>
      </c>
      <c r="Y642" s="516">
        <f t="shared" si="4643"/>
        <v>0.92812500000000075</v>
      </c>
      <c r="Z642" s="516">
        <f t="shared" si="4643"/>
        <v>1.7523364485980908E-2</v>
      </c>
      <c r="AA642" s="516">
        <f t="shared" si="4643"/>
        <v>0.45543071161048743</v>
      </c>
      <c r="AB642" s="516">
        <f t="shared" si="4643"/>
        <v>9.1534755677907365E-2</v>
      </c>
      <c r="AC642" s="516">
        <f t="shared" si="4643"/>
        <v>-0.1876823338735818</v>
      </c>
      <c r="AD642" s="516">
        <f t="shared" si="4643"/>
        <v>0.20838117106773857</v>
      </c>
      <c r="AE642" s="516">
        <f t="shared" ref="AE642:AF642" si="4644">+AE641/AA641-1</f>
        <v>-0.66700977869274303</v>
      </c>
      <c r="AF642" s="516">
        <f t="shared" si="4644"/>
        <v>-1.0372005044136199</v>
      </c>
      <c r="AG642" s="516">
        <f t="shared" ref="AG642:AH642" si="4645">+AG641/AC641-1</f>
        <v>-0.75339185953711085</v>
      </c>
      <c r="AH642" s="516">
        <f t="shared" si="4645"/>
        <v>-0.4230403800475061</v>
      </c>
      <c r="AI642" s="516">
        <f t="shared" ref="AI642:AK642" si="4646">+AI641/AE641-1</f>
        <v>-0.62287480680061724</v>
      </c>
      <c r="AJ642" s="516">
        <f t="shared" si="4646"/>
        <v>-4.9491525423727847</v>
      </c>
      <c r="AK642" s="516">
        <f t="shared" si="4646"/>
        <v>-0.39393322006472464</v>
      </c>
      <c r="AL642" s="1555">
        <f t="shared" ref="AL642" si="4647">+AL641/AH641-1</f>
        <v>-0.54625589613744974</v>
      </c>
      <c r="AM642" s="1555">
        <f t="shared" ref="AM642" si="4648">+AM641/AI641-1</f>
        <v>1.7091120298351736</v>
      </c>
      <c r="AN642" s="1555">
        <f t="shared" ref="AN642" si="4649">+AN641/AJ641-1</f>
        <v>1.9890514036207168</v>
      </c>
      <c r="AO642" s="516">
        <f t="shared" ref="AO642" si="4650">+AO641/AK641-1</f>
        <v>1.5337668078122597</v>
      </c>
      <c r="AP642" s="516">
        <f t="shared" ref="AP642" si="4651">+AP641/AL641-1</f>
        <v>0.3509838540473027</v>
      </c>
      <c r="AQ642" s="1555">
        <f t="shared" ref="AQ642" si="4652">+AQ641/AM641-1</f>
        <v>0.29765730751312458</v>
      </c>
      <c r="AR642" s="516">
        <f t="shared" ref="AR642" si="4653">+AR641/AN641-1</f>
        <v>0.17144287253804724</v>
      </c>
      <c r="AS642" s="516">
        <f t="shared" ref="AS642" si="4654">+AS641/AO641-1</f>
        <v>2.2285346081379886E-2</v>
      </c>
      <c r="AT642" s="516">
        <f t="shared" ref="AT642" si="4655">+AT641/AP641-1</f>
        <v>-0.10963935121081703</v>
      </c>
      <c r="AU642" s="516">
        <f t="shared" ref="AU642" si="4656">+AU641/AQ641-1</f>
        <v>-0.19616300885401927</v>
      </c>
      <c r="AV642" s="516">
        <f t="shared" ref="AV642" si="4657">+AV641/AR641-1</f>
        <v>-0.11569254363310111</v>
      </c>
      <c r="AW642" s="516">
        <f t="shared" ref="AW642" si="4658">+AW641/AS641-1</f>
        <v>-2.344972369873366E-2</v>
      </c>
      <c r="AX642" s="516">
        <f t="shared" ref="AX642" si="4659">+AX641/AT641-1</f>
        <v>3.5192351364075058E-3</v>
      </c>
      <c r="AY642" s="516"/>
      <c r="AZ642" s="516"/>
      <c r="BA642" s="72"/>
      <c r="BB642" s="516">
        <v>-0.10963935121081703</v>
      </c>
      <c r="BC642" s="2189"/>
      <c r="BD642" s="72"/>
      <c r="BE642" s="515"/>
      <c r="BF642" s="515"/>
      <c r="BG642" s="516"/>
      <c r="BH642" s="516">
        <f t="shared" ref="BH642:BR642" si="4660">+BH641/BG641-1</f>
        <v>0.33467827831685337</v>
      </c>
      <c r="BI642" s="516"/>
      <c r="BJ642" s="2109">
        <f>+BJ641/BH641-1</f>
        <v>1.5597555473291425</v>
      </c>
      <c r="BK642" s="516">
        <f>+BK641/BJ641-1</f>
        <v>0.19517179716438848</v>
      </c>
      <c r="BL642" s="516">
        <f t="shared" si="4660"/>
        <v>9.4902212247515383E-2</v>
      </c>
      <c r="BM642" s="516">
        <f t="shared" si="4660"/>
        <v>-0.64519277696437305</v>
      </c>
      <c r="BN642" s="516">
        <f t="shared" si="4660"/>
        <v>-0.46253268272843606</v>
      </c>
      <c r="BO642" s="1555">
        <f t="shared" si="4660"/>
        <v>0.94271607228625731</v>
      </c>
      <c r="BP642" s="516">
        <f t="shared" si="4660"/>
        <v>4.585942292144507E-2</v>
      </c>
      <c r="BQ642" s="516">
        <f t="shared" si="4660"/>
        <v>-7.0723102019789374E-2</v>
      </c>
      <c r="BR642" s="516">
        <f t="shared" si="4660"/>
        <v>0.20239171962722313</v>
      </c>
      <c r="BS642" s="516">
        <f t="shared" ref="BS642" si="4661">+BS641/BR641-1</f>
        <v>4.6926835074963202E-2</v>
      </c>
      <c r="BT642" s="516">
        <f t="shared" ref="BT642" si="4662">+BT641/BS641-1</f>
        <v>5.3026981586609789E-2</v>
      </c>
      <c r="BU642" s="516">
        <f t="shared" ref="BU642" si="4663">+BU641/BT641-1</f>
        <v>5.5400632481294343E-2</v>
      </c>
    </row>
    <row r="643" spans="1:73" s="531" customFormat="1" ht="15" hidden="1" customHeight="1">
      <c r="B643" s="531" t="s">
        <v>30</v>
      </c>
      <c r="M643" s="518">
        <f t="shared" ref="M643:X643" si="4664">+M641/M$609</f>
        <v>4.7357416155856799E-2</v>
      </c>
      <c r="N643" s="518">
        <f t="shared" si="4664"/>
        <v>0.17962144963886614</v>
      </c>
      <c r="O643" s="518">
        <f t="shared" si="4664"/>
        <v>7.0787241069987267E-2</v>
      </c>
      <c r="P643" s="518">
        <f t="shared" si="4664"/>
        <v>-1.5859755552860122E-2</v>
      </c>
      <c r="Q643" s="518">
        <f t="shared" si="4664"/>
        <v>5.6923741628861532E-2</v>
      </c>
      <c r="R643" s="518">
        <f t="shared" si="4664"/>
        <v>0.15510325360273364</v>
      </c>
      <c r="S643" s="1568">
        <f t="shared" si="4664"/>
        <v>0.17823006859327561</v>
      </c>
      <c r="T643" s="518">
        <f>+T641/T$609</f>
        <v>0.14063400576368881</v>
      </c>
      <c r="U643" s="518">
        <f t="shared" si="4664"/>
        <v>0.17099497702254987</v>
      </c>
      <c r="V643" s="518">
        <f t="shared" si="4664"/>
        <v>0.23830734966592435</v>
      </c>
      <c r="W643" s="1568">
        <f>+W641/W$609</f>
        <v>0.14946260635915812</v>
      </c>
      <c r="X643" s="518">
        <f t="shared" si="4664"/>
        <v>0.14838643790849673</v>
      </c>
      <c r="Y643" s="518">
        <f t="shared" ref="Y643" si="4665">+Y641/Y$609</f>
        <v>0.22280803120034665</v>
      </c>
      <c r="Z643" s="518">
        <f>+Z641/Z$609</f>
        <v>0.16783082036706967</v>
      </c>
      <c r="AA643" s="518">
        <f>+AA641/AA$609</f>
        <v>0.14723043115859674</v>
      </c>
      <c r="AB643" s="518">
        <f>+AB641/AB$609</f>
        <v>0.1302562417871222</v>
      </c>
      <c r="AC643" s="518">
        <f>+AC641/AC$609</f>
        <v>0.18020998130303464</v>
      </c>
      <c r="AD643" s="518">
        <f>+AD641/AD$609</f>
        <v>0.22229262368657268</v>
      </c>
      <c r="AE643" s="518">
        <f t="shared" ref="AE643:AH643" si="4666">+AE641/AE$609</f>
        <v>6.3593473560055111E-2</v>
      </c>
      <c r="AF643" s="518">
        <f t="shared" ref="AF643" si="4667">+AF641/AF$609</f>
        <v>-6.4877941499891355E-3</v>
      </c>
      <c r="AG643" s="518">
        <f t="shared" si="4666"/>
        <v>6.3319672131147559E-2</v>
      </c>
      <c r="AH643" s="518">
        <f t="shared" si="4666"/>
        <v>0.16145971816006374</v>
      </c>
      <c r="AI643" s="518">
        <f t="shared" ref="AI643:AL643" si="4668">+AI641/AI$609</f>
        <v>2.8709259912931041E-2</v>
      </c>
      <c r="AJ643" s="518">
        <f t="shared" ref="AJ643:AK643" si="4669">+AJ641/AJ$609</f>
        <v>2.9114082219167687E-2</v>
      </c>
      <c r="AK643" s="518">
        <f t="shared" si="4669"/>
        <v>4.5156830925888673E-2</v>
      </c>
      <c r="AL643" s="1568">
        <f t="shared" si="4668"/>
        <v>7.9165027411823768E-2</v>
      </c>
      <c r="AM643" s="1568">
        <f t="shared" ref="AM643:AP643" si="4670">+AM641/AM$609</f>
        <v>8.313447506470964E-2</v>
      </c>
      <c r="AN643" s="1568">
        <f t="shared" si="4670"/>
        <v>8.4883078413780219E-2</v>
      </c>
      <c r="AO643" s="518">
        <f t="shared" si="4670"/>
        <v>0.10111688418726815</v>
      </c>
      <c r="AP643" s="518">
        <f t="shared" si="4670"/>
        <v>9.0363750525924033E-2</v>
      </c>
      <c r="AQ643" s="1568">
        <f t="shared" ref="AQ643:AT643" si="4671">+AQ641/AQ$609</f>
        <v>9.1344812876674258E-2</v>
      </c>
      <c r="AR643" s="518">
        <f t="shared" si="4671"/>
        <v>9.076358420680615E-2</v>
      </c>
      <c r="AS643" s="518">
        <f t="shared" si="4671"/>
        <v>0.10519399943323145</v>
      </c>
      <c r="AT643" s="518">
        <f t="shared" si="4671"/>
        <v>8.6890397987773468E-2</v>
      </c>
      <c r="AU643" s="518">
        <f t="shared" ref="AU643:AX643" si="4672">+AU641/AU$609</f>
        <v>8.1045918868233771E-2</v>
      </c>
      <c r="AV643" s="518">
        <f t="shared" si="4672"/>
        <v>8.5446767891775258E-2</v>
      </c>
      <c r="AW643" s="518">
        <f t="shared" si="4672"/>
        <v>0.10527006669779888</v>
      </c>
      <c r="AX643" s="518">
        <f t="shared" si="4672"/>
        <v>8.8163610406894702E-2</v>
      </c>
      <c r="AY643" s="518"/>
      <c r="AZ643" s="518"/>
      <c r="BA643" s="2257"/>
      <c r="BB643" s="518">
        <v>8.6890397987773468E-2</v>
      </c>
      <c r="BC643" s="2200">
        <f>+AT643-BB643</f>
        <v>0</v>
      </c>
      <c r="BD643" s="2257"/>
      <c r="BE643" s="518"/>
      <c r="BF643" s="518"/>
      <c r="BG643" s="518">
        <f>+BG641/BG$609</f>
        <v>0.1573271238308952</v>
      </c>
      <c r="BH643" s="518">
        <f>+BH641/BH$609</f>
        <v>7.8706561149920265E-2</v>
      </c>
      <c r="BI643" s="518"/>
      <c r="BJ643" s="2113">
        <f>+BJ641/BJ$609</f>
        <v>0.18959629961494687</v>
      </c>
      <c r="BK643" s="518">
        <f>+BK641/BK$609</f>
        <v>0.17545800596298447</v>
      </c>
      <c r="BL643" s="518">
        <f>+BL641/BL$609</f>
        <v>0.17597650211274862</v>
      </c>
      <c r="BM643" s="518">
        <f t="shared" ref="BM643:BN643" si="4673">+BM641/BM$609</f>
        <v>8.2478671265202363E-2</v>
      </c>
      <c r="BN643" s="518">
        <f t="shared" si="4673"/>
        <v>5.0458890613213271E-2</v>
      </c>
      <c r="BO643" s="1568">
        <f t="shared" ref="BO643:BP643" si="4674">+BO641/BO$609</f>
        <v>9.0327400715054296E-2</v>
      </c>
      <c r="BP643" s="518">
        <f t="shared" si="4674"/>
        <v>9.261731637257016E-2</v>
      </c>
      <c r="BQ643" s="518">
        <f t="shared" ref="BQ643" si="4675">+BQ641/BQ$609</f>
        <v>8.9880462520091534E-2</v>
      </c>
      <c r="BR643" s="518">
        <f>+BR641/BR$609</f>
        <v>0.1014872890622649</v>
      </c>
      <c r="BS643" s="518">
        <f t="shared" ref="BS643:BU643" si="4676">+BS641/BS$609</f>
        <v>0.10068424121122196</v>
      </c>
      <c r="BT643" s="518">
        <f t="shared" si="4676"/>
        <v>0.1005997826276806</v>
      </c>
      <c r="BU643" s="518">
        <f t="shared" si="4676"/>
        <v>0.10074941116154573</v>
      </c>
    </row>
    <row r="644" spans="1:73" s="363" customFormat="1" ht="15" hidden="1" customHeight="1">
      <c r="B644" s="361" t="s">
        <v>331</v>
      </c>
      <c r="S644" s="1541"/>
      <c r="W644" s="1541"/>
      <c r="AL644" s="1541"/>
      <c r="AM644" s="1541"/>
      <c r="AN644" s="1541"/>
      <c r="AQ644" s="1541"/>
      <c r="BA644" s="72"/>
      <c r="BC644" s="2189"/>
      <c r="BD644" s="72"/>
      <c r="BI644" s="2141"/>
      <c r="BJ644" s="2094">
        <f t="shared" ref="BJ644:BL644" si="4677">+BJ641/BJ$115</f>
        <v>0.14736020261886693</v>
      </c>
      <c r="BK644" s="1196">
        <f t="shared" si="4677"/>
        <v>0.26668756769081692</v>
      </c>
      <c r="BL644" s="1196">
        <f t="shared" si="4677"/>
        <v>0.2620271618199958</v>
      </c>
      <c r="BM644" s="1196">
        <f t="shared" ref="BM644:BN644" si="4678">+BM641/BM$115</f>
        <v>0.17037731427232242</v>
      </c>
      <c r="BN644" s="1196">
        <f t="shared" si="4678"/>
        <v>0.12840950980828719</v>
      </c>
      <c r="BO644" s="1915">
        <f t="shared" ref="BO644:BP644" si="4679">+BO641/BO$115</f>
        <v>0.20509946524246261</v>
      </c>
      <c r="BP644" s="1196">
        <f t="shared" si="4679"/>
        <v>0.17913958613621056</v>
      </c>
      <c r="BQ644" s="1196">
        <f t="shared" ref="BQ644" si="4680">+BQ641/BQ$115</f>
        <v>0.14158158183456118</v>
      </c>
    </row>
    <row r="645" spans="1:73" s="363" customFormat="1" ht="15" hidden="1" customHeight="1">
      <c r="B645" s="361"/>
      <c r="S645" s="1569"/>
      <c r="T645" s="512"/>
      <c r="U645" s="512"/>
      <c r="V645" s="512"/>
      <c r="W645" s="1569"/>
      <c r="X645" s="512"/>
      <c r="Y645" s="512"/>
      <c r="Z645" s="512"/>
      <c r="AA645" s="512"/>
      <c r="AB645" s="512"/>
      <c r="AC645" s="512"/>
      <c r="AD645" s="512"/>
      <c r="AE645" s="512"/>
      <c r="AF645" s="512"/>
      <c r="AG645" s="512"/>
      <c r="AH645" s="512"/>
      <c r="AI645" s="512"/>
      <c r="AJ645" s="512"/>
      <c r="AK645" s="512"/>
      <c r="AL645" s="1569"/>
      <c r="AM645" s="1569"/>
      <c r="AN645" s="1569"/>
      <c r="AO645" s="512"/>
      <c r="AP645" s="512"/>
      <c r="AQ645" s="1569"/>
      <c r="AR645" s="512"/>
      <c r="AS645" s="512"/>
      <c r="AT645" s="512"/>
      <c r="AU645" s="512"/>
      <c r="AV645" s="512"/>
      <c r="AW645" s="512"/>
      <c r="AX645" s="512"/>
      <c r="AY645" s="512"/>
      <c r="AZ645" s="512"/>
      <c r="BA645" s="72"/>
      <c r="BB645" s="512"/>
      <c r="BC645" s="2189"/>
      <c r="BD645" s="72"/>
      <c r="BJ645" s="2099"/>
      <c r="BO645" s="1541"/>
    </row>
    <row r="646" spans="1:73" s="655" customFormat="1" ht="15" hidden="1" customHeight="1">
      <c r="B646" s="655" t="s">
        <v>334</v>
      </c>
      <c r="G646" s="825"/>
      <c r="H646" s="825"/>
      <c r="I646" s="825"/>
      <c r="J646" s="825"/>
      <c r="K646" s="825"/>
      <c r="L646" s="825"/>
      <c r="M646" s="825">
        <f t="shared" ref="M646:R646" si="4681">+M641</f>
        <v>11.627013708874063</v>
      </c>
      <c r="N646" s="825">
        <f t="shared" si="4681"/>
        <v>217.5289730429138</v>
      </c>
      <c r="O646" s="825">
        <f t="shared" si="4681"/>
        <v>57.143436007293076</v>
      </c>
      <c r="P646" s="825">
        <f t="shared" si="4681"/>
        <v>-12.793918143417159</v>
      </c>
      <c r="Q646" s="825">
        <f t="shared" si="4681"/>
        <v>52.7</v>
      </c>
      <c r="R646" s="825">
        <f t="shared" si="4681"/>
        <v>208.8</v>
      </c>
      <c r="S646" s="1929">
        <v>81</v>
      </c>
      <c r="T646" s="807">
        <v>26.7</v>
      </c>
      <c r="U646" s="807">
        <v>62.6</v>
      </c>
      <c r="V646" s="807">
        <v>229.3</v>
      </c>
      <c r="W646" s="1570">
        <f t="shared" ref="W646:AD646" si="4682">+W647*W609</f>
        <v>48.687782356647183</v>
      </c>
      <c r="X646" s="826">
        <f t="shared" si="4682"/>
        <v>50.41088980518947</v>
      </c>
      <c r="Y646" s="826">
        <f t="shared" si="4682"/>
        <v>178.80876354285883</v>
      </c>
      <c r="Z646" s="826">
        <f t="shared" si="4682"/>
        <v>159.36777976445512</v>
      </c>
      <c r="AA646" s="826">
        <f t="shared" si="4682"/>
        <v>70.055110363521763</v>
      </c>
      <c r="AB646" s="826">
        <f t="shared" si="4682"/>
        <v>44.213071879452478</v>
      </c>
      <c r="AC646" s="826">
        <f t="shared" si="4682"/>
        <v>120.98975196998937</v>
      </c>
      <c r="AD646" s="826">
        <f t="shared" si="4682"/>
        <v>244.69882853460044</v>
      </c>
      <c r="AE646" s="826">
        <f t="shared" ref="AE646:AH646" si="4683">+AE647*AE609</f>
        <v>-30.524673363399586</v>
      </c>
      <c r="AF646" s="826">
        <f t="shared" si="4683"/>
        <v>-90.891203717558795</v>
      </c>
      <c r="AG646" s="826">
        <f t="shared" si="4683"/>
        <v>-29.296949757706365</v>
      </c>
      <c r="AH646" s="826">
        <f t="shared" si="4683"/>
        <v>102.4339302220185</v>
      </c>
      <c r="AI646" s="826">
        <f t="shared" ref="AI646:AL646" si="4684">+AI647*AI609</f>
        <v>-55.01504882069414</v>
      </c>
      <c r="AJ646" s="826">
        <f t="shared" ref="AJ646" si="4685">+AJ647*AJ609</f>
        <v>-51.449262421607479</v>
      </c>
      <c r="AK646" s="826">
        <f t="shared" si="4684"/>
        <v>-40.004331410903248</v>
      </c>
      <c r="AL646" s="1570">
        <f t="shared" si="4684"/>
        <v>-19.817907788751796</v>
      </c>
      <c r="AM646" s="1570">
        <f t="shared" ref="AM646:AP646" si="4686">+AM647*AM609</f>
        <v>-8.1681817215818988</v>
      </c>
      <c r="AN646" s="1570">
        <f t="shared" si="4686"/>
        <v>-6.9871509490188863</v>
      </c>
      <c r="AO646" s="826">
        <f t="shared" si="4686"/>
        <v>7.2441208007782958</v>
      </c>
      <c r="AP646" s="826">
        <f t="shared" si="4686"/>
        <v>-5.0048865295078553</v>
      </c>
      <c r="AQ646" s="1570">
        <f t="shared" ref="AQ646:AT646" si="4687">+AQ647*AQ609</f>
        <v>-1.9313053932518667</v>
      </c>
      <c r="AR646" s="826">
        <f t="shared" si="4687"/>
        <v>-2.3697967958319777</v>
      </c>
      <c r="AS646" s="826">
        <f t="shared" si="4687"/>
        <v>10.87700067885857</v>
      </c>
      <c r="AT646" s="826">
        <f t="shared" si="4687"/>
        <v>-9.9330863253221668</v>
      </c>
      <c r="AU646" s="826">
        <f t="shared" ref="AU646:AX646" si="4688">+AU647*AU609</f>
        <v>-10.511024063665293</v>
      </c>
      <c r="AV646" s="826">
        <f t="shared" si="4688"/>
        <v>-6.7155649974405698</v>
      </c>
      <c r="AW646" s="826">
        <f t="shared" si="4688"/>
        <v>10.682504008828339</v>
      </c>
      <c r="AX646" s="826">
        <f t="shared" si="4688"/>
        <v>-7.9025580309625312</v>
      </c>
      <c r="AY646" s="826"/>
      <c r="AZ646" s="826"/>
      <c r="BA646" s="989"/>
      <c r="BB646" s="826">
        <v>-9.9330863253221668</v>
      </c>
      <c r="BC646" s="2188"/>
      <c r="BD646" s="989"/>
      <c r="BG646" s="655">
        <f>+SUM(K646:N646)</f>
        <v>229.15598675178788</v>
      </c>
      <c r="BH646" s="655">
        <f>+SUM(O646:R646)</f>
        <v>305.84951786387592</v>
      </c>
      <c r="BJ646" s="2111">
        <f>+SUM(S646:V646)</f>
        <v>399.6</v>
      </c>
      <c r="BK646" s="655">
        <f>+SUM(W646:Z646)</f>
        <v>437.27521546915057</v>
      </c>
      <c r="BL646" s="655">
        <f>+SUM(AA646:AD646)</f>
        <v>479.95676274756408</v>
      </c>
      <c r="BM646" s="655">
        <f>+SUM(AE646:AH646)</f>
        <v>-48.278896616646236</v>
      </c>
      <c r="BN646" s="655">
        <f>+SUM(AI646:AL646)</f>
        <v>-166.28655044195668</v>
      </c>
      <c r="BO646" s="1926">
        <f>+SUM(AM646:AP646)</f>
        <v>-12.916098399330345</v>
      </c>
      <c r="BP646" s="655">
        <f>+SUM(AQ646:AT646)</f>
        <v>-3.3571878355474407</v>
      </c>
      <c r="BQ646" s="655">
        <f>+SUM(AU646:AX646)</f>
        <v>-14.446643083240055</v>
      </c>
      <c r="BR646" s="826">
        <f t="shared" ref="BR646" si="4689">+BR647*BR609</f>
        <v>35.342266901883072</v>
      </c>
      <c r="BS646" s="826">
        <f t="shared" ref="BS646:BU646" si="4690">+BS647*BS609</f>
        <v>33.592261575376781</v>
      </c>
      <c r="BT646" s="826">
        <f t="shared" si="4690"/>
        <v>34.992737110511158</v>
      </c>
      <c r="BU646" s="826">
        <f t="shared" si="4690"/>
        <v>37.642943066935899</v>
      </c>
    </row>
    <row r="647" spans="1:73" s="876" customFormat="1" ht="15" hidden="1" customHeight="1">
      <c r="B647" s="876" t="s">
        <v>30</v>
      </c>
      <c r="G647" s="654"/>
      <c r="H647" s="654"/>
      <c r="I647" s="654"/>
      <c r="J647" s="654"/>
      <c r="K647" s="654"/>
      <c r="L647" s="654"/>
      <c r="M647" s="654">
        <f t="shared" ref="M647:R647" si="4691">+M646/M$609</f>
        <v>4.7357416155856799E-2</v>
      </c>
      <c r="N647" s="654">
        <f t="shared" si="4691"/>
        <v>0.17962144963886614</v>
      </c>
      <c r="O647" s="654">
        <f t="shared" si="4691"/>
        <v>7.0787241069987267E-2</v>
      </c>
      <c r="P647" s="654">
        <f t="shared" si="4691"/>
        <v>-1.5859755552860122E-2</v>
      </c>
      <c r="Q647" s="654">
        <f t="shared" si="4691"/>
        <v>5.6923741628861532E-2</v>
      </c>
      <c r="R647" s="654">
        <f t="shared" si="4691"/>
        <v>0.15510325360273364</v>
      </c>
      <c r="S647" s="1989">
        <f>+S646/S$609</f>
        <v>9.1082874170696063E-2</v>
      </c>
      <c r="T647" s="654">
        <f>+T646/T$609</f>
        <v>3.0778097982708932E-2</v>
      </c>
      <c r="U647" s="654">
        <f>+U646/U$609</f>
        <v>6.6901784760072677E-2</v>
      </c>
      <c r="V647" s="654">
        <f>+V646/V$609</f>
        <v>0.15959075723830737</v>
      </c>
      <c r="W647" s="1571">
        <f t="shared" ref="W647:AD647" si="4692">+W643+W649</f>
        <v>5.4509384635744715E-2</v>
      </c>
      <c r="X647" s="877">
        <f t="shared" si="4692"/>
        <v>5.1481709359874867E-2</v>
      </c>
      <c r="Y647" s="877">
        <f t="shared" si="4692"/>
        <v>0.12914109745981428</v>
      </c>
      <c r="Z647" s="877">
        <f t="shared" si="4692"/>
        <v>7.6770451257023517E-2</v>
      </c>
      <c r="AA647" s="877">
        <f t="shared" si="4692"/>
        <v>5.3084117877943288E-2</v>
      </c>
      <c r="AB647" s="877">
        <f t="shared" si="4692"/>
        <v>3.6311655617158739E-2</v>
      </c>
      <c r="AC647" s="877">
        <f t="shared" si="4692"/>
        <v>8.7005430727735783E-2</v>
      </c>
      <c r="AD647" s="877">
        <f t="shared" si="4692"/>
        <v>0.1292036689025822</v>
      </c>
      <c r="AE647" s="877">
        <f t="shared" ref="AE647:AH647" si="4693">+AE643+AE649</f>
        <v>-3.0002627642421453E-2</v>
      </c>
      <c r="AF647" s="877">
        <f t="shared" si="4693"/>
        <v>-9.994634233292149E-2</v>
      </c>
      <c r="AG647" s="877">
        <f t="shared" si="4693"/>
        <v>-3.0017366555027014E-2</v>
      </c>
      <c r="AH647" s="877">
        <f t="shared" si="4693"/>
        <v>6.8089557446170235E-2</v>
      </c>
      <c r="AI647" s="877">
        <f t="shared" ref="AI647:AL647" si="4694">+AI643+AI649</f>
        <v>-6.4731202283438219E-2</v>
      </c>
      <c r="AJ647" s="877">
        <f t="shared" ref="AJ647" si="4695">+AJ643+AJ649</f>
        <v>-6.4287470225674728E-2</v>
      </c>
      <c r="AK647" s="877">
        <f t="shared" si="4694"/>
        <v>-4.8230472584431257E-2</v>
      </c>
      <c r="AL647" s="1571">
        <f t="shared" si="4694"/>
        <v>-1.4234842304532508E-2</v>
      </c>
      <c r="AM647" s="1571">
        <f t="shared" ref="AM647:AP647" si="4696">+AM643+AM649</f>
        <v>-1.0272821902262336E-2</v>
      </c>
      <c r="AN647" s="1571">
        <f t="shared" si="4696"/>
        <v>-8.5159272458424362E-3</v>
      </c>
      <c r="AO647" s="877">
        <f t="shared" si="4696"/>
        <v>7.7185152239504368E-3</v>
      </c>
      <c r="AP647" s="877">
        <f t="shared" si="4696"/>
        <v>-3.0373848006431253E-3</v>
      </c>
      <c r="AQ647" s="1571">
        <f t="shared" ref="AQ647:AT647" si="4697">+AQ643+AQ649</f>
        <v>-2.0566388524456136E-3</v>
      </c>
      <c r="AR647" s="877">
        <f t="shared" si="4697"/>
        <v>-2.6364062128507032E-3</v>
      </c>
      <c r="AS647" s="877">
        <f t="shared" si="4697"/>
        <v>1.1793762823566048E-2</v>
      </c>
      <c r="AT647" s="877">
        <f t="shared" si="4697"/>
        <v>-6.5103055334788523E-3</v>
      </c>
      <c r="AU647" s="877">
        <f t="shared" ref="AU647:AX647" si="4698">+AU643+AU649</f>
        <v>-1.235467670168984E-2</v>
      </c>
      <c r="AV647" s="877">
        <f t="shared" si="4698"/>
        <v>-7.9536136383493022E-3</v>
      </c>
      <c r="AW647" s="877">
        <f t="shared" si="4698"/>
        <v>1.1869587390057404E-2</v>
      </c>
      <c r="AX647" s="877">
        <f t="shared" si="4698"/>
        <v>-5.2369295753657841E-3</v>
      </c>
      <c r="AY647" s="877"/>
      <c r="AZ647" s="877"/>
      <c r="BA647" s="2263"/>
      <c r="BB647" s="877">
        <v>-6.5103055334788523E-3</v>
      </c>
      <c r="BC647" s="2197"/>
      <c r="BD647" s="2263"/>
      <c r="BG647" s="654">
        <f t="shared" ref="BG647:BM647" si="4699">+BG646/BG$609</f>
        <v>0.1573271238308952</v>
      </c>
      <c r="BH647" s="654">
        <f t="shared" si="4699"/>
        <v>7.8706561149920265E-2</v>
      </c>
      <c r="BI647" s="654"/>
      <c r="BJ647" s="2119">
        <f t="shared" si="4699"/>
        <v>9.6771849950354788E-2</v>
      </c>
      <c r="BK647" s="654">
        <f t="shared" si="4699"/>
        <v>8.1995765056376568E-2</v>
      </c>
      <c r="BL647" s="654">
        <f t="shared" si="4699"/>
        <v>8.2441300413542903E-2</v>
      </c>
      <c r="BM647" s="654">
        <f t="shared" si="4699"/>
        <v>-1.095455087507856E-2</v>
      </c>
      <c r="BN647" s="654">
        <f t="shared" ref="BN647:BO647" si="4700">+BN646/BN$609</f>
        <v>-4.2947545291143002E-2</v>
      </c>
      <c r="BO647" s="1989">
        <f t="shared" si="4700"/>
        <v>-3.0738668347578364E-3</v>
      </c>
      <c r="BP647" s="654">
        <f t="shared" ref="BP647:BQ647" si="4701">+BP646/BP$609</f>
        <v>-7.8330105471820265E-4</v>
      </c>
      <c r="BQ647" s="654">
        <f t="shared" si="4701"/>
        <v>-3.5200430815956448E-3</v>
      </c>
      <c r="BR647" s="877">
        <f t="shared" ref="BR647" si="4702">+BR643+BR649</f>
        <v>8.086783460577715E-3</v>
      </c>
      <c r="BS647" s="877">
        <f t="shared" ref="BS647:BU647" si="4703">+BS643+BS649</f>
        <v>7.2837356095347833E-3</v>
      </c>
      <c r="BT647" s="877">
        <f t="shared" si="4703"/>
        <v>7.1992770259934197E-3</v>
      </c>
      <c r="BU647" s="877">
        <f t="shared" si="4703"/>
        <v>7.3489055598585512E-3</v>
      </c>
    </row>
    <row r="648" spans="1:73" s="363" customFormat="1" ht="15" hidden="1" customHeight="1">
      <c r="B648" s="363" t="s">
        <v>108</v>
      </c>
      <c r="G648" s="650"/>
      <c r="H648" s="650"/>
      <c r="I648" s="650"/>
      <c r="J648" s="650"/>
      <c r="K648" s="651"/>
      <c r="L648" s="651"/>
      <c r="M648" s="651">
        <f t="shared" ref="M648:AD648" si="4704">+M647-I647</f>
        <v>4.7357416155856799E-2</v>
      </c>
      <c r="N648" s="651">
        <f t="shared" si="4704"/>
        <v>0.17962144963886614</v>
      </c>
      <c r="O648" s="651">
        <f t="shared" si="4704"/>
        <v>7.0787241069987267E-2</v>
      </c>
      <c r="P648" s="651">
        <f t="shared" si="4704"/>
        <v>-1.5859755552860122E-2</v>
      </c>
      <c r="Q648" s="651">
        <f t="shared" si="4704"/>
        <v>9.5663254730047331E-3</v>
      </c>
      <c r="R648" s="651">
        <f t="shared" si="4704"/>
        <v>-2.4518196036132506E-2</v>
      </c>
      <c r="S648" s="1572">
        <f t="shared" si="4704"/>
        <v>2.0295633100708796E-2</v>
      </c>
      <c r="T648" s="651">
        <f t="shared" si="4704"/>
        <v>4.6637853535569054E-2</v>
      </c>
      <c r="U648" s="651">
        <f t="shared" si="4704"/>
        <v>9.9780431312111451E-3</v>
      </c>
      <c r="V648" s="651">
        <f t="shared" si="4704"/>
        <v>4.4875036355737363E-3</v>
      </c>
      <c r="W648" s="1572">
        <f t="shared" si="4704"/>
        <v>-3.6573489534951348E-2</v>
      </c>
      <c r="X648" s="651">
        <f t="shared" si="4704"/>
        <v>2.0703611377165934E-2</v>
      </c>
      <c r="Y648" s="651">
        <f t="shared" si="4704"/>
        <v>6.2239312699741603E-2</v>
      </c>
      <c r="Z648" s="651">
        <f t="shared" si="4704"/>
        <v>-8.2820305981283857E-2</v>
      </c>
      <c r="AA648" s="651">
        <f t="shared" si="4704"/>
        <v>-1.4252667578014272E-3</v>
      </c>
      <c r="AB648" s="651">
        <f t="shared" si="4704"/>
        <v>-1.5170053742716127E-2</v>
      </c>
      <c r="AC648" s="651">
        <f t="shared" si="4704"/>
        <v>-4.2135666732078497E-2</v>
      </c>
      <c r="AD648" s="651">
        <f t="shared" si="4704"/>
        <v>5.243321764555868E-2</v>
      </c>
      <c r="AE648" s="651">
        <f t="shared" ref="AE648" si="4705">+AE647-AA647</f>
        <v>-8.3086745520364741E-2</v>
      </c>
      <c r="AF648" s="651">
        <f t="shared" ref="AF648" si="4706">+AF647-AB647</f>
        <v>-0.13625799795008023</v>
      </c>
      <c r="AG648" s="651">
        <f t="shared" ref="AG648" si="4707">+AG647-AC647</f>
        <v>-0.1170227972827628</v>
      </c>
      <c r="AH648" s="651">
        <f t="shared" ref="AH648" si="4708">+AH647-AD647</f>
        <v>-6.1114111456411963E-2</v>
      </c>
      <c r="AI648" s="651">
        <f t="shared" ref="AI648:AJ648" si="4709">+AI647-AE647</f>
        <v>-3.4728574641016766E-2</v>
      </c>
      <c r="AJ648" s="651">
        <f t="shared" si="4709"/>
        <v>3.5658872107246761E-2</v>
      </c>
      <c r="AK648" s="651">
        <f t="shared" ref="AK648" si="4710">+AK647-AG647</f>
        <v>-1.8213106029404243E-2</v>
      </c>
      <c r="AL648" s="1572">
        <f t="shared" ref="AL648" si="4711">+AL647-AH647</f>
        <v>-8.2324399750702743E-2</v>
      </c>
      <c r="AM648" s="1572">
        <f t="shared" ref="AM648" si="4712">+AM647-AI647</f>
        <v>5.4458380381175883E-2</v>
      </c>
      <c r="AN648" s="1572">
        <f t="shared" ref="AN648" si="4713">+AN647-AJ647</f>
        <v>5.5771542979832292E-2</v>
      </c>
      <c r="AO648" s="651">
        <f t="shared" ref="AO648" si="4714">+AO647-AK647</f>
        <v>5.5948987808381694E-2</v>
      </c>
      <c r="AP648" s="651">
        <f t="shared" ref="AP648" si="4715">+AP647-AL647</f>
        <v>1.1197457503889383E-2</v>
      </c>
      <c r="AQ648" s="1572">
        <f t="shared" ref="AQ648" si="4716">+AQ647-AM647</f>
        <v>8.2161830498167221E-3</v>
      </c>
      <c r="AR648" s="651">
        <f t="shared" ref="AR648" si="4717">+AR647-AN647</f>
        <v>5.879521032991733E-3</v>
      </c>
      <c r="AS648" s="651">
        <f t="shared" ref="AS648" si="4718">+AS647-AO647</f>
        <v>4.0752475996156112E-3</v>
      </c>
      <c r="AT648" s="651">
        <f t="shared" ref="AT648" si="4719">+AT647-AP647</f>
        <v>-3.472920732835727E-3</v>
      </c>
      <c r="AU648" s="651">
        <f t="shared" ref="AU648" si="4720">+AU647-AQ647</f>
        <v>-1.0298037849244226E-2</v>
      </c>
      <c r="AV648" s="651">
        <f t="shared" ref="AV648" si="4721">+AV647-AR647</f>
        <v>-5.317207425498599E-3</v>
      </c>
      <c r="AW648" s="651">
        <f t="shared" ref="AW648" si="4722">+AW647-AS647</f>
        <v>7.5824566491355938E-5</v>
      </c>
      <c r="AX648" s="651">
        <f t="shared" ref="AX648" si="4723">+AX647-AT647</f>
        <v>1.2733759581130683E-3</v>
      </c>
      <c r="AY648" s="651"/>
      <c r="AZ648" s="651"/>
      <c r="BA648" s="72"/>
      <c r="BB648" s="651">
        <v>-3.472920732835727E-3</v>
      </c>
      <c r="BC648" s="2189"/>
      <c r="BD648" s="72"/>
      <c r="BG648" s="651"/>
      <c r="BH648" s="651">
        <f>+BH647-BG647</f>
        <v>-7.8620562680974934E-2</v>
      </c>
      <c r="BI648" s="651"/>
      <c r="BJ648" s="2120">
        <f>+BJ647-BH647</f>
        <v>1.8065288800434523E-2</v>
      </c>
      <c r="BK648" s="651">
        <f>+BK647-BJ647</f>
        <v>-1.477608489397822E-2</v>
      </c>
      <c r="BL648" s="651">
        <f t="shared" ref="BL648:BR648" si="4724">+BL647-BK647</f>
        <v>4.4553535716633508E-4</v>
      </c>
      <c r="BM648" s="651">
        <f t="shared" si="4724"/>
        <v>-9.3395851288621462E-2</v>
      </c>
      <c r="BN648" s="651">
        <f t="shared" si="4724"/>
        <v>-3.1992994416064444E-2</v>
      </c>
      <c r="BO648" s="1572">
        <f t="shared" si="4724"/>
        <v>3.9873678456385168E-2</v>
      </c>
      <c r="BP648" s="651">
        <f t="shared" si="4724"/>
        <v>2.2905657800396336E-3</v>
      </c>
      <c r="BQ648" s="651">
        <f t="shared" si="4724"/>
        <v>-2.736742026877442E-3</v>
      </c>
      <c r="BR648" s="651">
        <f t="shared" si="4724"/>
        <v>1.1606826542173359E-2</v>
      </c>
      <c r="BS648" s="651">
        <f t="shared" ref="BS648" si="4725">+BS647-BR647</f>
        <v>-8.0304785104293175E-4</v>
      </c>
      <c r="BT648" s="651">
        <f t="shared" ref="BT648" si="4726">+BT647-BS647</f>
        <v>-8.4458583541363597E-5</v>
      </c>
      <c r="BU648" s="651">
        <f t="shared" ref="BU648" si="4727">+BU647-BT647</f>
        <v>1.4962853386513153E-4</v>
      </c>
    </row>
    <row r="649" spans="1:73" s="363" customFormat="1" ht="15" hidden="1" customHeight="1">
      <c r="B649" s="363" t="s">
        <v>335</v>
      </c>
      <c r="G649" s="650"/>
      <c r="H649" s="650"/>
      <c r="I649" s="650"/>
      <c r="J649" s="650"/>
      <c r="K649" s="651"/>
      <c r="L649" s="651"/>
      <c r="M649" s="651">
        <f t="shared" ref="M649:R649" si="4728">+M647-M643</f>
        <v>0</v>
      </c>
      <c r="N649" s="651">
        <f t="shared" si="4728"/>
        <v>0</v>
      </c>
      <c r="O649" s="651">
        <f t="shared" si="4728"/>
        <v>0</v>
      </c>
      <c r="P649" s="651">
        <f t="shared" si="4728"/>
        <v>0</v>
      </c>
      <c r="Q649" s="651">
        <f t="shared" si="4728"/>
        <v>0</v>
      </c>
      <c r="R649" s="651">
        <f t="shared" si="4728"/>
        <v>0</v>
      </c>
      <c r="S649" s="1573">
        <f>+S647-S643</f>
        <v>-8.7147194422579552E-2</v>
      </c>
      <c r="T649" s="652">
        <f>+T647-T643</f>
        <v>-0.10985590778097988</v>
      </c>
      <c r="U649" s="652">
        <f>+U647-U643</f>
        <v>-0.10409319226247719</v>
      </c>
      <c r="V649" s="652">
        <f>+V647-V643</f>
        <v>-7.8716592427616972E-2</v>
      </c>
      <c r="W649" s="1573">
        <f t="shared" ref="W649:AD649" si="4729">+AVERAGE(S649:V649)</f>
        <v>-9.4953221723413403E-2</v>
      </c>
      <c r="X649" s="652">
        <f t="shared" si="4729"/>
        <v>-9.6904728548621866E-2</v>
      </c>
      <c r="Y649" s="652">
        <f t="shared" si="4729"/>
        <v>-9.3666933740532365E-2</v>
      </c>
      <c r="Z649" s="652">
        <f t="shared" si="4729"/>
        <v>-9.1060369110046155E-2</v>
      </c>
      <c r="AA649" s="652">
        <f t="shared" si="4729"/>
        <v>-9.4146313280653454E-2</v>
      </c>
      <c r="AB649" s="652">
        <f t="shared" si="4729"/>
        <v>-9.3944586169963457E-2</v>
      </c>
      <c r="AC649" s="652">
        <f t="shared" si="4729"/>
        <v>-9.3204550575298861E-2</v>
      </c>
      <c r="AD649" s="652">
        <f t="shared" si="4729"/>
        <v>-9.3088954783990485E-2</v>
      </c>
      <c r="AE649" s="652">
        <f t="shared" ref="AE649" si="4730">+AVERAGE(AA649:AD649)</f>
        <v>-9.3596101202476564E-2</v>
      </c>
      <c r="AF649" s="652">
        <f t="shared" ref="AF649" si="4731">+AVERAGE(AB649:AE649)</f>
        <v>-9.3458548182932352E-2</v>
      </c>
      <c r="AG649" s="652">
        <f t="shared" ref="AG649" si="4732">+AVERAGE(AC649:AF649)</f>
        <v>-9.3337038686174573E-2</v>
      </c>
      <c r="AH649" s="652">
        <f t="shared" ref="AH649" si="4733">+AVERAGE(AD649:AG649)</f>
        <v>-9.3370160713893507E-2</v>
      </c>
      <c r="AI649" s="652">
        <f t="shared" ref="AI649:AJ649" si="4734">+AVERAGE(AE649:AH649)</f>
        <v>-9.3440462196369256E-2</v>
      </c>
      <c r="AJ649" s="652">
        <f t="shared" si="4734"/>
        <v>-9.3401552444842412E-2</v>
      </c>
      <c r="AK649" s="652">
        <f t="shared" ref="AK649" si="4735">+AVERAGE(AG649:AJ649)</f>
        <v>-9.338730351031993E-2</v>
      </c>
      <c r="AL649" s="1573">
        <f t="shared" ref="AL649" si="4736">+AVERAGE(AH649:AK649)</f>
        <v>-9.3399869716356276E-2</v>
      </c>
      <c r="AM649" s="1573">
        <f t="shared" ref="AM649" si="4737">+AVERAGE(AI649:AL649)</f>
        <v>-9.3407296966971975E-2</v>
      </c>
      <c r="AN649" s="1573">
        <f t="shared" ref="AN649" si="4738">+AVERAGE(AJ649:AM649)</f>
        <v>-9.3399005659622655E-2</v>
      </c>
      <c r="AO649" s="652">
        <f t="shared" ref="AO649" si="4739">+AVERAGE(AK649:AN649)</f>
        <v>-9.3398368963317713E-2</v>
      </c>
      <c r="AP649" s="652">
        <f t="shared" ref="AP649" si="4740">+AVERAGE(AL649:AO649)</f>
        <v>-9.3401135326567158E-2</v>
      </c>
      <c r="AQ649" s="1573">
        <f t="shared" ref="AQ649" si="4741">+AVERAGE(AM649:AP649)</f>
        <v>-9.3401451729119872E-2</v>
      </c>
      <c r="AR649" s="652">
        <f t="shared" ref="AR649" si="4742">+AVERAGE(AN649:AQ649)</f>
        <v>-9.3399990419656853E-2</v>
      </c>
      <c r="AS649" s="652">
        <f t="shared" ref="AS649" si="4743">+AVERAGE(AO649:AR649)</f>
        <v>-9.3400236609665399E-2</v>
      </c>
      <c r="AT649" s="652">
        <f t="shared" ref="AT649" si="4744">+AVERAGE(AP649:AS649)</f>
        <v>-9.3400703521252321E-2</v>
      </c>
      <c r="AU649" s="652">
        <f t="shared" ref="AU649" si="4745">+AVERAGE(AQ649:AT649)</f>
        <v>-9.3400595569923611E-2</v>
      </c>
      <c r="AV649" s="652">
        <f t="shared" ref="AV649" si="4746">+AVERAGE(AR649:AU649)</f>
        <v>-9.340038153012456E-2</v>
      </c>
      <c r="AW649" s="652">
        <f t="shared" ref="AW649" si="4747">+AVERAGE(AS649:AV649)</f>
        <v>-9.340047930774148E-2</v>
      </c>
      <c r="AX649" s="652">
        <f t="shared" ref="AX649" si="4748">+AVERAGE(AT649:AW649)</f>
        <v>-9.3400539982260486E-2</v>
      </c>
      <c r="AY649" s="652"/>
      <c r="AZ649" s="652"/>
      <c r="BA649" s="72"/>
      <c r="BB649" s="652">
        <v>-9.3400703521252321E-2</v>
      </c>
      <c r="BC649" s="2189"/>
      <c r="BD649" s="72"/>
      <c r="BG649" s="652">
        <f t="shared" ref="BG649:BM649" si="4749">+BG647-BG643</f>
        <v>0</v>
      </c>
      <c r="BH649" s="652">
        <f t="shared" si="4749"/>
        <v>0</v>
      </c>
      <c r="BI649" s="652"/>
      <c r="BJ649" s="2121">
        <f t="shared" si="4749"/>
        <v>-9.2824449664592079E-2</v>
      </c>
      <c r="BK649" s="652">
        <f t="shared" si="4749"/>
        <v>-9.3462240906607902E-2</v>
      </c>
      <c r="BL649" s="652">
        <f t="shared" si="4749"/>
        <v>-9.3535201699205719E-2</v>
      </c>
      <c r="BM649" s="652">
        <f t="shared" si="4749"/>
        <v>-9.3433222140280922E-2</v>
      </c>
      <c r="BN649" s="652">
        <f t="shared" ref="BN649:BO649" si="4750">+BN647-BN643</f>
        <v>-9.3406435904356266E-2</v>
      </c>
      <c r="BO649" s="1573">
        <f t="shared" si="4750"/>
        <v>-9.3401267549812136E-2</v>
      </c>
      <c r="BP649" s="652">
        <f t="shared" ref="BP649:BQ649" si="4751">+BP647-BP643</f>
        <v>-9.3400617427288363E-2</v>
      </c>
      <c r="BQ649" s="652">
        <f t="shared" si="4751"/>
        <v>-9.3400505601687181E-2</v>
      </c>
      <c r="BR649" s="652">
        <f t="shared" ref="BR649" si="4752">+BQ649</f>
        <v>-9.3400505601687181E-2</v>
      </c>
      <c r="BS649" s="652">
        <f t="shared" ref="BS649" si="4753">+BR649</f>
        <v>-9.3400505601687181E-2</v>
      </c>
      <c r="BT649" s="652">
        <f t="shared" ref="BT649" si="4754">+BS649</f>
        <v>-9.3400505601687181E-2</v>
      </c>
      <c r="BU649" s="652">
        <f t="shared" ref="BU649" si="4755">+BT649</f>
        <v>-9.3400505601687181E-2</v>
      </c>
    </row>
    <row r="650" spans="1:73" s="363" customFormat="1" ht="15" hidden="1" customHeight="1">
      <c r="B650" s="361"/>
      <c r="S650" s="1541"/>
      <c r="W650" s="1541"/>
      <c r="AL650" s="1541"/>
      <c r="AM650" s="1541"/>
      <c r="AN650" s="1541"/>
      <c r="AQ650" s="1541"/>
      <c r="BA650" s="72"/>
      <c r="BC650" s="2189"/>
      <c r="BD650" s="72"/>
      <c r="BJ650" s="2099"/>
      <c r="BO650" s="1541"/>
    </row>
    <row r="651" spans="1:73" s="363" customFormat="1" ht="15.75" hidden="1" customHeight="1" thickBot="1">
      <c r="B651" s="361"/>
      <c r="S651" s="1541"/>
      <c r="W651" s="1541"/>
      <c r="AL651" s="1574"/>
      <c r="AM651" s="1574"/>
      <c r="AN651" s="1574"/>
      <c r="AQ651" s="1574"/>
      <c r="BA651" s="72"/>
      <c r="BC651" s="2189"/>
      <c r="BD651" s="72"/>
      <c r="BJ651" s="2099"/>
      <c r="BO651" s="1541"/>
    </row>
    <row r="652" spans="1:73" s="538" customFormat="1" ht="15.75" hidden="1" customHeight="1" thickBot="1">
      <c r="A652" s="536"/>
      <c r="B652" s="537" t="s">
        <v>390</v>
      </c>
      <c r="C652" s="539"/>
      <c r="D652" s="539"/>
      <c r="E652" s="539"/>
      <c r="F652" s="539"/>
      <c r="G652" s="539"/>
      <c r="H652" s="539"/>
      <c r="I652" s="539"/>
      <c r="J652" s="539"/>
      <c r="K652" s="539"/>
      <c r="L652" s="539"/>
      <c r="M652" s="539"/>
      <c r="N652" s="539"/>
      <c r="O652" s="539"/>
      <c r="P652" s="539"/>
      <c r="Q652" s="539"/>
      <c r="R652" s="539"/>
      <c r="S652" s="1931"/>
      <c r="T652" s="539"/>
      <c r="U652" s="539"/>
      <c r="V652" s="539"/>
      <c r="W652" s="1931"/>
      <c r="X652" s="539"/>
      <c r="Y652" s="539"/>
      <c r="Z652" s="539"/>
      <c r="AA652" s="539"/>
      <c r="AB652" s="539"/>
      <c r="AC652" s="539"/>
      <c r="AD652" s="539"/>
      <c r="AE652" s="539"/>
      <c r="AF652" s="539"/>
      <c r="AG652" s="539"/>
      <c r="AH652" s="539"/>
      <c r="AI652" s="539"/>
      <c r="AJ652" s="539"/>
      <c r="AK652" s="539"/>
      <c r="AL652" s="539"/>
      <c r="AM652" s="1931"/>
      <c r="AN652" s="539"/>
      <c r="AO652" s="539"/>
      <c r="AP652" s="539"/>
      <c r="AQ652" s="539"/>
      <c r="AR652" s="539"/>
      <c r="AS652" s="539"/>
      <c r="AT652" s="539"/>
      <c r="AU652" s="539"/>
      <c r="AV652" s="539"/>
      <c r="AW652" s="539"/>
      <c r="AX652" s="539"/>
      <c r="AY652" s="2648"/>
      <c r="AZ652" s="2648"/>
      <c r="BA652" s="72"/>
      <c r="BB652" s="539"/>
      <c r="BC652" s="2177"/>
      <c r="BD652" s="72"/>
      <c r="BH652" s="534"/>
      <c r="BI652" s="534"/>
      <c r="BJ652" s="2122"/>
      <c r="BO652" s="536"/>
    </row>
    <row r="653" spans="1:73" s="534" customFormat="1" ht="15.75" hidden="1" customHeight="1" thickBot="1">
      <c r="B653" s="535"/>
      <c r="S653" s="1932"/>
      <c r="W653" s="1932"/>
      <c r="AM653" s="1932"/>
      <c r="BA653" s="72"/>
      <c r="BC653" s="2189"/>
      <c r="BD653" s="72"/>
      <c r="BJ653" s="2122"/>
      <c r="BO653" s="1932"/>
    </row>
    <row r="654" spans="1:73" s="534" customFormat="1" ht="15.75" hidden="1" customHeight="1" thickBot="1">
      <c r="B654" s="535"/>
      <c r="S654" s="1932"/>
      <c r="W654" s="1932"/>
      <c r="AM654" s="1932"/>
      <c r="BA654" s="72"/>
      <c r="BC654" s="2189"/>
      <c r="BD654" s="72"/>
      <c r="BJ654" s="2122"/>
      <c r="BO654" s="1932"/>
    </row>
    <row r="655" spans="1:73" s="535" customFormat="1" ht="15.75" hidden="1" customHeight="1" thickBot="1">
      <c r="B655" s="535" t="s">
        <v>391</v>
      </c>
      <c r="C655" s="562">
        <f t="shared" ref="C655:V655" si="4756">+C29</f>
        <v>3.5284690732759429</v>
      </c>
      <c r="D655" s="562">
        <f t="shared" si="4756"/>
        <v>4.6356992593005799</v>
      </c>
      <c r="E655" s="562">
        <f t="shared" si="4756"/>
        <v>3.6157452030183066</v>
      </c>
      <c r="F655" s="562">
        <f t="shared" si="4756"/>
        <v>5.8545154452998531</v>
      </c>
      <c r="G655" s="562">
        <f t="shared" si="4756"/>
        <v>4.0739034694981626</v>
      </c>
      <c r="H655" s="562">
        <f t="shared" si="4756"/>
        <v>4.5759302957273462</v>
      </c>
      <c r="I655" s="562">
        <f t="shared" si="4756"/>
        <v>3.1999999999997897</v>
      </c>
      <c r="J655" s="562">
        <f t="shared" si="4756"/>
        <v>5.5923697810525823</v>
      </c>
      <c r="K655" s="562">
        <f t="shared" si="4756"/>
        <v>1.9548774884426621</v>
      </c>
      <c r="L655" s="562">
        <f t="shared" si="4756"/>
        <v>2.1014764395938528</v>
      </c>
      <c r="M655" s="562">
        <f t="shared" si="4756"/>
        <v>1.3038130670132659</v>
      </c>
      <c r="N655" s="562">
        <f t="shared" si="4756"/>
        <v>2.3268632081244505</v>
      </c>
      <c r="O655" s="562">
        <f t="shared" si="4756"/>
        <v>2.0730761864035685</v>
      </c>
      <c r="P655" s="562">
        <f t="shared" si="4756"/>
        <v>2.3880338483320429</v>
      </c>
      <c r="Q655" s="562">
        <f t="shared" si="4756"/>
        <v>2.3844217048585961</v>
      </c>
      <c r="R655" s="562">
        <f t="shared" si="4756"/>
        <v>3.9412434139740071</v>
      </c>
      <c r="S655" s="1933">
        <f t="shared" si="4756"/>
        <v>3.990053995217977</v>
      </c>
      <c r="T655" s="562">
        <f t="shared" si="4756"/>
        <v>2.9150470294650859</v>
      </c>
      <c r="U655" s="562">
        <f t="shared" si="4756"/>
        <v>2.2000000000000455</v>
      </c>
      <c r="V655" s="562">
        <f t="shared" si="4756"/>
        <v>3.3000000000001819</v>
      </c>
      <c r="W655" s="1933"/>
      <c r="X655" s="563"/>
      <c r="Y655" s="563"/>
      <c r="Z655" s="563"/>
      <c r="AA655" s="563"/>
      <c r="AB655" s="563"/>
      <c r="AC655" s="563"/>
      <c r="AD655" s="563"/>
      <c r="AE655" s="563"/>
      <c r="AF655" s="563"/>
      <c r="AG655" s="563"/>
      <c r="AH655" s="563"/>
      <c r="AI655" s="563"/>
      <c r="AJ655" s="563"/>
      <c r="AK655" s="563"/>
      <c r="AL655" s="563"/>
      <c r="AM655" s="2433"/>
      <c r="AN655" s="563"/>
      <c r="AO655" s="563"/>
      <c r="AP655" s="563"/>
      <c r="AQ655" s="563"/>
      <c r="AR655" s="563"/>
      <c r="AS655" s="563"/>
      <c r="AT655" s="563"/>
      <c r="AU655" s="563"/>
      <c r="AV655" s="563"/>
      <c r="AW655" s="563"/>
      <c r="AX655" s="563"/>
      <c r="AY655" s="563"/>
      <c r="AZ655" s="563"/>
      <c r="BA655" s="85"/>
      <c r="BB655" s="563"/>
      <c r="BC655" s="2197"/>
      <c r="BD655" s="85"/>
      <c r="BE655" s="562">
        <f>+BE29</f>
        <v>17.634428980894683</v>
      </c>
      <c r="BF655" s="562">
        <f>+BF29</f>
        <v>17.442203546277881</v>
      </c>
      <c r="BG655" s="562">
        <f>+BG29</f>
        <v>7.6870302031742312</v>
      </c>
      <c r="BH655" s="562">
        <f>+BH29</f>
        <v>10.786775153568215</v>
      </c>
      <c r="BI655" s="562"/>
      <c r="BJ655" s="2123">
        <f>+BJ29</f>
        <v>12.40510102468329</v>
      </c>
      <c r="BK655" s="562"/>
      <c r="BL655" s="562"/>
      <c r="BM655" s="562"/>
      <c r="BN655" s="562"/>
      <c r="BO655" s="1933"/>
      <c r="BP655" s="562"/>
      <c r="BQ655" s="562"/>
      <c r="BR655" s="563"/>
      <c r="BS655" s="563"/>
      <c r="BT655" s="563"/>
      <c r="BU655" s="563"/>
    </row>
    <row r="656" spans="1:73" s="534" customFormat="1" ht="15.75" hidden="1" customHeight="1" thickBot="1">
      <c r="B656" s="535"/>
      <c r="F656" s="544" t="e">
        <f t="shared" ref="F656:S656" si="4757">+F655/B655-1</f>
        <v>#VALUE!</v>
      </c>
      <c r="G656" s="544">
        <f t="shared" si="4757"/>
        <v>0.15458103355737252</v>
      </c>
      <c r="H656" s="544">
        <f t="shared" si="4757"/>
        <v>-1.28931926404241E-2</v>
      </c>
      <c r="I656" s="544">
        <f t="shared" si="4757"/>
        <v>-0.11498188607744442</v>
      </c>
      <c r="J656" s="544">
        <f t="shared" si="4757"/>
        <v>-4.4776662850505855E-2</v>
      </c>
      <c r="K656" s="544">
        <f t="shared" si="4757"/>
        <v>-0.52014634046214392</v>
      </c>
      <c r="L656" s="544">
        <f t="shared" si="4757"/>
        <v>-0.54075427207533067</v>
      </c>
      <c r="M656" s="544">
        <f t="shared" si="4757"/>
        <v>-0.59255841655832764</v>
      </c>
      <c r="N656" s="544">
        <f t="shared" si="4757"/>
        <v>-0.58392179000607969</v>
      </c>
      <c r="O656" s="544">
        <f t="shared" si="4757"/>
        <v>6.0463481041499234E-2</v>
      </c>
      <c r="P656" s="544">
        <f t="shared" si="4757"/>
        <v>0.13636003875140879</v>
      </c>
      <c r="Q656" s="544">
        <f t="shared" si="4757"/>
        <v>0.82880641802490485</v>
      </c>
      <c r="R656" s="544">
        <f t="shared" si="4757"/>
        <v>0.69380107958766302</v>
      </c>
      <c r="S656" s="1934">
        <f t="shared" si="4757"/>
        <v>0.92470205455402787</v>
      </c>
      <c r="T656" s="544">
        <f>+T655/P655-1</f>
        <v>0.22068915878271289</v>
      </c>
      <c r="U656" s="544">
        <f>+U655/Q655-1</f>
        <v>-7.7344416251020287E-2</v>
      </c>
      <c r="V656" s="544">
        <f>+V655/R655-1</f>
        <v>-0.16270078922307696</v>
      </c>
      <c r="W656" s="1934"/>
      <c r="X656" s="572"/>
      <c r="Y656" s="572"/>
      <c r="Z656" s="572"/>
      <c r="AA656" s="572"/>
      <c r="AB656" s="572"/>
      <c r="AC656" s="572"/>
      <c r="AD656" s="572"/>
      <c r="AE656" s="572"/>
      <c r="AF656" s="572"/>
      <c r="AG656" s="572"/>
      <c r="AH656" s="572"/>
      <c r="AI656" s="572"/>
      <c r="AJ656" s="572"/>
      <c r="AK656" s="572"/>
      <c r="AL656" s="572"/>
      <c r="AM656" s="2434"/>
      <c r="AN656" s="572"/>
      <c r="AO656" s="572"/>
      <c r="AP656" s="572"/>
      <c r="AQ656" s="572"/>
      <c r="AR656" s="572"/>
      <c r="AS656" s="572"/>
      <c r="AT656" s="572"/>
      <c r="AU656" s="572"/>
      <c r="AV656" s="572"/>
      <c r="AW656" s="572"/>
      <c r="AX656" s="572"/>
      <c r="AY656" s="572"/>
      <c r="AZ656" s="572"/>
      <c r="BA656" s="72"/>
      <c r="BB656" s="572"/>
      <c r="BC656" s="2189"/>
      <c r="BD656" s="72"/>
      <c r="BE656" s="544" t="e">
        <f>+BE655/#REF!-1</f>
        <v>#REF!</v>
      </c>
      <c r="BF656" s="544">
        <f>+BF655/BE655-1</f>
        <v>-1.0900576073376689E-2</v>
      </c>
      <c r="BG656" s="544">
        <f>+BG655/BF655-1</f>
        <v>-0.5592856038642765</v>
      </c>
      <c r="BH656" s="544">
        <f>+BH655/BG655-1</f>
        <v>0.40324349826464778</v>
      </c>
      <c r="BI656" s="544"/>
      <c r="BJ656" s="2124">
        <f>+BJ655/BH655-1</f>
        <v>0.15002870163468107</v>
      </c>
      <c r="BK656" s="544"/>
      <c r="BL656" s="544"/>
      <c r="BM656" s="544"/>
      <c r="BN656" s="544"/>
      <c r="BO656" s="1934"/>
      <c r="BP656" s="544"/>
      <c r="BQ656" s="544"/>
      <c r="BR656" s="572"/>
      <c r="BS656" s="572"/>
      <c r="BT656" s="572"/>
      <c r="BU656" s="572"/>
    </row>
    <row r="657" spans="2:73" s="534" customFormat="1" ht="15.75" hidden="1" customHeight="1" thickBot="1">
      <c r="B657" s="535"/>
      <c r="F657" s="544"/>
      <c r="G657" s="544"/>
      <c r="H657" s="544"/>
      <c r="I657" s="544"/>
      <c r="J657" s="544"/>
      <c r="K657" s="544"/>
      <c r="L657" s="544"/>
      <c r="M657" s="544"/>
      <c r="N657" s="544"/>
      <c r="O657" s="544"/>
      <c r="P657" s="544"/>
      <c r="Q657" s="544"/>
      <c r="R657" s="544"/>
      <c r="S657" s="1934"/>
      <c r="T657" s="544"/>
      <c r="U657" s="544"/>
      <c r="V657" s="544"/>
      <c r="W657" s="1934"/>
      <c r="AM657" s="1932"/>
      <c r="BA657" s="72"/>
      <c r="BC657" s="2189"/>
      <c r="BD657" s="72"/>
      <c r="BE657" s="544"/>
      <c r="BF657" s="544"/>
      <c r="BG657" s="544"/>
      <c r="BH657" s="544"/>
      <c r="BI657" s="544"/>
      <c r="BJ657" s="2124"/>
      <c r="BK657" s="544"/>
      <c r="BL657" s="544"/>
      <c r="BM657" s="544"/>
      <c r="BN657" s="544"/>
      <c r="BO657" s="1934"/>
      <c r="BP657" s="544"/>
      <c r="BQ657" s="544"/>
    </row>
    <row r="658" spans="2:73" s="534" customFormat="1" ht="15.75" hidden="1" customHeight="1" thickBot="1">
      <c r="B658" s="534" t="s">
        <v>192</v>
      </c>
      <c r="C658" s="540" t="e">
        <f>+C54-#REF!-C361-C538-C606</f>
        <v>#REF!</v>
      </c>
      <c r="D658" s="540" t="e">
        <f>+D54-#REF!-D361-D538-D606</f>
        <v>#REF!</v>
      </c>
      <c r="E658" s="540" t="e">
        <f>+E54-#REF!-E361-E538-E606</f>
        <v>#REF!</v>
      </c>
      <c r="F658" s="540" t="e">
        <f>+F54-#REF!-F361-F538-F606</f>
        <v>#REF!</v>
      </c>
      <c r="G658" s="540" t="e">
        <f>+G54-#REF!-G361-G538-G606</f>
        <v>#REF!</v>
      </c>
      <c r="H658" s="540" t="e">
        <f>+H54-#REF!-H361-H538-H606</f>
        <v>#REF!</v>
      </c>
      <c r="I658" s="540" t="e">
        <f>+I54-#REF!-I361-I538-I606</f>
        <v>#REF!</v>
      </c>
      <c r="J658" s="540" t="e">
        <f>+J54-#REF!-J361-J538-J606</f>
        <v>#REF!</v>
      </c>
      <c r="K658" s="540" t="e">
        <f>+K54-#REF!-K361-K538-K606</f>
        <v>#REF!</v>
      </c>
      <c r="L658" s="540" t="e">
        <f>+L54-#REF!-L361-L538-L606</f>
        <v>#REF!</v>
      </c>
      <c r="M658" s="540" t="e">
        <f>+M54-#REF!-M361-M538-M606</f>
        <v>#REF!</v>
      </c>
      <c r="N658" s="540" t="e">
        <f>+N54-#REF!-N361-N538-N606</f>
        <v>#REF!</v>
      </c>
      <c r="O658" s="540" t="e">
        <f>+O54-#REF!-O361-O538-O606</f>
        <v>#REF!</v>
      </c>
      <c r="P658" s="540" t="e">
        <f>+P54-#REF!-P361-P538-P606</f>
        <v>#REF!</v>
      </c>
      <c r="Q658" s="540" t="e">
        <f>+Q54-#REF!-Q361-Q538-Q606</f>
        <v>#REF!</v>
      </c>
      <c r="R658" s="540" t="e">
        <f>+R54-#REF!-R361-R538-R606</f>
        <v>#REF!</v>
      </c>
      <c r="S658" s="1935" t="e">
        <f>+S54-#REF!-S361-S538-S606</f>
        <v>#REF!</v>
      </c>
      <c r="T658" s="540" t="e">
        <f>+T54-#REF!-T361-T538-T606</f>
        <v>#REF!</v>
      </c>
      <c r="U658" s="540" t="e">
        <f>+U54-#REF!-U361-U538-U606</f>
        <v>#REF!</v>
      </c>
      <c r="V658" s="540" t="e">
        <f>+V54-#REF!-V361-V538-V606</f>
        <v>#REF!</v>
      </c>
      <c r="W658" s="1935"/>
      <c r="X658" s="540"/>
      <c r="Y658" s="540"/>
      <c r="Z658" s="540"/>
      <c r="AA658" s="540"/>
      <c r="AB658" s="540"/>
      <c r="AC658" s="540"/>
      <c r="AD658" s="540"/>
      <c r="AE658" s="540"/>
      <c r="AF658" s="540"/>
      <c r="AG658" s="540"/>
      <c r="AH658" s="540"/>
      <c r="AI658" s="540"/>
      <c r="AJ658" s="540"/>
      <c r="AK658" s="540"/>
      <c r="AL658" s="540"/>
      <c r="AM658" s="1935"/>
      <c r="AN658" s="540"/>
      <c r="AO658" s="540"/>
      <c r="AP658" s="540"/>
      <c r="AQ658" s="540"/>
      <c r="AR658" s="540"/>
      <c r="AS658" s="540"/>
      <c r="AT658" s="540"/>
      <c r="AU658" s="540"/>
      <c r="AV658" s="540"/>
      <c r="AW658" s="540"/>
      <c r="AX658" s="540"/>
      <c r="AY658" s="540"/>
      <c r="AZ658" s="540"/>
      <c r="BA658" s="72"/>
      <c r="BB658" s="540"/>
      <c r="BC658" s="2189"/>
      <c r="BD658" s="72"/>
      <c r="BE658" s="540" t="e">
        <f>+BE54-#REF!-BE361-BE538-BE606</f>
        <v>#REF!</v>
      </c>
      <c r="BF658" s="540" t="e">
        <f>+BF54-#REF!-BF361-BF538-BF606</f>
        <v>#REF!</v>
      </c>
      <c r="BG658" s="540" t="e">
        <f>+BG54-#REF!-BG361-BG538-BG606</f>
        <v>#REF!</v>
      </c>
      <c r="BH658" s="540" t="e">
        <f>+BH54-#REF!-BH361-BH538-BH606</f>
        <v>#REF!</v>
      </c>
      <c r="BI658" s="540"/>
      <c r="BJ658" s="2125" t="e">
        <f>+BJ54-#REF!-BJ361-BJ538-BJ606</f>
        <v>#REF!</v>
      </c>
      <c r="BK658" s="540"/>
      <c r="BL658" s="540"/>
      <c r="BM658" s="540"/>
      <c r="BN658" s="540"/>
      <c r="BO658" s="1935"/>
      <c r="BP658" s="540"/>
      <c r="BQ658" s="540"/>
      <c r="BR658" s="540"/>
      <c r="BS658" s="540"/>
      <c r="BT658" s="540"/>
      <c r="BU658" s="540"/>
    </row>
    <row r="659" spans="2:73" s="534" customFormat="1" ht="15.75" hidden="1" customHeight="1" thickBot="1">
      <c r="B659" s="535"/>
      <c r="C659" s="544" t="e">
        <f t="shared" ref="C659:S659" si="4758">+C658/C655</f>
        <v>#REF!</v>
      </c>
      <c r="D659" s="544" t="e">
        <f t="shared" si="4758"/>
        <v>#REF!</v>
      </c>
      <c r="E659" s="544" t="e">
        <f t="shared" si="4758"/>
        <v>#REF!</v>
      </c>
      <c r="F659" s="544" t="e">
        <f t="shared" si="4758"/>
        <v>#REF!</v>
      </c>
      <c r="G659" s="544" t="e">
        <f t="shared" si="4758"/>
        <v>#REF!</v>
      </c>
      <c r="H659" s="544" t="e">
        <f t="shared" si="4758"/>
        <v>#REF!</v>
      </c>
      <c r="I659" s="544" t="e">
        <f t="shared" si="4758"/>
        <v>#REF!</v>
      </c>
      <c r="J659" s="544" t="e">
        <f t="shared" si="4758"/>
        <v>#REF!</v>
      </c>
      <c r="K659" s="544" t="e">
        <f t="shared" si="4758"/>
        <v>#REF!</v>
      </c>
      <c r="L659" s="544" t="e">
        <f t="shared" si="4758"/>
        <v>#REF!</v>
      </c>
      <c r="M659" s="544" t="e">
        <f t="shared" si="4758"/>
        <v>#REF!</v>
      </c>
      <c r="N659" s="544" t="e">
        <f t="shared" si="4758"/>
        <v>#REF!</v>
      </c>
      <c r="O659" s="544" t="e">
        <f t="shared" si="4758"/>
        <v>#REF!</v>
      </c>
      <c r="P659" s="544" t="e">
        <f t="shared" si="4758"/>
        <v>#REF!</v>
      </c>
      <c r="Q659" s="544" t="e">
        <f t="shared" si="4758"/>
        <v>#REF!</v>
      </c>
      <c r="R659" s="544" t="e">
        <f t="shared" si="4758"/>
        <v>#REF!</v>
      </c>
      <c r="S659" s="1934" t="e">
        <f t="shared" si="4758"/>
        <v>#REF!</v>
      </c>
      <c r="T659" s="544" t="e">
        <f>+T658/T655</f>
        <v>#REF!</v>
      </c>
      <c r="U659" s="544" t="e">
        <f>+U658/U655</f>
        <v>#REF!</v>
      </c>
      <c r="V659" s="544" t="e">
        <f>+V658/V655</f>
        <v>#REF!</v>
      </c>
      <c r="W659" s="1934"/>
      <c r="X659" s="545"/>
      <c r="Y659" s="545"/>
      <c r="Z659" s="545"/>
      <c r="AA659" s="545"/>
      <c r="AB659" s="545"/>
      <c r="AC659" s="545"/>
      <c r="AD659" s="545"/>
      <c r="AE659" s="545"/>
      <c r="AF659" s="545"/>
      <c r="AG659" s="545"/>
      <c r="AH659" s="545"/>
      <c r="AI659" s="545"/>
      <c r="AJ659" s="545"/>
      <c r="AK659" s="545"/>
      <c r="AL659" s="545"/>
      <c r="AM659" s="2435"/>
      <c r="AN659" s="545"/>
      <c r="AO659" s="545"/>
      <c r="AP659" s="545"/>
      <c r="AQ659" s="545"/>
      <c r="AR659" s="545"/>
      <c r="AS659" s="545"/>
      <c r="AT659" s="545"/>
      <c r="AU659" s="545"/>
      <c r="AV659" s="545"/>
      <c r="AW659" s="545"/>
      <c r="AX659" s="545"/>
      <c r="AY659" s="545"/>
      <c r="AZ659" s="545"/>
      <c r="BA659" s="72"/>
      <c r="BB659" s="545"/>
      <c r="BC659" s="2189"/>
      <c r="BD659" s="72"/>
      <c r="BE659" s="544" t="e">
        <f>+BE658/BE655</f>
        <v>#REF!</v>
      </c>
      <c r="BF659" s="544" t="e">
        <f>+BF658/BF655</f>
        <v>#REF!</v>
      </c>
      <c r="BG659" s="544" t="e">
        <f>+BG658/BG655</f>
        <v>#REF!</v>
      </c>
      <c r="BH659" s="544" t="e">
        <f>+BH658/BH655</f>
        <v>#REF!</v>
      </c>
      <c r="BI659" s="544"/>
      <c r="BJ659" s="2124" t="e">
        <f>+BJ658/BJ655</f>
        <v>#REF!</v>
      </c>
      <c r="BK659" s="544"/>
      <c r="BL659" s="544"/>
      <c r="BM659" s="544"/>
      <c r="BN659" s="544"/>
      <c r="BO659" s="1934"/>
      <c r="BP659" s="544"/>
      <c r="BQ659" s="544"/>
      <c r="BR659" s="545"/>
      <c r="BS659" s="545"/>
      <c r="BT659" s="545"/>
      <c r="BU659" s="545"/>
    </row>
    <row r="660" spans="2:73" s="534" customFormat="1" ht="15.75" hidden="1" customHeight="1" thickBot="1">
      <c r="C660" s="540"/>
      <c r="D660" s="540"/>
      <c r="E660" s="540"/>
      <c r="F660" s="540"/>
      <c r="G660" s="540"/>
      <c r="H660" s="540"/>
      <c r="I660" s="540"/>
      <c r="J660" s="540"/>
      <c r="K660" s="540"/>
      <c r="L660" s="540"/>
      <c r="M660" s="540"/>
      <c r="N660" s="540"/>
      <c r="O660" s="540"/>
      <c r="P660" s="540"/>
      <c r="Q660" s="540"/>
      <c r="R660" s="540"/>
      <c r="S660" s="1935"/>
      <c r="T660" s="540"/>
      <c r="U660" s="540"/>
      <c r="V660" s="540"/>
      <c r="W660" s="1935"/>
      <c r="X660" s="540"/>
      <c r="Y660" s="540"/>
      <c r="Z660" s="540"/>
      <c r="AA660" s="540"/>
      <c r="AB660" s="540"/>
      <c r="AC660" s="540"/>
      <c r="AD660" s="540"/>
      <c r="AE660" s="540"/>
      <c r="AF660" s="540"/>
      <c r="AG660" s="540"/>
      <c r="AH660" s="540"/>
      <c r="AI660" s="540"/>
      <c r="AJ660" s="540"/>
      <c r="AK660" s="540"/>
      <c r="AL660" s="540"/>
      <c r="AM660" s="1935"/>
      <c r="AN660" s="540"/>
      <c r="AO660" s="540"/>
      <c r="AP660" s="540"/>
      <c r="AQ660" s="540"/>
      <c r="AR660" s="540"/>
      <c r="AS660" s="540"/>
      <c r="AT660" s="540"/>
      <c r="AU660" s="540"/>
      <c r="AV660" s="540"/>
      <c r="AW660" s="540"/>
      <c r="AX660" s="540"/>
      <c r="AY660" s="540"/>
      <c r="AZ660" s="540"/>
      <c r="BA660" s="72"/>
      <c r="BB660" s="540"/>
      <c r="BC660" s="2189"/>
      <c r="BD660" s="72"/>
      <c r="BE660" s="540"/>
      <c r="BF660" s="540"/>
      <c r="BG660" s="540"/>
      <c r="BH660" s="540"/>
      <c r="BI660" s="540"/>
      <c r="BJ660" s="2125"/>
      <c r="BK660" s="540"/>
      <c r="BL660" s="540"/>
      <c r="BM660" s="540"/>
      <c r="BN660" s="540"/>
      <c r="BO660" s="1935"/>
      <c r="BP660" s="540"/>
      <c r="BQ660" s="540"/>
      <c r="BR660" s="540"/>
      <c r="BS660" s="540"/>
      <c r="BT660" s="540"/>
      <c r="BU660" s="540"/>
    </row>
    <row r="661" spans="2:73" s="535" customFormat="1" ht="15.75" hidden="1" customHeight="1" thickBot="1">
      <c r="B661" s="535" t="s">
        <v>392</v>
      </c>
      <c r="C661" s="560">
        <f t="shared" ref="C661:V661" si="4759">+C57-C285-C364-C541-C609</f>
        <v>2.8999999999998636</v>
      </c>
      <c r="D661" s="560">
        <f t="shared" si="4759"/>
        <v>3.8000000000000114</v>
      </c>
      <c r="E661" s="560">
        <f t="shared" si="4759"/>
        <v>3.0000000000002274</v>
      </c>
      <c r="F661" s="560">
        <f t="shared" si="4759"/>
        <v>4.9000000000001762</v>
      </c>
      <c r="G661" s="560">
        <f t="shared" si="4759"/>
        <v>3.400863118946404</v>
      </c>
      <c r="H661" s="560">
        <f t="shared" si="4759"/>
        <v>3.7579741914105682</v>
      </c>
      <c r="I661" s="560">
        <f t="shared" si="4759"/>
        <v>2.6999999999998749</v>
      </c>
      <c r="J661" s="560">
        <f t="shared" si="4759"/>
        <v>4.7123002658335622</v>
      </c>
      <c r="K661" s="560">
        <f t="shared" si="4759"/>
        <v>1.6326126919932165</v>
      </c>
      <c r="L661" s="560">
        <f t="shared" si="4759"/>
        <v>1.7708962521999183</v>
      </c>
      <c r="M661" s="560">
        <f t="shared" si="4759"/>
        <v>1.1338560708742591</v>
      </c>
      <c r="N661" s="560">
        <f t="shared" si="4759"/>
        <v>2.1094162438962485</v>
      </c>
      <c r="O661" s="560">
        <f t="shared" si="4759"/>
        <v>1.8442680606655131</v>
      </c>
      <c r="P661" s="560">
        <f t="shared" si="4759"/>
        <v>2.0849664331910844</v>
      </c>
      <c r="Q661" s="560">
        <f t="shared" si="4759"/>
        <v>2.1012598055993976</v>
      </c>
      <c r="R661" s="560">
        <f t="shared" si="4759"/>
        <v>3.6604333828270228</v>
      </c>
      <c r="S661" s="1936">
        <f t="shared" si="4759"/>
        <v>2.0500000000001819</v>
      </c>
      <c r="T661" s="560">
        <f t="shared" si="4759"/>
        <v>2.20900000000006</v>
      </c>
      <c r="U661" s="560">
        <f t="shared" si="4759"/>
        <v>1.7000000000002728</v>
      </c>
      <c r="V661" s="560">
        <f t="shared" si="4759"/>
        <v>5005.3999999999996</v>
      </c>
      <c r="W661" s="1936"/>
      <c r="X661" s="561"/>
      <c r="Y661" s="561"/>
      <c r="Z661" s="561"/>
      <c r="AA661" s="561"/>
      <c r="AB661" s="561"/>
      <c r="AC661" s="561"/>
      <c r="AD661" s="561"/>
      <c r="AE661" s="561"/>
      <c r="AF661" s="561"/>
      <c r="AG661" s="561"/>
      <c r="AH661" s="561"/>
      <c r="AI661" s="561"/>
      <c r="AJ661" s="561"/>
      <c r="AK661" s="561"/>
      <c r="AL661" s="561"/>
      <c r="AM661" s="2436"/>
      <c r="AN661" s="561"/>
      <c r="AO661" s="561"/>
      <c r="AP661" s="561"/>
      <c r="AQ661" s="561"/>
      <c r="AR661" s="561"/>
      <c r="AS661" s="561"/>
      <c r="AT661" s="561"/>
      <c r="AU661" s="561"/>
      <c r="AV661" s="561"/>
      <c r="AW661" s="561"/>
      <c r="AX661" s="561"/>
      <c r="AY661" s="561"/>
      <c r="AZ661" s="561"/>
      <c r="BA661" s="85"/>
      <c r="BB661" s="561"/>
      <c r="BC661" s="2197"/>
      <c r="BD661" s="85"/>
      <c r="BE661" s="560">
        <f>+BE57-BE285-BE364-BE541-BE609</f>
        <v>14.60000000000025</v>
      </c>
      <c r="BF661" s="560">
        <f>+BF57-BF285-BF364-BF541-BF609</f>
        <v>14.57113757619004</v>
      </c>
      <c r="BG661" s="560">
        <f>+BG57-BG285-BG364-BG541-BG609</f>
        <v>6.6467812589633013</v>
      </c>
      <c r="BH661" s="560">
        <f>+BH57-BH285-BH364-BH541-BH609</f>
        <v>9.6909276822816537</v>
      </c>
      <c r="BI661" s="560"/>
      <c r="BJ661" s="2126">
        <f>+BJ57-BJ285-BJ364-BJ541-BJ609</f>
        <v>5011.3589999999995</v>
      </c>
      <c r="BK661" s="560"/>
      <c r="BL661" s="560"/>
      <c r="BM661" s="560"/>
      <c r="BN661" s="560"/>
      <c r="BO661" s="1936"/>
      <c r="BP661" s="560"/>
      <c r="BQ661" s="560"/>
      <c r="BR661" s="561"/>
      <c r="BS661" s="561"/>
      <c r="BT661" s="561"/>
      <c r="BU661" s="561"/>
    </row>
    <row r="662" spans="2:73" s="534" customFormat="1" ht="15.75" hidden="1" customHeight="1" thickBot="1">
      <c r="B662" s="535"/>
      <c r="C662" s="540"/>
      <c r="D662" s="540"/>
      <c r="E662" s="540"/>
      <c r="F662" s="540"/>
      <c r="G662" s="540"/>
      <c r="H662" s="540"/>
      <c r="I662" s="540"/>
      <c r="J662" s="540"/>
      <c r="K662" s="540"/>
      <c r="L662" s="540"/>
      <c r="M662" s="540"/>
      <c r="N662" s="540"/>
      <c r="O662" s="540"/>
      <c r="P662" s="540"/>
      <c r="Q662" s="540"/>
      <c r="R662" s="540"/>
      <c r="S662" s="1935"/>
      <c r="T662" s="540"/>
      <c r="U662" s="540"/>
      <c r="V662" s="540"/>
      <c r="W662" s="1935"/>
      <c r="X662" s="546"/>
      <c r="Y662" s="546"/>
      <c r="Z662" s="546"/>
      <c r="AA662" s="546"/>
      <c r="AB662" s="546"/>
      <c r="AC662" s="546"/>
      <c r="AD662" s="546"/>
      <c r="AE662" s="546"/>
      <c r="AF662" s="546"/>
      <c r="AG662" s="546"/>
      <c r="AH662" s="546"/>
      <c r="AI662" s="546"/>
      <c r="AJ662" s="546"/>
      <c r="AK662" s="546"/>
      <c r="AL662" s="546"/>
      <c r="AM662" s="2437"/>
      <c r="AN662" s="546"/>
      <c r="AO662" s="546"/>
      <c r="AP662" s="546"/>
      <c r="AQ662" s="546"/>
      <c r="AR662" s="546"/>
      <c r="AS662" s="546"/>
      <c r="AT662" s="546"/>
      <c r="AU662" s="546"/>
      <c r="AV662" s="546"/>
      <c r="AW662" s="546"/>
      <c r="AX662" s="546"/>
      <c r="AY662" s="546"/>
      <c r="AZ662" s="546"/>
      <c r="BA662" s="72"/>
      <c r="BB662" s="546"/>
      <c r="BC662" s="2189"/>
      <c r="BD662" s="72"/>
      <c r="BE662" s="540"/>
      <c r="BF662" s="540"/>
      <c r="BG662" s="540"/>
      <c r="BH662" s="540"/>
      <c r="BI662" s="540"/>
      <c r="BJ662" s="2125"/>
      <c r="BK662" s="540"/>
      <c r="BL662" s="540"/>
      <c r="BM662" s="540"/>
      <c r="BN662" s="540"/>
      <c r="BO662" s="1935"/>
      <c r="BP662" s="540"/>
      <c r="BQ662" s="540"/>
      <c r="BR662" s="546"/>
      <c r="BS662" s="546"/>
      <c r="BT662" s="546"/>
      <c r="BU662" s="546"/>
    </row>
    <row r="663" spans="2:73" s="534" customFormat="1" ht="15.75" hidden="1" customHeight="1" thickBot="1">
      <c r="B663" s="535" t="s">
        <v>116</v>
      </c>
      <c r="C663" s="560">
        <f t="shared" ref="C663:V663" si="4760">+C61-C290-C374-C547-C615</f>
        <v>2.2329022576342652</v>
      </c>
      <c r="D663" s="560">
        <f t="shared" si="4760"/>
        <v>2.960222902463272</v>
      </c>
      <c r="E663" s="560">
        <f t="shared" si="4760"/>
        <v>2.2851545600534706</v>
      </c>
      <c r="F663" s="560">
        <f t="shared" si="4760"/>
        <v>3.6977562141766498</v>
      </c>
      <c r="G663" s="560">
        <f t="shared" si="4760"/>
        <v>2.5288013830976155</v>
      </c>
      <c r="H663" s="560">
        <f t="shared" si="4760"/>
        <v>3.3255303964564149</v>
      </c>
      <c r="I663" s="560">
        <f t="shared" si="4760"/>
        <v>2.0999999999999375</v>
      </c>
      <c r="J663" s="560">
        <f t="shared" si="4760"/>
        <v>3.3982555593636903</v>
      </c>
      <c r="K663" s="560">
        <f t="shared" si="4760"/>
        <v>1.2915901896920445</v>
      </c>
      <c r="L663" s="560">
        <f t="shared" si="4760"/>
        <v>0.37853754483651869</v>
      </c>
      <c r="M663" s="560">
        <f t="shared" si="4760"/>
        <v>0.83965017377488493</v>
      </c>
      <c r="N663" s="560">
        <f t="shared" si="4760"/>
        <v>1.4211816793440448</v>
      </c>
      <c r="O663" s="560">
        <f t="shared" si="4760"/>
        <v>1.3555966789371041</v>
      </c>
      <c r="P663" s="560">
        <f t="shared" si="4760"/>
        <v>1.5184334094036558</v>
      </c>
      <c r="Q663" s="560">
        <f t="shared" si="4760"/>
        <v>1.4144941681793171</v>
      </c>
      <c r="R663" s="560">
        <f t="shared" si="4760"/>
        <v>2.4851374969907738</v>
      </c>
      <c r="S663" s="1936">
        <f t="shared" si="4760"/>
        <v>1.27800000000002</v>
      </c>
      <c r="T663" s="560">
        <f t="shared" si="4760"/>
        <v>1.6539999999999964</v>
      </c>
      <c r="U663" s="560">
        <f t="shared" si="4760"/>
        <v>-0.8000000000001819</v>
      </c>
      <c r="V663" s="560">
        <f t="shared" si="4760"/>
        <v>2845.6999999999994</v>
      </c>
      <c r="W663" s="1936"/>
      <c r="X663" s="568"/>
      <c r="Y663" s="568"/>
      <c r="Z663" s="568"/>
      <c r="AA663" s="568"/>
      <c r="AB663" s="568"/>
      <c r="AC663" s="568"/>
      <c r="AD663" s="568"/>
      <c r="AE663" s="568"/>
      <c r="AF663" s="568"/>
      <c r="AG663" s="568"/>
      <c r="AH663" s="568"/>
      <c r="AI663" s="568"/>
      <c r="AJ663" s="568"/>
      <c r="AK663" s="568"/>
      <c r="AL663" s="568"/>
      <c r="AM663" s="2438"/>
      <c r="AN663" s="568"/>
      <c r="AO663" s="568"/>
      <c r="AP663" s="568"/>
      <c r="AQ663" s="568"/>
      <c r="AR663" s="568"/>
      <c r="AS663" s="568"/>
      <c r="AT663" s="568"/>
      <c r="AU663" s="568"/>
      <c r="AV663" s="568"/>
      <c r="AW663" s="568"/>
      <c r="AX663" s="568"/>
      <c r="AY663" s="568"/>
      <c r="AZ663" s="568"/>
      <c r="BA663" s="72"/>
      <c r="BB663" s="568"/>
      <c r="BC663" s="2189"/>
      <c r="BD663" s="72"/>
      <c r="BE663" s="560">
        <f>+BE61-BE290-BE374-BE547-BE615</f>
        <v>11.176035934327615</v>
      </c>
      <c r="BF663" s="560">
        <f>+BF61-BF290-BF374-BF547-BF615</f>
        <v>11.352587338917829</v>
      </c>
      <c r="BG663" s="560">
        <f>+BG61-BG290-BG374-BG547-BG615</f>
        <v>3.9309595876470667</v>
      </c>
      <c r="BH663" s="560">
        <f>+BH61-BH290-BH374-BH547-BH615</f>
        <v>6.7736617535110781</v>
      </c>
      <c r="BI663" s="560"/>
      <c r="BJ663" s="2126">
        <f>+BJ61-BJ290-BJ374-BJ547-BJ615</f>
        <v>2847.8320000000003</v>
      </c>
      <c r="BK663" s="560"/>
      <c r="BL663" s="560"/>
      <c r="BM663" s="560"/>
      <c r="BN663" s="560"/>
      <c r="BO663" s="1936"/>
      <c r="BP663" s="560"/>
      <c r="BQ663" s="560"/>
      <c r="BR663" s="568"/>
      <c r="BS663" s="568"/>
      <c r="BT663" s="568"/>
      <c r="BU663" s="568"/>
    </row>
    <row r="664" spans="2:73" s="534" customFormat="1" ht="15.75" hidden="1" customHeight="1" thickBot="1">
      <c r="B664" s="535"/>
      <c r="S664" s="1932"/>
      <c r="W664" s="1932"/>
      <c r="AM664" s="1932"/>
      <c r="BA664" s="72"/>
      <c r="BC664" s="2189"/>
      <c r="BD664" s="72"/>
      <c r="BJ664" s="2122"/>
      <c r="BO664" s="1932"/>
    </row>
    <row r="665" spans="2:73" s="534" customFormat="1" ht="15.75" hidden="1" customHeight="1" thickBot="1">
      <c r="B665" s="535" t="s">
        <v>120</v>
      </c>
      <c r="C665" s="565">
        <f t="shared" ref="C665:S665" si="4761">+C666+C667+C668+C670+C672</f>
        <v>-6.6329022576343561</v>
      </c>
      <c r="D665" s="565">
        <f t="shared" si="4761"/>
        <v>-7.5602229024632415</v>
      </c>
      <c r="E665" s="565">
        <f t="shared" si="4761"/>
        <v>-8.3851545600534365</v>
      </c>
      <c r="F665" s="565">
        <f t="shared" si="4761"/>
        <v>-3.8977562141766358</v>
      </c>
      <c r="G665" s="565">
        <f t="shared" si="4761"/>
        <v>-7.9318420603886706</v>
      </c>
      <c r="H665" s="565">
        <f t="shared" si="4761"/>
        <v>-7.2997183958560763</v>
      </c>
      <c r="I665" s="565">
        <f t="shared" si="4761"/>
        <v>23.946999999999889</v>
      </c>
      <c r="J665" s="565">
        <f t="shared" si="4761"/>
        <v>-13.872535801569072</v>
      </c>
      <c r="K665" s="565">
        <f t="shared" si="4761"/>
        <v>-12.934330561740101</v>
      </c>
      <c r="L665" s="565">
        <f t="shared" si="4761"/>
        <v>-50.150977409583419</v>
      </c>
      <c r="M665" s="565">
        <f t="shared" si="4761"/>
        <v>-44.02555506179457</v>
      </c>
      <c r="N665" s="565">
        <f t="shared" si="4761"/>
        <v>-43.855648664324548</v>
      </c>
      <c r="O665" s="565">
        <f t="shared" si="4761"/>
        <v>-23.413351303883356</v>
      </c>
      <c r="P665" s="565">
        <f t="shared" si="4761"/>
        <v>-30.796213244859558</v>
      </c>
      <c r="Q665" s="565">
        <f t="shared" si="4761"/>
        <v>-33.60550376329406</v>
      </c>
      <c r="R665" s="565">
        <f t="shared" si="4761"/>
        <v>-52.877261930042046</v>
      </c>
      <c r="S665" s="1937">
        <f t="shared" si="4761"/>
        <v>-47.300000000000132</v>
      </c>
      <c r="T665" s="565">
        <f>+T666+T667+T668+T670+T672</f>
        <v>-98.600000000000193</v>
      </c>
      <c r="U665" s="565">
        <f>+U666+U667+U668+U670+U672</f>
        <v>-74.100000000000037</v>
      </c>
      <c r="V665" s="565">
        <f>+V666+V667+V668+V670+V672</f>
        <v>-98.000000000000057</v>
      </c>
      <c r="W665" s="1937"/>
      <c r="X665" s="542"/>
      <c r="Y665" s="542"/>
      <c r="Z665" s="542"/>
      <c r="AA665" s="542"/>
      <c r="AB665" s="542"/>
      <c r="AC665" s="542"/>
      <c r="AD665" s="542"/>
      <c r="AE665" s="542"/>
      <c r="AF665" s="542"/>
      <c r="AG665" s="542"/>
      <c r="AH665" s="542"/>
      <c r="AI665" s="542"/>
      <c r="AJ665" s="542"/>
      <c r="AK665" s="542"/>
      <c r="AL665" s="542"/>
      <c r="AM665" s="2439"/>
      <c r="AN665" s="542"/>
      <c r="AO665" s="542"/>
      <c r="AP665" s="542"/>
      <c r="AQ665" s="542"/>
      <c r="AR665" s="542"/>
      <c r="AS665" s="542"/>
      <c r="AT665" s="542"/>
      <c r="AU665" s="542"/>
      <c r="AV665" s="542"/>
      <c r="AW665" s="542"/>
      <c r="AX665" s="542"/>
      <c r="AY665" s="542"/>
      <c r="AZ665" s="542"/>
      <c r="BA665" s="72"/>
      <c r="BB665" s="542"/>
      <c r="BC665" s="2189"/>
      <c r="BD665" s="72"/>
      <c r="BE665" s="565">
        <f>+BE666+BE667+BE668+BE670+BE672</f>
        <v>-26.47603593432741</v>
      </c>
      <c r="BF665" s="565">
        <f>+BF666+BF667+BF668+BF670+BF672</f>
        <v>-5.1570962578138406</v>
      </c>
      <c r="BG665" s="565">
        <f>+BG666+BG667+BG668+BG670+BG672</f>
        <v>-150.96651169744234</v>
      </c>
      <c r="BH665" s="565">
        <f>+BH666+BH667+BH668+BH670+BH672</f>
        <v>-140.69233024207887</v>
      </c>
      <c r="BI665" s="565"/>
      <c r="BJ665" s="2127">
        <f>+BJ666+BJ667+BJ668+BJ670+BJ672</f>
        <v>-318.00000000000017</v>
      </c>
      <c r="BK665" s="565"/>
      <c r="BL665" s="565"/>
      <c r="BM665" s="565"/>
      <c r="BN665" s="565"/>
      <c r="BO665" s="1937"/>
      <c r="BP665" s="565"/>
      <c r="BQ665" s="565"/>
      <c r="BR665" s="542"/>
      <c r="BS665" s="542"/>
      <c r="BT665" s="542"/>
      <c r="BU665" s="542"/>
    </row>
    <row r="666" spans="2:73" s="534" customFormat="1" ht="15.75" hidden="1" customHeight="1" thickBot="1">
      <c r="B666" s="534" t="s">
        <v>393</v>
      </c>
      <c r="C666" s="541">
        <f t="shared" ref="C666:V666" si="4762">+C70-C294-C379-C552-C620</f>
        <v>-4.0999999999999552</v>
      </c>
      <c r="D666" s="541">
        <f t="shared" si="4762"/>
        <v>-5.3999999999999204</v>
      </c>
      <c r="E666" s="541">
        <f t="shared" si="4762"/>
        <v>-5.8000000000000007</v>
      </c>
      <c r="F666" s="541">
        <f t="shared" si="4762"/>
        <v>0.29999999999997584</v>
      </c>
      <c r="G666" s="541">
        <f t="shared" si="4762"/>
        <v>-8.3643761406120447</v>
      </c>
      <c r="H666" s="541">
        <f t="shared" si="4762"/>
        <v>-15.064454762641663</v>
      </c>
      <c r="I666" s="541">
        <f t="shared" si="4762"/>
        <v>-7.4833886433767134</v>
      </c>
      <c r="J666" s="541">
        <f t="shared" si="4762"/>
        <v>-10.856866731075581</v>
      </c>
      <c r="K666" s="541">
        <f t="shared" si="4762"/>
        <v>60.085843397868146</v>
      </c>
      <c r="L666" s="541">
        <f t="shared" si="4762"/>
        <v>65.088025917847744</v>
      </c>
      <c r="M666" s="541">
        <f t="shared" si="4762"/>
        <v>-4.4764216499768565</v>
      </c>
      <c r="N666" s="541">
        <f t="shared" si="4762"/>
        <v>-6.1484116337176147</v>
      </c>
      <c r="O666" s="541">
        <f t="shared" si="4762"/>
        <v>-5.6423705266671504</v>
      </c>
      <c r="P666" s="541">
        <f t="shared" si="4762"/>
        <v>-7.013498964355108</v>
      </c>
      <c r="Q666" s="541">
        <f t="shared" si="4762"/>
        <v>-6.964675058893647</v>
      </c>
      <c r="R666" s="541">
        <f t="shared" si="4762"/>
        <v>-8.8738696003638324</v>
      </c>
      <c r="S666" s="1938">
        <f t="shared" si="4762"/>
        <v>-2.8000000000001251</v>
      </c>
      <c r="T666" s="541">
        <f t="shared" si="4762"/>
        <v>-3.7000000000001023</v>
      </c>
      <c r="U666" s="541">
        <f t="shared" si="4762"/>
        <v>-2.7000000000000455</v>
      </c>
      <c r="V666" s="541">
        <f t="shared" si="4762"/>
        <v>-4.8000000000000682</v>
      </c>
      <c r="W666" s="1938"/>
      <c r="X666" s="542"/>
      <c r="Y666" s="542"/>
      <c r="Z666" s="542"/>
      <c r="AA666" s="542"/>
      <c r="AB666" s="542"/>
      <c r="AC666" s="542"/>
      <c r="AD666" s="542"/>
      <c r="AE666" s="542"/>
      <c r="AF666" s="542"/>
      <c r="AG666" s="542"/>
      <c r="AH666" s="542"/>
      <c r="AI666" s="542"/>
      <c r="AJ666" s="542"/>
      <c r="AK666" s="542"/>
      <c r="AL666" s="542"/>
      <c r="AM666" s="2439"/>
      <c r="AN666" s="542"/>
      <c r="AO666" s="542"/>
      <c r="AP666" s="542"/>
      <c r="AQ666" s="542"/>
      <c r="AR666" s="542"/>
      <c r="AS666" s="542"/>
      <c r="AT666" s="542"/>
      <c r="AU666" s="542"/>
      <c r="AV666" s="542"/>
      <c r="AW666" s="542"/>
      <c r="AX666" s="542"/>
      <c r="AY666" s="542"/>
      <c r="AZ666" s="542"/>
      <c r="BA666" s="72"/>
      <c r="BB666" s="542"/>
      <c r="BC666" s="2189"/>
      <c r="BD666" s="72"/>
      <c r="BE666" s="541">
        <f>+BE70-BE294-BE379-BE552-BE620</f>
        <v>-14.999999999999616</v>
      </c>
      <c r="BF666" s="541">
        <f>+BF70-BF294-BF379-BF552-BF620</f>
        <v>-41.769086277705952</v>
      </c>
      <c r="BG666" s="541">
        <f>+BG70-BG294-BG379-BG552-BG620</f>
        <v>114.54903603202149</v>
      </c>
      <c r="BH666" s="541">
        <f>+BH70-BH294-BH379-BH552-BH620</f>
        <v>-28.494414150279681</v>
      </c>
      <c r="BI666" s="541"/>
      <c r="BJ666" s="2128">
        <f>+BJ70-BJ294-BJ379-BJ552-BJ620</f>
        <v>-14</v>
      </c>
      <c r="BK666" s="541"/>
      <c r="BL666" s="541"/>
      <c r="BM666" s="541"/>
      <c r="BN666" s="541"/>
      <c r="BO666" s="1938"/>
      <c r="BP666" s="541"/>
      <c r="BQ666" s="541"/>
      <c r="BR666" s="542"/>
      <c r="BS666" s="542"/>
      <c r="BT666" s="542"/>
      <c r="BU666" s="542"/>
    </row>
    <row r="667" spans="2:73" s="534" customFormat="1" ht="15.75" hidden="1" customHeight="1" thickBot="1">
      <c r="B667" s="534" t="s">
        <v>394</v>
      </c>
      <c r="C667" s="541">
        <f t="shared" ref="C667:V667" si="4763">+C74-C297-C382-C555-C623</f>
        <v>-2.8999999999999915</v>
      </c>
      <c r="D667" s="541">
        <f t="shared" si="4763"/>
        <v>-2.9000000000000341</v>
      </c>
      <c r="E667" s="541">
        <f t="shared" si="4763"/>
        <v>-2.9999999999999858</v>
      </c>
      <c r="F667" s="541">
        <f t="shared" si="4763"/>
        <v>-5.3000000000000114</v>
      </c>
      <c r="G667" s="541">
        <f t="shared" si="4763"/>
        <v>0.61864847989869531</v>
      </c>
      <c r="H667" s="541">
        <f t="shared" si="4763"/>
        <v>7.5057293645310637</v>
      </c>
      <c r="I667" s="541">
        <f t="shared" si="4763"/>
        <v>1.9078847962635166</v>
      </c>
      <c r="J667" s="541">
        <f t="shared" si="4763"/>
        <v>-3.2251722608623083</v>
      </c>
      <c r="K667" s="541">
        <f t="shared" si="4763"/>
        <v>-73.189441828213603</v>
      </c>
      <c r="L667" s="541">
        <f t="shared" si="4763"/>
        <v>-79.777203930702797</v>
      </c>
      <c r="M667" s="541">
        <f t="shared" si="4763"/>
        <v>-11.323501632801253</v>
      </c>
      <c r="N667" s="541">
        <f t="shared" si="4763"/>
        <v>-2.8397535783444425</v>
      </c>
      <c r="O667" s="541">
        <f t="shared" si="4763"/>
        <v>-1.9158223312556117</v>
      </c>
      <c r="P667" s="541">
        <f t="shared" si="4763"/>
        <v>-2.3670837498836192</v>
      </c>
      <c r="Q667" s="541">
        <f t="shared" si="4763"/>
        <v>-1.9638347439527877</v>
      </c>
      <c r="R667" s="541">
        <f t="shared" si="4763"/>
        <v>-4.4936290743545726</v>
      </c>
      <c r="S667" s="1938">
        <f t="shared" si="4763"/>
        <v>-5.9000000000000057</v>
      </c>
      <c r="T667" s="541">
        <f t="shared" si="4763"/>
        <v>-7.8000000000000114</v>
      </c>
      <c r="U667" s="541">
        <f t="shared" si="4763"/>
        <v>-16.099999999999966</v>
      </c>
      <c r="V667" s="541">
        <f t="shared" si="4763"/>
        <v>-20.300000000000011</v>
      </c>
      <c r="W667" s="1938"/>
      <c r="X667" s="542"/>
      <c r="Y667" s="542"/>
      <c r="Z667" s="542"/>
      <c r="AA667" s="542"/>
      <c r="AB667" s="542"/>
      <c r="AC667" s="542"/>
      <c r="AD667" s="542"/>
      <c r="AE667" s="542"/>
      <c r="AF667" s="542"/>
      <c r="AG667" s="542"/>
      <c r="AH667" s="542"/>
      <c r="AI667" s="542"/>
      <c r="AJ667" s="542"/>
      <c r="AK667" s="542"/>
      <c r="AL667" s="542"/>
      <c r="AM667" s="2439"/>
      <c r="AN667" s="542"/>
      <c r="AO667" s="542"/>
      <c r="AP667" s="542"/>
      <c r="AQ667" s="542"/>
      <c r="AR667" s="542"/>
      <c r="AS667" s="542"/>
      <c r="AT667" s="542"/>
      <c r="AU667" s="542"/>
      <c r="AV667" s="542"/>
      <c r="AW667" s="542"/>
      <c r="AX667" s="542"/>
      <c r="AY667" s="542"/>
      <c r="AZ667" s="542"/>
      <c r="BA667" s="72"/>
      <c r="BB667" s="542"/>
      <c r="BC667" s="2189"/>
      <c r="BD667" s="72"/>
      <c r="BE667" s="541">
        <f>+BE74-BE297-BE382-BE555-BE623</f>
        <v>-14.100000000000023</v>
      </c>
      <c r="BF667" s="541">
        <f>+BF74-BF297-BF382-BF555-BF623</f>
        <v>6.8070903798310383</v>
      </c>
      <c r="BG667" s="541">
        <f>+BG74-BG297-BG382-BG555-BG623</f>
        <v>-167.12990097006187</v>
      </c>
      <c r="BH667" s="541">
        <f>+BH74-BH297-BH382-BH555-BH623</f>
        <v>-10.740369899446478</v>
      </c>
      <c r="BI667" s="541"/>
      <c r="BJ667" s="2128">
        <f>+BJ74-BJ297-BJ382-BJ555-BJ623</f>
        <v>-50.099999999999909</v>
      </c>
      <c r="BK667" s="541"/>
      <c r="BL667" s="541"/>
      <c r="BM667" s="541"/>
      <c r="BN667" s="541"/>
      <c r="BO667" s="1938"/>
      <c r="BP667" s="541"/>
      <c r="BQ667" s="541"/>
      <c r="BR667" s="542"/>
      <c r="BS667" s="542"/>
      <c r="BT667" s="542"/>
      <c r="BU667" s="542"/>
    </row>
    <row r="668" spans="2:73" s="534" customFormat="1" ht="15.75" hidden="1" customHeight="1" thickBot="1">
      <c r="B668" s="534" t="s">
        <v>269</v>
      </c>
      <c r="C668" s="541">
        <f t="shared" ref="C668:V668" si="4764">+C79+C83-C300-C385-C558-C626</f>
        <v>0</v>
      </c>
      <c r="D668" s="541">
        <f t="shared" si="4764"/>
        <v>6.9388939039072284E-16</v>
      </c>
      <c r="E668" s="541">
        <f t="shared" si="4764"/>
        <v>0.10000000000000142</v>
      </c>
      <c r="F668" s="541">
        <f t="shared" si="4764"/>
        <v>-9.9999999999998923E-2</v>
      </c>
      <c r="G668" s="541">
        <f t="shared" si="4764"/>
        <v>-5.9415465300895504E-2</v>
      </c>
      <c r="H668" s="541">
        <f t="shared" si="4764"/>
        <v>-1.5649294810921255E-2</v>
      </c>
      <c r="I668" s="541">
        <f t="shared" si="4764"/>
        <v>-9.9999999999999589E-2</v>
      </c>
      <c r="J668" s="541">
        <f t="shared" si="4764"/>
        <v>6.1688238603761464E-2</v>
      </c>
      <c r="K668" s="541">
        <f t="shared" si="4764"/>
        <v>5.9952043329758453E-15</v>
      </c>
      <c r="L668" s="541">
        <f t="shared" si="4764"/>
        <v>-35.647757572312678</v>
      </c>
      <c r="M668" s="541">
        <f t="shared" si="4764"/>
        <v>0.75385451000002901</v>
      </c>
      <c r="N668" s="541">
        <f t="shared" si="4764"/>
        <v>0</v>
      </c>
      <c r="O668" s="541">
        <f t="shared" si="4764"/>
        <v>7.9751960529990673E-3</v>
      </c>
      <c r="P668" s="541">
        <f t="shared" si="4764"/>
        <v>0</v>
      </c>
      <c r="Q668" s="541">
        <f t="shared" si="4764"/>
        <v>1.0614190286446501E-2</v>
      </c>
      <c r="R668" s="541">
        <f t="shared" si="4764"/>
        <v>-0.13762500450512505</v>
      </c>
      <c r="S668" s="1938">
        <f t="shared" si="4764"/>
        <v>0</v>
      </c>
      <c r="T668" s="541">
        <f t="shared" si="4764"/>
        <v>0</v>
      </c>
      <c r="U668" s="541">
        <f t="shared" si="4764"/>
        <v>0</v>
      </c>
      <c r="V668" s="541">
        <f t="shared" si="4764"/>
        <v>-0.10000000000000853</v>
      </c>
      <c r="W668" s="1938"/>
      <c r="X668" s="542"/>
      <c r="Y668" s="542"/>
      <c r="Z668" s="542"/>
      <c r="AA668" s="542"/>
      <c r="AB668" s="542"/>
      <c r="AC668" s="542"/>
      <c r="AD668" s="542"/>
      <c r="AE668" s="542"/>
      <c r="AF668" s="542"/>
      <c r="AG668" s="542"/>
      <c r="AH668" s="542"/>
      <c r="AI668" s="542"/>
      <c r="AJ668" s="542"/>
      <c r="AK668" s="542"/>
      <c r="AL668" s="542"/>
      <c r="AM668" s="2439"/>
      <c r="AN668" s="542"/>
      <c r="AO668" s="542"/>
      <c r="AP668" s="542"/>
      <c r="AQ668" s="542"/>
      <c r="AR668" s="542"/>
      <c r="AS668" s="542"/>
      <c r="AT668" s="542"/>
      <c r="AU668" s="542"/>
      <c r="AV668" s="542"/>
      <c r="AW668" s="542"/>
      <c r="AX668" s="542"/>
      <c r="AY668" s="542"/>
      <c r="AZ668" s="542"/>
      <c r="BA668" s="72"/>
      <c r="BB668" s="542"/>
      <c r="BC668" s="2189"/>
      <c r="BD668" s="72"/>
      <c r="BE668" s="541">
        <f>+BE79+BE83-BE300-BE385-BE558-BE626</f>
        <v>-5.5511151231257827E-15</v>
      </c>
      <c r="BF668" s="541">
        <f>+BF79+BF83-BF300-BF385-BF558-BF626</f>
        <v>-0.11337652150805266</v>
      </c>
      <c r="BG668" s="541">
        <f>+BG79+BG83-BG300-BG385-BG558-BG626</f>
        <v>-34.893903062312646</v>
      </c>
      <c r="BH668" s="541">
        <f>+BH79+BH83-BH300-BH385-BH558-BH626</f>
        <v>-0.11903561816568242</v>
      </c>
      <c r="BI668" s="541"/>
      <c r="BJ668" s="2128">
        <f>+BJ79+BJ83-BJ300-BJ385-BJ558-BJ626</f>
        <v>-0.10000000000002274</v>
      </c>
      <c r="BK668" s="541"/>
      <c r="BL668" s="541"/>
      <c r="BM668" s="541"/>
      <c r="BN668" s="541"/>
      <c r="BO668" s="1938"/>
      <c r="BP668" s="541"/>
      <c r="BQ668" s="541"/>
      <c r="BR668" s="542"/>
      <c r="BS668" s="542"/>
      <c r="BT668" s="542"/>
      <c r="BU668" s="542"/>
    </row>
    <row r="669" spans="2:73" s="534" customFormat="1" ht="15.75" hidden="1" customHeight="1" thickBot="1">
      <c r="C669" s="541"/>
      <c r="D669" s="541"/>
      <c r="E669" s="541"/>
      <c r="F669" s="541"/>
      <c r="G669" s="541"/>
      <c r="H669" s="541"/>
      <c r="I669" s="541"/>
      <c r="J669" s="541"/>
      <c r="K669" s="541"/>
      <c r="L669" s="541"/>
      <c r="M669" s="541"/>
      <c r="N669" s="541"/>
      <c r="O669" s="541"/>
      <c r="P669" s="541"/>
      <c r="Q669" s="541"/>
      <c r="R669" s="541"/>
      <c r="S669" s="1938"/>
      <c r="T669" s="541"/>
      <c r="U669" s="541"/>
      <c r="V669" s="541"/>
      <c r="W669" s="1938"/>
      <c r="X669" s="542"/>
      <c r="Y669" s="542"/>
      <c r="Z669" s="542"/>
      <c r="AA669" s="542"/>
      <c r="AB669" s="542"/>
      <c r="AC669" s="542"/>
      <c r="AD669" s="542"/>
      <c r="AE669" s="542"/>
      <c r="AF669" s="542"/>
      <c r="AG669" s="542"/>
      <c r="AH669" s="542"/>
      <c r="AI669" s="542"/>
      <c r="AJ669" s="542"/>
      <c r="AK669" s="542"/>
      <c r="AL669" s="542"/>
      <c r="AM669" s="2439"/>
      <c r="AN669" s="542"/>
      <c r="AO669" s="542"/>
      <c r="AP669" s="542"/>
      <c r="AQ669" s="542"/>
      <c r="AR669" s="542"/>
      <c r="AS669" s="542"/>
      <c r="AT669" s="542"/>
      <c r="AU669" s="542"/>
      <c r="AV669" s="542"/>
      <c r="AW669" s="542"/>
      <c r="AX669" s="542"/>
      <c r="AY669" s="542"/>
      <c r="AZ669" s="542"/>
      <c r="BA669" s="72"/>
      <c r="BB669" s="542"/>
      <c r="BC669" s="2189"/>
      <c r="BD669" s="72"/>
      <c r="BE669" s="541"/>
      <c r="BF669" s="541"/>
      <c r="BG669" s="541"/>
      <c r="BH669" s="541"/>
      <c r="BI669" s="541"/>
      <c r="BJ669" s="2128"/>
      <c r="BK669" s="541"/>
      <c r="BL669" s="541"/>
      <c r="BM669" s="541"/>
      <c r="BN669" s="541"/>
      <c r="BO669" s="1938"/>
      <c r="BP669" s="541"/>
      <c r="BQ669" s="541"/>
      <c r="BR669" s="542"/>
      <c r="BS669" s="542"/>
      <c r="BT669" s="542"/>
      <c r="BU669" s="542"/>
    </row>
    <row r="670" spans="2:73" s="534" customFormat="1" ht="15.75" hidden="1" customHeight="1" thickBot="1">
      <c r="B670" s="535" t="s">
        <v>395</v>
      </c>
      <c r="C670" s="564">
        <f t="shared" ref="C670:V670" si="4765">+C80+C81</f>
        <v>0</v>
      </c>
      <c r="D670" s="564">
        <f t="shared" si="4765"/>
        <v>0</v>
      </c>
      <c r="E670" s="564">
        <f t="shared" si="4765"/>
        <v>0</v>
      </c>
      <c r="F670" s="564">
        <f t="shared" si="4765"/>
        <v>0</v>
      </c>
      <c r="G670" s="564">
        <f t="shared" si="4765"/>
        <v>0</v>
      </c>
      <c r="H670" s="564">
        <f t="shared" si="4765"/>
        <v>0</v>
      </c>
      <c r="I670" s="564">
        <f t="shared" si="4765"/>
        <v>0</v>
      </c>
      <c r="J670" s="564">
        <f t="shared" si="4765"/>
        <v>0</v>
      </c>
      <c r="K670" s="564">
        <f t="shared" si="4765"/>
        <v>0</v>
      </c>
      <c r="L670" s="564">
        <f t="shared" si="4765"/>
        <v>0</v>
      </c>
      <c r="M670" s="564">
        <f t="shared" si="4765"/>
        <v>-29.146999999999998</v>
      </c>
      <c r="N670" s="564">
        <f t="shared" si="4765"/>
        <v>-35.085057518729997</v>
      </c>
      <c r="O670" s="564">
        <f t="shared" si="4765"/>
        <v>-15.911330683815903</v>
      </c>
      <c r="P670" s="564">
        <f t="shared" si="4765"/>
        <v>-21.55661644581042</v>
      </c>
      <c r="Q670" s="564">
        <f t="shared" si="4765"/>
        <v>-24.87184795125297</v>
      </c>
      <c r="R670" s="564">
        <f t="shared" si="4765"/>
        <v>-39.69938179138574</v>
      </c>
      <c r="S670" s="1939">
        <f t="shared" si="4765"/>
        <v>-38.6</v>
      </c>
      <c r="T670" s="564">
        <f t="shared" si="4765"/>
        <v>-88.5</v>
      </c>
      <c r="U670" s="564">
        <f t="shared" si="4765"/>
        <v>-64.8</v>
      </c>
      <c r="V670" s="564">
        <f t="shared" si="4765"/>
        <v>-76.3</v>
      </c>
      <c r="W670" s="1939"/>
      <c r="X670" s="566"/>
      <c r="Y670" s="566"/>
      <c r="Z670" s="566"/>
      <c r="AA670" s="566"/>
      <c r="AB670" s="566"/>
      <c r="AC670" s="566"/>
      <c r="AD670" s="566"/>
      <c r="AE670" s="566"/>
      <c r="AF670" s="566"/>
      <c r="AG670" s="566"/>
      <c r="AH670" s="566"/>
      <c r="AI670" s="566"/>
      <c r="AJ670" s="566"/>
      <c r="AK670" s="566"/>
      <c r="AL670" s="566"/>
      <c r="AM670" s="2440"/>
      <c r="AN670" s="566"/>
      <c r="AO670" s="566"/>
      <c r="AP670" s="566"/>
      <c r="AQ670" s="566"/>
      <c r="AR670" s="566"/>
      <c r="AS670" s="566"/>
      <c r="AT670" s="566"/>
      <c r="AU670" s="566"/>
      <c r="AV670" s="566"/>
      <c r="AW670" s="566"/>
      <c r="AX670" s="566"/>
      <c r="AY670" s="566"/>
      <c r="AZ670" s="566"/>
      <c r="BA670" s="72"/>
      <c r="BB670" s="566"/>
      <c r="BC670" s="2189"/>
      <c r="BD670" s="72"/>
      <c r="BE670" s="564">
        <f>+BE80+BE81</f>
        <v>0</v>
      </c>
      <c r="BF670" s="564">
        <f>+BF80+BF81</f>
        <v>0</v>
      </c>
      <c r="BG670" s="564">
        <f>+BG80+BG81</f>
        <v>-64.232057518729988</v>
      </c>
      <c r="BH670" s="564">
        <f>+BH80+BH81</f>
        <v>-102.03917687226502</v>
      </c>
      <c r="BI670" s="564"/>
      <c r="BJ670" s="2129">
        <f>+BJ80+BJ81</f>
        <v>-268.2</v>
      </c>
      <c r="BK670" s="564"/>
      <c r="BL670" s="564"/>
      <c r="BM670" s="564"/>
      <c r="BN670" s="564"/>
      <c r="BO670" s="1939"/>
      <c r="BP670" s="564"/>
      <c r="BQ670" s="564"/>
      <c r="BR670" s="566"/>
      <c r="BS670" s="566"/>
      <c r="BT670" s="566"/>
      <c r="BU670" s="566"/>
    </row>
    <row r="671" spans="2:73" s="534" customFormat="1" ht="15.75" hidden="1" customHeight="1" thickBot="1">
      <c r="B671" s="535"/>
      <c r="S671" s="1932"/>
      <c r="W671" s="1932"/>
      <c r="X671" s="566"/>
      <c r="Y671" s="566"/>
      <c r="Z671" s="566"/>
      <c r="AA671" s="566"/>
      <c r="AB671" s="566"/>
      <c r="AC671" s="566"/>
      <c r="AD671" s="566"/>
      <c r="AE671" s="566"/>
      <c r="AF671" s="566"/>
      <c r="AG671" s="566"/>
      <c r="AH671" s="566"/>
      <c r="AI671" s="566"/>
      <c r="AJ671" s="566"/>
      <c r="AK671" s="566"/>
      <c r="AL671" s="566"/>
      <c r="AM671" s="2440"/>
      <c r="AN671" s="566"/>
      <c r="AO671" s="566"/>
      <c r="AP671" s="566"/>
      <c r="AQ671" s="566"/>
      <c r="AR671" s="566"/>
      <c r="AS671" s="566"/>
      <c r="AT671" s="566"/>
      <c r="AU671" s="566"/>
      <c r="AV671" s="566"/>
      <c r="AW671" s="566"/>
      <c r="AX671" s="566"/>
      <c r="AY671" s="566"/>
      <c r="AZ671" s="566"/>
      <c r="BA671" s="72"/>
      <c r="BB671" s="566"/>
      <c r="BC671" s="2189"/>
      <c r="BD671" s="72"/>
      <c r="BJ671" s="2122"/>
      <c r="BO671" s="1932"/>
      <c r="BR671" s="566"/>
      <c r="BS671" s="566"/>
      <c r="BT671" s="566"/>
      <c r="BU671" s="566"/>
    </row>
    <row r="672" spans="2:73" s="534" customFormat="1" ht="15.75" hidden="1" customHeight="1" thickBot="1">
      <c r="B672" s="535" t="s">
        <v>298</v>
      </c>
      <c r="C672" s="541">
        <f t="shared" ref="C672:V672" si="4766">C89-C310-C395-C569-C637</f>
        <v>0.36709774236559056</v>
      </c>
      <c r="D672" s="541">
        <f t="shared" si="4766"/>
        <v>0.73977709753671306</v>
      </c>
      <c r="E672" s="541">
        <f t="shared" si="4766"/>
        <v>0.31484543994654857</v>
      </c>
      <c r="F672" s="541">
        <f t="shared" si="4766"/>
        <v>1.2022437858233985</v>
      </c>
      <c r="G672" s="541">
        <f t="shared" si="4766"/>
        <v>-0.12669893437442603</v>
      </c>
      <c r="H672" s="541">
        <f t="shared" si="4766"/>
        <v>0.27465629706544448</v>
      </c>
      <c r="I672" s="541">
        <f t="shared" si="4766"/>
        <v>29.622503847113087</v>
      </c>
      <c r="J672" s="541">
        <f t="shared" si="4766"/>
        <v>0.14781495176505643</v>
      </c>
      <c r="K672" s="541">
        <f t="shared" si="4766"/>
        <v>0.16926786860535081</v>
      </c>
      <c r="L672" s="541">
        <f t="shared" si="4766"/>
        <v>0.18595817558430916</v>
      </c>
      <c r="M672" s="541">
        <f t="shared" si="4766"/>
        <v>0.16751371098350631</v>
      </c>
      <c r="N672" s="541">
        <f t="shared" si="4766"/>
        <v>0.2175740664675061</v>
      </c>
      <c r="O672" s="541">
        <f t="shared" si="4766"/>
        <v>4.8197041802310991E-2</v>
      </c>
      <c r="P672" s="541">
        <f t="shared" si="4766"/>
        <v>0.1409859151895887</v>
      </c>
      <c r="Q672" s="541">
        <f t="shared" si="4766"/>
        <v>0.18423980051890254</v>
      </c>
      <c r="R672" s="541">
        <f t="shared" si="4766"/>
        <v>0.32724354056722404</v>
      </c>
      <c r="S672" s="1938">
        <f t="shared" si="4766"/>
        <v>0</v>
      </c>
      <c r="T672" s="541">
        <f t="shared" si="4766"/>
        <v>1.3999999999999204</v>
      </c>
      <c r="U672" s="541">
        <f t="shared" si="4766"/>
        <v>9.4999999999999716</v>
      </c>
      <c r="V672" s="541">
        <f t="shared" si="4766"/>
        <v>3.5000000000000284</v>
      </c>
      <c r="W672" s="1938"/>
      <c r="X672" s="542"/>
      <c r="Y672" s="542"/>
      <c r="Z672" s="542"/>
      <c r="AA672" s="542"/>
      <c r="AB672" s="542"/>
      <c r="AC672" s="542"/>
      <c r="AD672" s="542"/>
      <c r="AE672" s="542"/>
      <c r="AF672" s="542"/>
      <c r="AG672" s="542"/>
      <c r="AH672" s="542"/>
      <c r="AI672" s="542"/>
      <c r="AJ672" s="542"/>
      <c r="AK672" s="542"/>
      <c r="AL672" s="542"/>
      <c r="AM672" s="2439"/>
      <c r="AN672" s="542"/>
      <c r="AO672" s="542"/>
      <c r="AP672" s="542"/>
      <c r="AQ672" s="542"/>
      <c r="AR672" s="542"/>
      <c r="AS672" s="542"/>
      <c r="AT672" s="542"/>
      <c r="AU672" s="542"/>
      <c r="AV672" s="542"/>
      <c r="AW672" s="542"/>
      <c r="AX672" s="542"/>
      <c r="AY672" s="542"/>
      <c r="AZ672" s="542"/>
      <c r="BA672" s="72"/>
      <c r="BB672" s="542"/>
      <c r="BC672" s="2189"/>
      <c r="BD672" s="72"/>
      <c r="BE672" s="541">
        <f>BE89-BE310-BE395-BE569-BE637</f>
        <v>2.6239640656722365</v>
      </c>
      <c r="BF672" s="541">
        <f>BF89-BF310-BF395-BF569-BF637</f>
        <v>29.918276161569125</v>
      </c>
      <c r="BG672" s="541">
        <f>BG89-BG310-BG395-BG569-BG637</f>
        <v>0.74031382164066883</v>
      </c>
      <c r="BH672" s="541">
        <f>BH89-BH310-BH395-BH569-BH637</f>
        <v>0.70066629807797653</v>
      </c>
      <c r="BI672" s="541"/>
      <c r="BJ672" s="2128">
        <f>BJ89-BJ310-BJ395-BJ569-BJ637</f>
        <v>14.39999999999975</v>
      </c>
      <c r="BK672" s="541"/>
      <c r="BL672" s="541"/>
      <c r="BM672" s="541"/>
      <c r="BN672" s="541"/>
      <c r="BO672" s="1938"/>
      <c r="BP672" s="541"/>
      <c r="BQ672" s="541"/>
      <c r="BR672" s="541"/>
      <c r="BS672" s="541"/>
      <c r="BT672" s="541"/>
      <c r="BU672" s="541"/>
    </row>
    <row r="673" spans="1:74" s="534" customFormat="1" ht="15.75" hidden="1" customHeight="1" thickBot="1">
      <c r="B673" s="535"/>
      <c r="S673" s="1932"/>
      <c r="W673" s="1932"/>
      <c r="AM673" s="1932"/>
      <c r="BA673" s="72"/>
      <c r="BC673" s="2189"/>
      <c r="BD673" s="72"/>
      <c r="BJ673" s="2122"/>
      <c r="BO673" s="1932"/>
    </row>
    <row r="674" spans="1:74" s="534" customFormat="1" ht="15.75" hidden="1" customHeight="1" thickBot="1">
      <c r="B674" s="535"/>
      <c r="S674" s="1932"/>
      <c r="W674" s="1932"/>
      <c r="AM674" s="1932"/>
      <c r="BA674" s="72"/>
      <c r="BC674" s="2189"/>
      <c r="BD674" s="72"/>
      <c r="BJ674" s="2122"/>
      <c r="BO674" s="1932"/>
    </row>
    <row r="675" spans="1:74" s="534" customFormat="1" ht="15.75" hidden="1" customHeight="1" thickBot="1">
      <c r="B675" s="535" t="s">
        <v>114</v>
      </c>
      <c r="C675" s="543">
        <f t="shared" ref="C675:V675" si="4767">C115-C314-C399-C573-C641</f>
        <v>-4.4000000000000234</v>
      </c>
      <c r="D675" s="543">
        <f t="shared" si="4767"/>
        <v>-4.599999999999941</v>
      </c>
      <c r="E675" s="543">
        <f t="shared" si="4767"/>
        <v>-6.1000000000000831</v>
      </c>
      <c r="F675" s="543">
        <f t="shared" si="4767"/>
        <v>-0.20000000000015916</v>
      </c>
      <c r="G675" s="543">
        <f t="shared" si="4767"/>
        <v>-5.4030406772910542</v>
      </c>
      <c r="H675" s="543">
        <f t="shared" si="4767"/>
        <v>-3.9741879993995788</v>
      </c>
      <c r="I675" s="543">
        <f t="shared" si="4767"/>
        <v>26.046999999999848</v>
      </c>
      <c r="J675" s="543">
        <f t="shared" si="4767"/>
        <v>-10.474280242205538</v>
      </c>
      <c r="K675" s="543">
        <f t="shared" si="4767"/>
        <v>-11.64274037204809</v>
      </c>
      <c r="L675" s="543">
        <f t="shared" si="4767"/>
        <v>-49.77243986474685</v>
      </c>
      <c r="M675" s="543">
        <f t="shared" si="4767"/>
        <v>-43.185904888019458</v>
      </c>
      <c r="N675" s="543">
        <f t="shared" si="4767"/>
        <v>-42.434466984980645</v>
      </c>
      <c r="O675" s="543">
        <f t="shared" si="4767"/>
        <v>-22.057754624946185</v>
      </c>
      <c r="P675" s="543">
        <f t="shared" si="4767"/>
        <v>-29.277779835456002</v>
      </c>
      <c r="Q675" s="543">
        <f t="shared" si="4767"/>
        <v>-32.191009595114501</v>
      </c>
      <c r="R675" s="543">
        <f t="shared" si="4767"/>
        <v>-50.392124433051748</v>
      </c>
      <c r="S675" s="1940">
        <f t="shared" si="4767"/>
        <v>-46.022000000000048</v>
      </c>
      <c r="T675" s="543">
        <f t="shared" si="4767"/>
        <v>-96.946000000000552</v>
      </c>
      <c r="U675" s="543">
        <f t="shared" si="4767"/>
        <v>-74.900000000000418</v>
      </c>
      <c r="V675" s="543">
        <f t="shared" si="4767"/>
        <v>2747.7000000000007</v>
      </c>
      <c r="W675" s="1940"/>
      <c r="X675" s="543"/>
      <c r="Y675" s="543"/>
      <c r="Z675" s="543"/>
      <c r="AA675" s="543"/>
      <c r="AB675" s="543"/>
      <c r="AC675" s="543"/>
      <c r="AD675" s="543"/>
      <c r="AE675" s="543"/>
      <c r="AF675" s="543"/>
      <c r="AG675" s="543"/>
      <c r="AH675" s="543"/>
      <c r="AI675" s="543"/>
      <c r="AJ675" s="543"/>
      <c r="AK675" s="543"/>
      <c r="AL675" s="543"/>
      <c r="AM675" s="1940"/>
      <c r="AN675" s="543"/>
      <c r="AO675" s="543"/>
      <c r="AP675" s="543"/>
      <c r="AQ675" s="543"/>
      <c r="AR675" s="543"/>
      <c r="AS675" s="543"/>
      <c r="AT675" s="543"/>
      <c r="AU675" s="543"/>
      <c r="AV675" s="543"/>
      <c r="AW675" s="543"/>
      <c r="AX675" s="543"/>
      <c r="AY675" s="543"/>
      <c r="AZ675" s="543"/>
      <c r="BA675" s="72"/>
      <c r="BB675" s="543"/>
      <c r="BC675" s="2189"/>
      <c r="BD675" s="72"/>
      <c r="BE675" s="543">
        <f>BE115-BE314-BE399-BE573-BE641</f>
        <v>-15.300000000000551</v>
      </c>
      <c r="BF675" s="543">
        <f>BF115-BF314-BF399-BF573-BF641</f>
        <v>6.1954910811035688</v>
      </c>
      <c r="BG675" s="543">
        <f>BG115-BG314-BG399-BG573-BG641</f>
        <v>-147.03555210979522</v>
      </c>
      <c r="BH675" s="543">
        <f>BH115-BH314-BH399-BH573-BH641</f>
        <v>-133.91866848856844</v>
      </c>
      <c r="BI675" s="543"/>
      <c r="BJ675" s="2130">
        <f>BJ115-BJ314-BJ399-BJ573-BJ641</f>
        <v>2529.8319999999999</v>
      </c>
      <c r="BK675" s="543"/>
      <c r="BL675" s="543"/>
      <c r="BM675" s="543"/>
      <c r="BN675" s="543"/>
      <c r="BO675" s="1940"/>
      <c r="BP675" s="543"/>
      <c r="BQ675" s="543"/>
      <c r="BR675" s="543"/>
      <c r="BS675" s="543"/>
      <c r="BT675" s="543"/>
      <c r="BU675" s="543"/>
    </row>
    <row r="676" spans="1:74" s="534" customFormat="1" ht="15.75" hidden="1" customHeight="1" thickBot="1">
      <c r="C676" s="543">
        <f t="shared" ref="C676:S676" si="4768">+C663+C665</f>
        <v>-4.4000000000000909</v>
      </c>
      <c r="D676" s="543">
        <f t="shared" si="4768"/>
        <v>-4.5999999999999694</v>
      </c>
      <c r="E676" s="543">
        <f t="shared" si="4768"/>
        <v>-6.0999999999999659</v>
      </c>
      <c r="F676" s="543">
        <f t="shared" si="4768"/>
        <v>-0.19999999999998597</v>
      </c>
      <c r="G676" s="543">
        <f t="shared" si="4768"/>
        <v>-5.4030406772910551</v>
      </c>
      <c r="H676" s="543">
        <f t="shared" si="4768"/>
        <v>-3.9741879993996614</v>
      </c>
      <c r="I676" s="543">
        <f t="shared" si="4768"/>
        <v>26.046999999999827</v>
      </c>
      <c r="J676" s="543">
        <f t="shared" si="4768"/>
        <v>-10.474280242205381</v>
      </c>
      <c r="K676" s="543">
        <f t="shared" si="4768"/>
        <v>-11.642740372048056</v>
      </c>
      <c r="L676" s="543">
        <f t="shared" si="4768"/>
        <v>-49.7724398647469</v>
      </c>
      <c r="M676" s="543">
        <f t="shared" si="4768"/>
        <v>-43.185904888019685</v>
      </c>
      <c r="N676" s="543">
        <f t="shared" si="4768"/>
        <v>-42.434466984980503</v>
      </c>
      <c r="O676" s="543">
        <f t="shared" si="4768"/>
        <v>-22.057754624946252</v>
      </c>
      <c r="P676" s="543">
        <f t="shared" si="4768"/>
        <v>-29.277779835455902</v>
      </c>
      <c r="Q676" s="543">
        <f t="shared" si="4768"/>
        <v>-32.191009595114743</v>
      </c>
      <c r="R676" s="543">
        <f t="shared" si="4768"/>
        <v>-50.392124433051272</v>
      </c>
      <c r="S676" s="1940">
        <f t="shared" si="4768"/>
        <v>-46.022000000000112</v>
      </c>
      <c r="T676" s="543">
        <f>+T663+T665</f>
        <v>-96.946000000000197</v>
      </c>
      <c r="U676" s="543">
        <f>+U663+U665</f>
        <v>-74.900000000000219</v>
      </c>
      <c r="V676" s="543">
        <f>+V663+V665</f>
        <v>2747.6999999999994</v>
      </c>
      <c r="W676" s="1940"/>
      <c r="X676" s="543"/>
      <c r="Y676" s="543"/>
      <c r="Z676" s="543"/>
      <c r="AA676" s="543"/>
      <c r="AB676" s="543"/>
      <c r="AC676" s="543"/>
      <c r="AD676" s="543"/>
      <c r="AE676" s="543"/>
      <c r="AF676" s="543"/>
      <c r="AG676" s="543"/>
      <c r="AH676" s="543"/>
      <c r="AI676" s="543"/>
      <c r="AJ676" s="543"/>
      <c r="AK676" s="543"/>
      <c r="AL676" s="543"/>
      <c r="AM676" s="1940"/>
      <c r="AN676" s="543"/>
      <c r="AO676" s="543"/>
      <c r="AP676" s="543"/>
      <c r="AQ676" s="543"/>
      <c r="AR676" s="543"/>
      <c r="AS676" s="543"/>
      <c r="AT676" s="543"/>
      <c r="AU676" s="543"/>
      <c r="AV676" s="543"/>
      <c r="AW676" s="543"/>
      <c r="AX676" s="543"/>
      <c r="AY676" s="543"/>
      <c r="AZ676" s="543"/>
      <c r="BA676" s="72"/>
      <c r="BB676" s="543"/>
      <c r="BC676" s="2189"/>
      <c r="BD676" s="72"/>
      <c r="BE676" s="543">
        <f>+BE663+BE665</f>
        <v>-15.299999999999795</v>
      </c>
      <c r="BF676" s="543">
        <f>+BF663+BF665</f>
        <v>6.1954910811039881</v>
      </c>
      <c r="BG676" s="543">
        <f>+BG663+BG665</f>
        <v>-147.03555210979528</v>
      </c>
      <c r="BH676" s="543">
        <f>+BH663+BH665</f>
        <v>-133.91866848856779</v>
      </c>
      <c r="BI676" s="543"/>
      <c r="BJ676" s="2130">
        <f>+BJ663+BJ665</f>
        <v>2529.8320000000003</v>
      </c>
      <c r="BK676" s="543"/>
      <c r="BL676" s="543"/>
      <c r="BM676" s="543"/>
      <c r="BN676" s="543"/>
      <c r="BO676" s="1940"/>
      <c r="BP676" s="543"/>
      <c r="BQ676" s="543"/>
      <c r="BR676" s="543"/>
      <c r="BS676" s="543"/>
      <c r="BT676" s="543"/>
      <c r="BU676" s="543"/>
    </row>
    <row r="677" spans="1:74" s="534" customFormat="1" ht="15.75" hidden="1" customHeight="1" thickBot="1">
      <c r="B677" s="535" t="s">
        <v>316</v>
      </c>
      <c r="G677" s="544">
        <f>+G676/C676-1</f>
        <v>0.2279637902933962</v>
      </c>
      <c r="H677" s="544">
        <f t="shared" ref="H677:S677" si="4769">+H676/D676-1</f>
        <v>-0.13604608708702437</v>
      </c>
      <c r="I677" s="544">
        <f t="shared" si="4769"/>
        <v>-5.2699999999999951</v>
      </c>
      <c r="J677" s="544">
        <f t="shared" si="4769"/>
        <v>51.37140121103058</v>
      </c>
      <c r="K677" s="544">
        <f t="shared" si="4769"/>
        <v>1.1548496610403878</v>
      </c>
      <c r="L677" s="544">
        <f t="shared" si="4769"/>
        <v>11.523926868146523</v>
      </c>
      <c r="M677" s="544">
        <f t="shared" si="4769"/>
        <v>-2.657999189465964</v>
      </c>
      <c r="N677" s="544">
        <f t="shared" si="4769"/>
        <v>3.0513014740615567</v>
      </c>
      <c r="O677" s="544">
        <f t="shared" si="4769"/>
        <v>0.89455007327163361</v>
      </c>
      <c r="P677" s="544">
        <f t="shared" si="4769"/>
        <v>-0.41176723674756133</v>
      </c>
      <c r="Q677" s="544">
        <f t="shared" si="4769"/>
        <v>-0.25459453313331093</v>
      </c>
      <c r="R677" s="544">
        <f t="shared" si="4769"/>
        <v>0.18752815843986803</v>
      </c>
      <c r="S677" s="1934">
        <f t="shared" si="4769"/>
        <v>1.0864317688959808</v>
      </c>
      <c r="T677" s="544">
        <f>+T676/P676-1</f>
        <v>2.3112483441315077</v>
      </c>
      <c r="U677" s="544">
        <f>+U676/Q676-1</f>
        <v>1.3267365932930208</v>
      </c>
      <c r="V677" s="544">
        <f>+V676/R676-1</f>
        <v>-55.526377502708208</v>
      </c>
      <c r="W677" s="1934"/>
      <c r="X677" s="544"/>
      <c r="Y677" s="544"/>
      <c r="Z677" s="544"/>
      <c r="AA677" s="544"/>
      <c r="AB677" s="544"/>
      <c r="AC677" s="544"/>
      <c r="AD677" s="544"/>
      <c r="AE677" s="544"/>
      <c r="AF677" s="544"/>
      <c r="AG677" s="544"/>
      <c r="AH677" s="544"/>
      <c r="AI677" s="544"/>
      <c r="AJ677" s="544"/>
      <c r="AK677" s="544"/>
      <c r="AL677" s="544"/>
      <c r="AM677" s="1934"/>
      <c r="AN677" s="544"/>
      <c r="AO677" s="544"/>
      <c r="AP677" s="544"/>
      <c r="AQ677" s="544"/>
      <c r="AR677" s="544"/>
      <c r="AS677" s="544"/>
      <c r="AT677" s="544"/>
      <c r="AU677" s="544"/>
      <c r="AV677" s="544"/>
      <c r="AW677" s="544"/>
      <c r="AX677" s="544"/>
      <c r="AY677" s="544"/>
      <c r="AZ677" s="544"/>
      <c r="BA677" s="72"/>
      <c r="BB677" s="544"/>
      <c r="BC677" s="2189"/>
      <c r="BD677" s="72"/>
      <c r="BE677" s="544"/>
      <c r="BF677" s="544"/>
      <c r="BG677" s="544"/>
      <c r="BH677" s="544"/>
      <c r="BI677" s="544"/>
      <c r="BJ677" s="2124"/>
      <c r="BK677" s="544"/>
      <c r="BL677" s="544"/>
      <c r="BM677" s="544"/>
      <c r="BN677" s="544"/>
      <c r="BO677" s="1934"/>
      <c r="BP677" s="544"/>
      <c r="BQ677" s="544"/>
      <c r="BR677" s="544"/>
      <c r="BS677" s="544"/>
      <c r="BT677" s="544"/>
      <c r="BU677" s="544"/>
    </row>
    <row r="678" spans="1:74" s="534" customFormat="1" ht="15.75" hidden="1" customHeight="1" thickBot="1">
      <c r="B678" s="535" t="s">
        <v>30</v>
      </c>
      <c r="G678" s="544"/>
      <c r="H678" s="544"/>
      <c r="I678" s="544"/>
      <c r="J678" s="544"/>
      <c r="K678" s="544"/>
      <c r="L678" s="544"/>
      <c r="M678" s="544"/>
      <c r="N678" s="544"/>
      <c r="O678" s="544"/>
      <c r="P678" s="544"/>
      <c r="Q678" s="544"/>
      <c r="R678" s="544"/>
      <c r="S678" s="1934"/>
      <c r="T678" s="544"/>
      <c r="W678" s="1932"/>
      <c r="AM678" s="1932"/>
      <c r="BA678" s="72"/>
      <c r="BC678" s="2189"/>
      <c r="BD678" s="72"/>
      <c r="BJ678" s="2122"/>
      <c r="BO678" s="1932"/>
    </row>
    <row r="679" spans="1:74" s="534" customFormat="1" ht="15.75" hidden="1" customHeight="1" thickBot="1">
      <c r="B679" s="535" t="s">
        <v>331</v>
      </c>
      <c r="S679" s="1932"/>
      <c r="W679" s="1932"/>
      <c r="AM679" s="1932"/>
      <c r="BA679" s="72"/>
      <c r="BC679" s="2189"/>
      <c r="BD679" s="72"/>
      <c r="BJ679" s="2122"/>
      <c r="BO679" s="1932"/>
    </row>
    <row r="680" spans="1:74" s="787" customFormat="1" hidden="1">
      <c r="A680" s="785"/>
      <c r="B680" s="786"/>
      <c r="G680" s="788"/>
      <c r="H680" s="788"/>
      <c r="I680" s="788"/>
      <c r="J680" s="788"/>
      <c r="K680" s="788"/>
      <c r="L680" s="788"/>
      <c r="M680" s="788"/>
      <c r="N680" s="788"/>
      <c r="O680" s="788"/>
      <c r="P680" s="788"/>
      <c r="Q680" s="788"/>
      <c r="R680" s="788"/>
      <c r="S680" s="1990"/>
      <c r="T680" s="788"/>
      <c r="U680" s="789"/>
      <c r="V680" s="790"/>
      <c r="W680" s="1941"/>
      <c r="X680" s="790"/>
      <c r="Y680" s="790"/>
      <c r="Z680" s="790"/>
      <c r="AA680" s="790"/>
      <c r="AB680" s="790"/>
      <c r="AC680" s="790"/>
      <c r="AD680" s="790"/>
      <c r="AE680" s="790"/>
      <c r="AF680" s="790"/>
      <c r="AG680" s="790"/>
      <c r="AH680" s="790"/>
      <c r="AI680" s="790"/>
      <c r="AJ680" s="790"/>
      <c r="AK680" s="790"/>
      <c r="AM680" s="2441"/>
      <c r="AY680" s="72"/>
      <c r="AZ680" s="72"/>
      <c r="BA680" s="990"/>
      <c r="BC680" s="2216"/>
      <c r="BD680" s="72"/>
      <c r="BH680" s="72"/>
      <c r="BI680" s="72"/>
      <c r="BJ680" s="2018"/>
      <c r="BK680" s="791">
        <f t="shared" ref="BK680:BR680" si="4770">+BK692+BK694+BK690+BK696</f>
        <v>165.51204000000007</v>
      </c>
      <c r="BL680" s="791">
        <f t="shared" si="4770"/>
        <v>607.39031250000028</v>
      </c>
      <c r="BM680" s="791">
        <f t="shared" ref="BM680:BN680" si="4771">+BM692+BM694+BM690+BM696</f>
        <v>999.69840000000022</v>
      </c>
      <c r="BN680" s="791">
        <f t="shared" si="4771"/>
        <v>966.20838750000019</v>
      </c>
      <c r="BO680" s="2498">
        <f t="shared" ref="BO680:BP680" si="4772">+BO692+BO694+BO690+BO696</f>
        <v>1039.4191125000002</v>
      </c>
      <c r="BP680" s="791">
        <f t="shared" si="4772"/>
        <v>1081.0119375000004</v>
      </c>
      <c r="BQ680" s="791">
        <f t="shared" ref="BQ680" si="4773">+BQ692+BQ694+BQ690+BQ696</f>
        <v>1028.4170392147114</v>
      </c>
      <c r="BR680" s="791">
        <f t="shared" si="4770"/>
        <v>1782.1888816806238</v>
      </c>
      <c r="BS680" s="791">
        <f t="shared" ref="BS680:BU680" si="4774">+BS692+BS694+BS690+BS696</f>
        <v>1811.1301273986223</v>
      </c>
      <c r="BT680" s="791">
        <f t="shared" si="4774"/>
        <v>1838.2970793096019</v>
      </c>
      <c r="BU680" s="791">
        <f t="shared" si="4774"/>
        <v>1865.8715354992462</v>
      </c>
    </row>
    <row r="681" spans="1:74" ht="15.75" hidden="1" customHeight="1" thickBot="1">
      <c r="A681" s="792"/>
      <c r="B681" s="602"/>
      <c r="G681" s="793"/>
      <c r="H681" s="793"/>
      <c r="I681" s="793"/>
      <c r="J681" s="793"/>
      <c r="K681" s="793"/>
      <c r="L681" s="793"/>
      <c r="M681" s="793"/>
      <c r="N681" s="793"/>
      <c r="O681" s="793"/>
      <c r="P681" s="793"/>
      <c r="Q681" s="793"/>
      <c r="R681" s="793"/>
      <c r="S681" s="1991"/>
      <c r="T681" s="793"/>
      <c r="U681" s="794"/>
      <c r="V681" s="752"/>
      <c r="W681" s="1942"/>
      <c r="X681" s="752"/>
      <c r="Y681" s="752"/>
      <c r="Z681" s="752"/>
      <c r="AA681" s="752"/>
      <c r="AB681" s="752"/>
      <c r="AC681" s="752"/>
      <c r="AD681" s="752"/>
      <c r="AE681" s="752"/>
      <c r="AF681" s="752"/>
      <c r="AG681" s="752"/>
      <c r="AH681" s="752"/>
      <c r="AI681" s="752"/>
      <c r="AJ681" s="752"/>
      <c r="AK681" s="752"/>
      <c r="BA681" s="990"/>
      <c r="BC681" s="2217"/>
      <c r="BK681" s="939"/>
      <c r="BL681" s="939"/>
      <c r="BM681" s="939"/>
      <c r="BN681" s="939"/>
      <c r="BO681" s="2499"/>
      <c r="BP681" s="939"/>
      <c r="BQ681" s="939"/>
      <c r="BR681" s="939"/>
      <c r="BS681" s="939"/>
      <c r="BT681" s="939"/>
      <c r="BU681" s="939"/>
    </row>
    <row r="682" spans="1:74" s="354" customFormat="1" ht="15.75" hidden="1" customHeight="1" thickBot="1">
      <c r="A682" s="349"/>
      <c r="B682" s="967" t="s">
        <v>396</v>
      </c>
      <c r="G682" s="968"/>
      <c r="H682" s="968"/>
      <c r="I682" s="968"/>
      <c r="J682" s="968"/>
      <c r="K682" s="968"/>
      <c r="L682" s="968"/>
      <c r="M682" s="968"/>
      <c r="N682" s="968"/>
      <c r="O682" s="968"/>
      <c r="P682" s="968"/>
      <c r="Q682" s="968"/>
      <c r="R682" s="968"/>
      <c r="S682" s="1992"/>
      <c r="T682" s="968"/>
      <c r="U682" s="969"/>
      <c r="V682" s="970"/>
      <c r="W682" s="1943"/>
      <c r="X682" s="970"/>
      <c r="Y682" s="970"/>
      <c r="Z682" s="970"/>
      <c r="AA682" s="970"/>
      <c r="AB682" s="970"/>
      <c r="AC682" s="970"/>
      <c r="AD682" s="970"/>
      <c r="AE682" s="970"/>
      <c r="AF682" s="970"/>
      <c r="AG682" s="970"/>
      <c r="AH682" s="970"/>
      <c r="AI682" s="970"/>
      <c r="AJ682" s="970"/>
      <c r="AK682" s="970"/>
      <c r="AM682" s="2442"/>
      <c r="AY682" s="72"/>
      <c r="AZ682" s="72"/>
      <c r="BA682" s="990"/>
      <c r="BC682" s="2218"/>
      <c r="BD682" s="72"/>
      <c r="BH682" s="72"/>
      <c r="BI682" s="72"/>
      <c r="BJ682" s="2018"/>
      <c r="BK682" s="971"/>
      <c r="BL682" s="971"/>
      <c r="BM682" s="971"/>
      <c r="BN682" s="971"/>
      <c r="BO682" s="2500"/>
      <c r="BP682" s="971"/>
      <c r="BQ682" s="971"/>
      <c r="BR682" s="971"/>
      <c r="BS682" s="971"/>
      <c r="BT682" s="971"/>
      <c r="BU682" s="971"/>
    </row>
    <row r="683" spans="1:74" ht="15" hidden="1" customHeight="1">
      <c r="A683" s="792"/>
      <c r="B683" s="602"/>
      <c r="G683" s="793"/>
      <c r="H683" s="793"/>
      <c r="I683" s="793"/>
      <c r="J683" s="793"/>
      <c r="K683" s="793"/>
      <c r="L683" s="793"/>
      <c r="M683" s="793"/>
      <c r="N683" s="793"/>
      <c r="O683" s="793"/>
      <c r="P683" s="793"/>
      <c r="Q683" s="793"/>
      <c r="R683" s="793"/>
      <c r="S683" s="1991"/>
      <c r="T683" s="793"/>
      <c r="U683" s="794"/>
      <c r="V683" s="752"/>
      <c r="W683" s="1942"/>
      <c r="X683" s="752"/>
      <c r="Y683" s="752"/>
      <c r="Z683" s="752"/>
      <c r="AA683" s="752"/>
      <c r="AB683" s="752"/>
      <c r="AC683" s="752"/>
      <c r="AD683" s="752"/>
      <c r="AE683" s="752"/>
      <c r="AF683" s="752"/>
      <c r="AG683" s="752"/>
      <c r="AH683" s="752"/>
      <c r="AI683" s="752"/>
      <c r="AJ683" s="752"/>
      <c r="AK683" s="752"/>
      <c r="BA683" s="990"/>
      <c r="BC683" s="2217"/>
      <c r="BK683" s="939"/>
      <c r="BL683" s="939"/>
      <c r="BM683" s="939"/>
      <c r="BN683" s="939"/>
      <c r="BO683" s="2499"/>
      <c r="BP683" s="939"/>
      <c r="BQ683" s="939"/>
      <c r="BR683" s="939"/>
      <c r="BS683" s="939"/>
      <c r="BT683" s="939"/>
      <c r="BU683" s="939"/>
    </row>
    <row r="684" spans="1:74" ht="15" hidden="1" customHeight="1">
      <c r="A684" s="792"/>
      <c r="B684" s="603" t="s">
        <v>397</v>
      </c>
      <c r="G684" s="793"/>
      <c r="H684" s="793"/>
      <c r="I684" s="793"/>
      <c r="J684" s="793"/>
      <c r="K684" s="793"/>
      <c r="L684" s="793"/>
      <c r="M684" s="793"/>
      <c r="N684" s="793"/>
      <c r="O684" s="793"/>
      <c r="P684" s="793"/>
      <c r="Q684" s="793"/>
      <c r="R684" s="793"/>
      <c r="S684" s="1991"/>
      <c r="T684" s="793"/>
      <c r="U684" s="794"/>
      <c r="V684" s="752"/>
      <c r="W684" s="1944">
        <f>+$BK684/4</f>
        <v>1.8570600000000002</v>
      </c>
      <c r="X684" s="894">
        <f>+$BK684/4</f>
        <v>1.8570600000000002</v>
      </c>
      <c r="Y684" s="894">
        <f>+$BK684/4</f>
        <v>1.8570600000000002</v>
      </c>
      <c r="Z684" s="894">
        <f>+$BK684/4</f>
        <v>1.8570600000000002</v>
      </c>
      <c r="AA684" s="894">
        <f>+$BL684/4</f>
        <v>30.369515625000005</v>
      </c>
      <c r="AB684" s="894">
        <f>+$BL684/4</f>
        <v>30.369515625000005</v>
      </c>
      <c r="AC684" s="894">
        <f>+$BL684/4</f>
        <v>30.369515625000005</v>
      </c>
      <c r="AD684" s="894">
        <f>+$BL684/4</f>
        <v>30.369515625000005</v>
      </c>
      <c r="AE684" s="894">
        <f t="shared" ref="AE684:AG684" si="4775">+$BM684/4</f>
        <v>40.685400000000008</v>
      </c>
      <c r="AF684" s="894">
        <f t="shared" si="4775"/>
        <v>40.685400000000008</v>
      </c>
      <c r="AG684" s="894">
        <f t="shared" si="4775"/>
        <v>40.685400000000008</v>
      </c>
      <c r="AH684" s="894">
        <f>+$BM684/4</f>
        <v>40.685400000000008</v>
      </c>
      <c r="AI684" s="894">
        <f>+$BM684/4</f>
        <v>40.685400000000008</v>
      </c>
      <c r="AJ684" s="894">
        <f t="shared" ref="AJ684:AX684" si="4776">+$BM684/4</f>
        <v>40.685400000000008</v>
      </c>
      <c r="AK684" s="894">
        <f t="shared" si="4776"/>
        <v>40.685400000000008</v>
      </c>
      <c r="AL684" s="894">
        <f t="shared" si="4776"/>
        <v>40.685400000000008</v>
      </c>
      <c r="AM684" s="1944">
        <f t="shared" si="4776"/>
        <v>40.685400000000008</v>
      </c>
      <c r="AN684" s="894">
        <f t="shared" si="4776"/>
        <v>40.685400000000008</v>
      </c>
      <c r="AO684" s="894">
        <f t="shared" si="4776"/>
        <v>40.685400000000008</v>
      </c>
      <c r="AP684" s="894">
        <f t="shared" si="4776"/>
        <v>40.685400000000008</v>
      </c>
      <c r="AQ684" s="894">
        <f t="shared" si="4776"/>
        <v>40.685400000000008</v>
      </c>
      <c r="AR684" s="894">
        <f t="shared" si="4776"/>
        <v>40.685400000000008</v>
      </c>
      <c r="AS684" s="894">
        <f t="shared" si="4776"/>
        <v>40.685400000000008</v>
      </c>
      <c r="AT684" s="894">
        <f t="shared" si="4776"/>
        <v>40.685400000000008</v>
      </c>
      <c r="AU684" s="894">
        <f t="shared" si="4776"/>
        <v>40.685400000000008</v>
      </c>
      <c r="AV684" s="894">
        <f t="shared" si="4776"/>
        <v>40.685400000000008</v>
      </c>
      <c r="AW684" s="894">
        <f t="shared" si="4776"/>
        <v>40.685400000000008</v>
      </c>
      <c r="AX684" s="894">
        <f t="shared" si="4776"/>
        <v>40.685400000000008</v>
      </c>
      <c r="AY684" s="894"/>
      <c r="AZ684" s="894"/>
      <c r="BA684" s="990"/>
      <c r="BB684" s="894">
        <v>40.685400000000008</v>
      </c>
      <c r="BC684" s="2217"/>
      <c r="BK684" s="795">
        <f t="shared" ref="BK684:BU684" si="4777">+BK685*BK$701</f>
        <v>7.4282400000000006</v>
      </c>
      <c r="BL684" s="795">
        <f t="shared" si="4777"/>
        <v>121.47806250000002</v>
      </c>
      <c r="BM684" s="795">
        <f t="shared" si="4777"/>
        <v>162.74160000000003</v>
      </c>
      <c r="BN684" s="795">
        <f t="shared" si="4777"/>
        <v>157.28973750000003</v>
      </c>
      <c r="BO684" s="1945">
        <f t="shared" si="4777"/>
        <v>169.2077625</v>
      </c>
      <c r="BP684" s="795">
        <f t="shared" si="4777"/>
        <v>175.97868750000001</v>
      </c>
      <c r="BQ684" s="795">
        <f t="shared" si="4777"/>
        <v>167.41672731402275</v>
      </c>
      <c r="BR684" s="795">
        <f t="shared" si="4777"/>
        <v>648.0686842474995</v>
      </c>
      <c r="BS684" s="795">
        <f t="shared" si="4777"/>
        <v>658.59277359949908</v>
      </c>
      <c r="BT684" s="795">
        <f t="shared" si="4777"/>
        <v>668.47166520349163</v>
      </c>
      <c r="BU684" s="795">
        <f t="shared" si="4777"/>
        <v>678.49874018154401</v>
      </c>
      <c r="BV684" s="1194">
        <v>120</v>
      </c>
    </row>
    <row r="685" spans="1:74" ht="15" hidden="1" customHeight="1">
      <c r="A685" s="792"/>
      <c r="B685" s="717" t="s">
        <v>274</v>
      </c>
      <c r="G685" s="793"/>
      <c r="H685" s="793"/>
      <c r="I685" s="793"/>
      <c r="J685" s="793"/>
      <c r="K685" s="793"/>
      <c r="L685" s="793"/>
      <c r="M685" s="793"/>
      <c r="N685" s="793"/>
      <c r="O685" s="793"/>
      <c r="P685" s="793"/>
      <c r="Q685" s="793"/>
      <c r="R685" s="793"/>
      <c r="S685" s="1991"/>
      <c r="T685" s="793"/>
      <c r="U685" s="794"/>
      <c r="V685" s="752"/>
      <c r="W685" s="1942">
        <f t="shared" ref="W685:AT685" si="4778">+W684/W$8</f>
        <v>1.9107324752291879E-4</v>
      </c>
      <c r="X685" s="752">
        <f t="shared" si="4778"/>
        <v>2.0371881787665375E-4</v>
      </c>
      <c r="Y685" s="752">
        <f t="shared" si="4778"/>
        <v>1.3653547822634602E-4</v>
      </c>
      <c r="Z685" s="752">
        <f t="shared" si="4778"/>
        <v>1.2168824701195218E-4</v>
      </c>
      <c r="AA685" s="752">
        <f t="shared" si="4778"/>
        <v>2.5183898984998884E-3</v>
      </c>
      <c r="AB685" s="752">
        <f t="shared" si="4778"/>
        <v>2.4825893587018728E-3</v>
      </c>
      <c r="AC685" s="752">
        <f t="shared" si="4778"/>
        <v>2.4632386488064825E-3</v>
      </c>
      <c r="AD685" s="752">
        <f t="shared" si="4778"/>
        <v>2.0215346884776678E-3</v>
      </c>
      <c r="AE685" s="752">
        <f t="shared" si="4778"/>
        <v>3.8230971621875591E-3</v>
      </c>
      <c r="AF685" s="752">
        <f t="shared" si="4778"/>
        <v>3.6095176415270112E-3</v>
      </c>
      <c r="AG685" s="752">
        <f t="shared" si="4778"/>
        <v>3.4793770791820967E-3</v>
      </c>
      <c r="AH685" s="752">
        <f t="shared" si="4778"/>
        <v>3.0133761924512658E-3</v>
      </c>
      <c r="AI685" s="752">
        <f t="shared" si="4778"/>
        <v>4.2569527277293E-3</v>
      </c>
      <c r="AJ685" s="752">
        <f t="shared" si="4778"/>
        <v>3.9943528521493204E-3</v>
      </c>
      <c r="AK685" s="752">
        <f t="shared" si="4778"/>
        <v>4.1420885816919554E-3</v>
      </c>
      <c r="AL685" s="752">
        <f t="shared" si="4778"/>
        <v>4.7254207365939223E-3</v>
      </c>
      <c r="AM685" s="1942">
        <f t="shared" si="4778"/>
        <v>6.385128454621072E-3</v>
      </c>
      <c r="AN685" s="752">
        <f t="shared" si="4778"/>
        <v>5.1211114102682961E-3</v>
      </c>
      <c r="AO685" s="752">
        <f t="shared" si="4778"/>
        <v>5.1496072006490777E-3</v>
      </c>
      <c r="AP685" s="752">
        <f t="shared" si="4778"/>
        <v>4.3422771516393446E-3</v>
      </c>
      <c r="AQ685" s="752">
        <f t="shared" si="4778"/>
        <v>5.9656886464610932E-3</v>
      </c>
      <c r="AR685" s="752">
        <f t="shared" si="4778"/>
        <v>5.3917226573370986E-3</v>
      </c>
      <c r="AS685" s="752">
        <f t="shared" si="4778"/>
        <v>5.9247706422018362E-3</v>
      </c>
      <c r="AT685" s="752">
        <f t="shared" si="4778"/>
        <v>4.9244008714596959E-3</v>
      </c>
      <c r="AU685" s="752">
        <f t="shared" ref="AU685:AX685" si="4779">+AU684/AU$8</f>
        <v>6.757488642238128E-3</v>
      </c>
      <c r="AV685" s="752">
        <f t="shared" si="4779"/>
        <v>5.3367821027115302E-3</v>
      </c>
      <c r="AW685" s="752">
        <f t="shared" si="4779"/>
        <v>5.5147032965718141E-3</v>
      </c>
      <c r="AX685" s="752">
        <f t="shared" si="4779"/>
        <v>4.365409546951823E-3</v>
      </c>
      <c r="AY685" s="752"/>
      <c r="AZ685" s="752"/>
      <c r="BA685" s="990"/>
      <c r="BB685" s="752">
        <v>4.8420443678051407E-3</v>
      </c>
      <c r="BC685" s="2217"/>
      <c r="BK685" s="796">
        <v>0.02</v>
      </c>
      <c r="BL685" s="796">
        <v>0.1</v>
      </c>
      <c r="BM685" s="796">
        <v>0.1</v>
      </c>
      <c r="BN685" s="796">
        <v>0.1</v>
      </c>
      <c r="BO685" s="2501">
        <v>0.1</v>
      </c>
      <c r="BP685" s="796">
        <v>0.1</v>
      </c>
      <c r="BQ685" s="796">
        <v>0.1</v>
      </c>
      <c r="BR685" s="796">
        <f t="shared" ref="BR685:BU685" si="4780">+$BV685</f>
        <v>0.26666666666666666</v>
      </c>
      <c r="BS685" s="796">
        <f t="shared" si="4780"/>
        <v>0.26666666666666666</v>
      </c>
      <c r="BT685" s="796">
        <f t="shared" si="4780"/>
        <v>0.26666666666666666</v>
      </c>
      <c r="BU685" s="796">
        <f t="shared" si="4780"/>
        <v>0.26666666666666666</v>
      </c>
      <c r="BV685" s="752">
        <v>0.26666666666666666</v>
      </c>
    </row>
    <row r="686" spans="1:74" ht="15" hidden="1" customHeight="1">
      <c r="A686" s="792"/>
      <c r="B686" s="717" t="s">
        <v>398</v>
      </c>
      <c r="G686" s="793"/>
      <c r="H686" s="793"/>
      <c r="I686" s="793"/>
      <c r="J686" s="793"/>
      <c r="K686" s="793"/>
      <c r="L686" s="793"/>
      <c r="M686" s="793"/>
      <c r="N686" s="793"/>
      <c r="O686" s="793"/>
      <c r="P686" s="793"/>
      <c r="Q686" s="793"/>
      <c r="R686" s="793"/>
      <c r="S686" s="1991"/>
      <c r="T686" s="793"/>
      <c r="U686" s="794"/>
      <c r="V686" s="752"/>
      <c r="W686" s="1942"/>
      <c r="X686" s="752"/>
      <c r="Y686" s="752"/>
      <c r="Z686" s="752"/>
      <c r="AA686" s="752"/>
      <c r="AB686" s="752"/>
      <c r="AC686" s="752"/>
      <c r="AD686" s="752"/>
      <c r="AE686" s="752"/>
      <c r="AF686" s="752"/>
      <c r="AG686" s="752"/>
      <c r="AH686" s="752"/>
      <c r="AI686" s="752"/>
      <c r="AJ686" s="752"/>
      <c r="AK686" s="752"/>
      <c r="AL686" s="752"/>
      <c r="AM686" s="1942"/>
      <c r="AN686" s="752"/>
      <c r="AO686" s="752"/>
      <c r="AP686" s="752"/>
      <c r="AQ686" s="752"/>
      <c r="AR686" s="752"/>
      <c r="AS686" s="752"/>
      <c r="AT686" s="752"/>
      <c r="AU686" s="752"/>
      <c r="AV686" s="752"/>
      <c r="AW686" s="752"/>
      <c r="AX686" s="752"/>
      <c r="AY686" s="752"/>
      <c r="AZ686" s="752"/>
      <c r="BA686" s="990"/>
      <c r="BB686" s="752"/>
      <c r="BC686" s="2217"/>
      <c r="BK686" s="972">
        <f>+BK684*0.4</f>
        <v>2.9712960000000006</v>
      </c>
      <c r="BL686" s="972">
        <f>+BL684*0.4</f>
        <v>48.591225000000009</v>
      </c>
      <c r="BM686" s="972">
        <f t="shared" ref="BM686:BR686" si="4781">+BM684*0.4</f>
        <v>65.096640000000022</v>
      </c>
      <c r="BN686" s="972">
        <f t="shared" ref="BN686:BO686" si="4782">+BN684*0.4</f>
        <v>62.915895000000013</v>
      </c>
      <c r="BO686" s="2502">
        <f t="shared" si="4782"/>
        <v>67.683104999999998</v>
      </c>
      <c r="BP686" s="972">
        <f t="shared" ref="BP686:BQ686" si="4783">+BP684*0.4</f>
        <v>70.391475</v>
      </c>
      <c r="BQ686" s="972">
        <f t="shared" si="4783"/>
        <v>66.9666909256091</v>
      </c>
      <c r="BR686" s="972">
        <f t="shared" si="4781"/>
        <v>259.2274736989998</v>
      </c>
      <c r="BS686" s="972">
        <f t="shared" ref="BS686:BU686" si="4784">+BS684*0.4</f>
        <v>263.43710943979966</v>
      </c>
      <c r="BT686" s="972">
        <f t="shared" si="4784"/>
        <v>267.38866608139665</v>
      </c>
      <c r="BU686" s="972">
        <f t="shared" si="4784"/>
        <v>271.39949607261764</v>
      </c>
    </row>
    <row r="687" spans="1:74" ht="15" hidden="1" customHeight="1">
      <c r="A687" s="792"/>
      <c r="B687" s="717" t="s">
        <v>399</v>
      </c>
      <c r="G687" s="793"/>
      <c r="H687" s="793"/>
      <c r="I687" s="793"/>
      <c r="J687" s="793"/>
      <c r="K687" s="793"/>
      <c r="L687" s="793"/>
      <c r="M687" s="793"/>
      <c r="N687" s="793"/>
      <c r="O687" s="793"/>
      <c r="P687" s="793"/>
      <c r="Q687" s="793"/>
      <c r="R687" s="793"/>
      <c r="S687" s="1991"/>
      <c r="T687" s="793"/>
      <c r="U687" s="794"/>
      <c r="V687" s="752"/>
      <c r="W687" s="1942"/>
      <c r="X687" s="752"/>
      <c r="Y687" s="752"/>
      <c r="Z687" s="752"/>
      <c r="AA687" s="752"/>
      <c r="AB687" s="752"/>
      <c r="AC687" s="752"/>
      <c r="AD687" s="752"/>
      <c r="AE687" s="752"/>
      <c r="AF687" s="752"/>
      <c r="AG687" s="752"/>
      <c r="AH687" s="752"/>
      <c r="AI687" s="752"/>
      <c r="AJ687" s="752"/>
      <c r="AK687" s="752"/>
      <c r="AL687" s="752"/>
      <c r="AM687" s="1942"/>
      <c r="AN687" s="752"/>
      <c r="AO687" s="752"/>
      <c r="AP687" s="752"/>
      <c r="AQ687" s="752"/>
      <c r="AR687" s="752"/>
      <c r="AS687" s="752"/>
      <c r="AT687" s="752"/>
      <c r="AU687" s="752"/>
      <c r="AV687" s="752"/>
      <c r="AW687" s="752"/>
      <c r="AX687" s="752"/>
      <c r="AY687" s="752"/>
      <c r="AZ687" s="752"/>
      <c r="BA687" s="990"/>
      <c r="BB687" s="752"/>
      <c r="BC687" s="2217"/>
      <c r="BK687" s="972">
        <f>+BK684*0.5</f>
        <v>3.7141200000000003</v>
      </c>
      <c r="BL687" s="972">
        <f>+BL684*0.5</f>
        <v>60.739031250000011</v>
      </c>
      <c r="BM687" s="972">
        <f t="shared" ref="BM687:BR687" si="4785">+BM684*0.5</f>
        <v>81.370800000000017</v>
      </c>
      <c r="BN687" s="972">
        <f t="shared" ref="BN687:BO687" si="4786">+BN684*0.5</f>
        <v>78.644868750000015</v>
      </c>
      <c r="BO687" s="2502">
        <f t="shared" si="4786"/>
        <v>84.603881250000001</v>
      </c>
      <c r="BP687" s="972">
        <f t="shared" ref="BP687:BQ687" si="4787">+BP684*0.5</f>
        <v>87.989343750000003</v>
      </c>
      <c r="BQ687" s="972">
        <f t="shared" si="4787"/>
        <v>83.708363657011375</v>
      </c>
      <c r="BR687" s="972">
        <f t="shared" si="4785"/>
        <v>324.03434212374975</v>
      </c>
      <c r="BS687" s="972">
        <f t="shared" ref="BS687:BU687" si="4788">+BS684*0.5</f>
        <v>329.29638679974954</v>
      </c>
      <c r="BT687" s="972">
        <f t="shared" si="4788"/>
        <v>334.23583260174581</v>
      </c>
      <c r="BU687" s="972">
        <f t="shared" si="4788"/>
        <v>339.249370090772</v>
      </c>
    </row>
    <row r="688" spans="1:74" ht="15" hidden="1" customHeight="1">
      <c r="A688" s="792"/>
      <c r="B688" s="717" t="s">
        <v>400</v>
      </c>
      <c r="G688" s="793"/>
      <c r="H688" s="793"/>
      <c r="I688" s="793"/>
      <c r="J688" s="793"/>
      <c r="K688" s="793"/>
      <c r="L688" s="793"/>
      <c r="M688" s="793"/>
      <c r="N688" s="793"/>
      <c r="O688" s="793"/>
      <c r="P688" s="793"/>
      <c r="Q688" s="793"/>
      <c r="R688" s="793"/>
      <c r="S688" s="1991"/>
      <c r="T688" s="793"/>
      <c r="U688" s="794"/>
      <c r="V688" s="752"/>
      <c r="W688" s="1942"/>
      <c r="X688" s="752"/>
      <c r="Y688" s="752"/>
      <c r="Z688" s="752"/>
      <c r="AA688" s="752"/>
      <c r="AB688" s="752"/>
      <c r="AC688" s="752"/>
      <c r="AD688" s="752"/>
      <c r="AE688" s="752"/>
      <c r="AF688" s="752"/>
      <c r="AG688" s="752"/>
      <c r="AH688" s="752"/>
      <c r="AI688" s="752"/>
      <c r="AJ688" s="752"/>
      <c r="AK688" s="752"/>
      <c r="AL688" s="752"/>
      <c r="AM688" s="1942"/>
      <c r="AN688" s="752"/>
      <c r="AO688" s="752"/>
      <c r="AP688" s="752"/>
      <c r="AQ688" s="752"/>
      <c r="AR688" s="752"/>
      <c r="AS688" s="752"/>
      <c r="AT688" s="752"/>
      <c r="AU688" s="752"/>
      <c r="AV688" s="752"/>
      <c r="AW688" s="752"/>
      <c r="AX688" s="752"/>
      <c r="AY688" s="752"/>
      <c r="AZ688" s="752"/>
      <c r="BA688" s="990"/>
      <c r="BB688" s="752"/>
      <c r="BC688" s="2217"/>
      <c r="BK688" s="972">
        <f>+BK684*0.1</f>
        <v>0.74282400000000015</v>
      </c>
      <c r="BL688" s="972">
        <f>+BL684*0.1</f>
        <v>12.147806250000002</v>
      </c>
      <c r="BM688" s="972">
        <f t="shared" ref="BM688:BR688" si="4789">+BM684*0.1</f>
        <v>16.274160000000006</v>
      </c>
      <c r="BN688" s="972">
        <f t="shared" ref="BN688:BO688" si="4790">+BN684*0.1</f>
        <v>15.728973750000003</v>
      </c>
      <c r="BO688" s="2502">
        <f t="shared" si="4790"/>
        <v>16.920776249999999</v>
      </c>
      <c r="BP688" s="972">
        <f t="shared" ref="BP688:BQ688" si="4791">+BP684*0.1</f>
        <v>17.59786875</v>
      </c>
      <c r="BQ688" s="972">
        <f t="shared" si="4791"/>
        <v>16.741672731402275</v>
      </c>
      <c r="BR688" s="972">
        <f t="shared" si="4789"/>
        <v>64.80686842474995</v>
      </c>
      <c r="BS688" s="972">
        <f t="shared" ref="BS688:BU688" si="4792">+BS684*0.1</f>
        <v>65.859277359949914</v>
      </c>
      <c r="BT688" s="972">
        <f t="shared" si="4792"/>
        <v>66.847166520349163</v>
      </c>
      <c r="BU688" s="972">
        <f t="shared" si="4792"/>
        <v>67.849874018154409</v>
      </c>
    </row>
    <row r="689" spans="1:86" ht="15" hidden="1" customHeight="1">
      <c r="A689" s="792"/>
      <c r="B689" s="717"/>
      <c r="G689" s="793"/>
      <c r="H689" s="793"/>
      <c r="I689" s="793"/>
      <c r="J689" s="793"/>
      <c r="K689" s="793"/>
      <c r="L689" s="793"/>
      <c r="M689" s="793"/>
      <c r="N689" s="793"/>
      <c r="O689" s="793"/>
      <c r="P689" s="793"/>
      <c r="Q689" s="793"/>
      <c r="R689" s="793"/>
      <c r="S689" s="1991"/>
      <c r="T689" s="793"/>
      <c r="U689" s="794"/>
      <c r="V689" s="752"/>
      <c r="W689" s="1942"/>
      <c r="X689" s="752"/>
      <c r="Y689" s="752"/>
      <c r="Z689" s="752"/>
      <c r="AA689" s="752"/>
      <c r="AB689" s="752"/>
      <c r="AC689" s="752"/>
      <c r="AD689" s="752"/>
      <c r="AE689" s="752"/>
      <c r="AF689" s="752"/>
      <c r="AG689" s="752"/>
      <c r="AH689" s="752"/>
      <c r="AI689" s="752"/>
      <c r="AJ689" s="752"/>
      <c r="AK689" s="752"/>
      <c r="AL689" s="752"/>
      <c r="AM689" s="1942"/>
      <c r="AN689" s="752"/>
      <c r="AO689" s="752"/>
      <c r="AP689" s="752"/>
      <c r="AQ689" s="752"/>
      <c r="AR689" s="752"/>
      <c r="AS689" s="752"/>
      <c r="AT689" s="752"/>
      <c r="AU689" s="752"/>
      <c r="AV689" s="752"/>
      <c r="AW689" s="752"/>
      <c r="AX689" s="752"/>
      <c r="AY689" s="752"/>
      <c r="AZ689" s="752"/>
      <c r="BA689" s="990"/>
      <c r="BB689" s="752"/>
      <c r="BC689" s="2217"/>
      <c r="BK689" s="796"/>
      <c r="BL689" s="796"/>
      <c r="BM689" s="796"/>
      <c r="BN689" s="796"/>
      <c r="BO689" s="2501"/>
      <c r="BP689" s="796"/>
      <c r="BQ689" s="796"/>
      <c r="BR689" s="796"/>
      <c r="BS689" s="796"/>
      <c r="BT689" s="796"/>
      <c r="BU689" s="796"/>
    </row>
    <row r="690" spans="1:86" ht="15" hidden="1" customHeight="1">
      <c r="A690" s="792"/>
      <c r="B690" s="603" t="s">
        <v>401</v>
      </c>
      <c r="G690" s="793"/>
      <c r="H690" s="793"/>
      <c r="I690" s="793"/>
      <c r="J690" s="793"/>
      <c r="K690" s="793"/>
      <c r="L690" s="793"/>
      <c r="M690" s="793"/>
      <c r="N690" s="793"/>
      <c r="O690" s="793"/>
      <c r="P690" s="793"/>
      <c r="Q690" s="793"/>
      <c r="R690" s="793"/>
      <c r="S690" s="1991"/>
      <c r="T690" s="793"/>
      <c r="U690" s="794"/>
      <c r="V690" s="752"/>
      <c r="W690" s="1944">
        <v>0</v>
      </c>
      <c r="X690" s="894">
        <f>+X701-X694-X692-X684</f>
        <v>97.498800000000003</v>
      </c>
      <c r="Y690" s="894">
        <f>+($BK690-X690)/2</f>
        <v>62.674200000000006</v>
      </c>
      <c r="Z690" s="894">
        <f>+Y690</f>
        <v>62.674200000000006</v>
      </c>
      <c r="AA690" s="894">
        <f>+$BL690/4</f>
        <v>121.47806250000002</v>
      </c>
      <c r="AB690" s="894">
        <f>+$BL690/4</f>
        <v>121.47806250000002</v>
      </c>
      <c r="AC690" s="894">
        <f>+$BL690/4</f>
        <v>121.47806250000002</v>
      </c>
      <c r="AD690" s="894">
        <f>+$BL690/4</f>
        <v>121.47806250000002</v>
      </c>
      <c r="AE690" s="894">
        <f>+$BM690/4</f>
        <v>162.74160000000003</v>
      </c>
      <c r="AF690" s="894">
        <f t="shared" ref="AF690:AU694" si="4793">+$BM690/4</f>
        <v>162.74160000000003</v>
      </c>
      <c r="AG690" s="894">
        <f t="shared" si="4793"/>
        <v>162.74160000000003</v>
      </c>
      <c r="AH690" s="894">
        <f t="shared" si="4793"/>
        <v>162.74160000000003</v>
      </c>
      <c r="AI690" s="894">
        <f t="shared" si="4793"/>
        <v>162.74160000000003</v>
      </c>
      <c r="AJ690" s="894">
        <f t="shared" si="4793"/>
        <v>162.74160000000003</v>
      </c>
      <c r="AK690" s="894">
        <f t="shared" si="4793"/>
        <v>162.74160000000003</v>
      </c>
      <c r="AL690" s="894">
        <f t="shared" si="4793"/>
        <v>162.74160000000003</v>
      </c>
      <c r="AM690" s="1944">
        <f t="shared" si="4793"/>
        <v>162.74160000000003</v>
      </c>
      <c r="AN690" s="894">
        <f t="shared" si="4793"/>
        <v>162.74160000000003</v>
      </c>
      <c r="AO690" s="894">
        <f t="shared" si="4793"/>
        <v>162.74160000000003</v>
      </c>
      <c r="AP690" s="894">
        <f t="shared" si="4793"/>
        <v>162.74160000000003</v>
      </c>
      <c r="AQ690" s="894">
        <f t="shared" si="4793"/>
        <v>162.74160000000003</v>
      </c>
      <c r="AR690" s="894">
        <f t="shared" si="4793"/>
        <v>162.74160000000003</v>
      </c>
      <c r="AS690" s="894">
        <f t="shared" si="4793"/>
        <v>162.74160000000003</v>
      </c>
      <c r="AT690" s="894">
        <f t="shared" si="4793"/>
        <v>162.74160000000003</v>
      </c>
      <c r="AU690" s="894">
        <f t="shared" si="4793"/>
        <v>162.74160000000003</v>
      </c>
      <c r="AV690" s="894">
        <f t="shared" ref="AU690:AX694" si="4794">+$BM690/4</f>
        <v>162.74160000000003</v>
      </c>
      <c r="AW690" s="894">
        <f t="shared" si="4794"/>
        <v>162.74160000000003</v>
      </c>
      <c r="AX690" s="894">
        <f t="shared" si="4794"/>
        <v>162.74160000000003</v>
      </c>
      <c r="AY690" s="894"/>
      <c r="AZ690" s="894"/>
      <c r="BA690" s="990"/>
      <c r="BB690" s="894">
        <v>162.74160000000003</v>
      </c>
      <c r="BC690" s="2217"/>
      <c r="BK690" s="795">
        <f t="shared" ref="BK690:BU690" si="4795">+BK691*BK$701</f>
        <v>222.84720000000002</v>
      </c>
      <c r="BL690" s="795">
        <f t="shared" si="4795"/>
        <v>485.91225000000009</v>
      </c>
      <c r="BM690" s="795">
        <f t="shared" si="4795"/>
        <v>650.96640000000014</v>
      </c>
      <c r="BN690" s="795">
        <f t="shared" si="4795"/>
        <v>629.15895000000012</v>
      </c>
      <c r="BO690" s="1945">
        <f t="shared" si="4795"/>
        <v>676.83105</v>
      </c>
      <c r="BP690" s="795">
        <f t="shared" si="4795"/>
        <v>703.91475000000003</v>
      </c>
      <c r="BQ690" s="795">
        <f t="shared" si="4795"/>
        <v>669.666909256091</v>
      </c>
      <c r="BR690" s="795">
        <f t="shared" si="4795"/>
        <v>621.06582240385364</v>
      </c>
      <c r="BS690" s="795">
        <f t="shared" si="4795"/>
        <v>631.15140803285328</v>
      </c>
      <c r="BT690" s="795">
        <f t="shared" si="4795"/>
        <v>640.61867915334608</v>
      </c>
      <c r="BU690" s="795">
        <f t="shared" si="4795"/>
        <v>650.22795934064629</v>
      </c>
      <c r="BV690" s="1194">
        <v>115</v>
      </c>
      <c r="BW690" s="72" t="s">
        <v>402</v>
      </c>
    </row>
    <row r="691" spans="1:86" ht="15" hidden="1" customHeight="1">
      <c r="A691" s="792"/>
      <c r="B691" s="717" t="s">
        <v>274</v>
      </c>
      <c r="G691" s="793"/>
      <c r="H691" s="793"/>
      <c r="I691" s="793"/>
      <c r="J691" s="793"/>
      <c r="K691" s="793"/>
      <c r="L691" s="793"/>
      <c r="M691" s="793"/>
      <c r="N691" s="793"/>
      <c r="O691" s="793"/>
      <c r="P691" s="793"/>
      <c r="Q691" s="793"/>
      <c r="R691" s="793"/>
      <c r="S691" s="1991"/>
      <c r="T691" s="793"/>
      <c r="U691" s="794"/>
      <c r="V691" s="752"/>
      <c r="W691" s="1942">
        <f t="shared" ref="W691:AT691" si="4796">+W690/W$8</f>
        <v>0</v>
      </c>
      <c r="X691" s="752">
        <f t="shared" si="4796"/>
        <v>1.0695583492397817E-2</v>
      </c>
      <c r="Y691" s="752">
        <f t="shared" si="4796"/>
        <v>4.6079565923845519E-3</v>
      </c>
      <c r="Z691" s="752">
        <f t="shared" si="4796"/>
        <v>4.1068751310547281E-3</v>
      </c>
      <c r="AA691" s="752">
        <f t="shared" si="4796"/>
        <v>1.0073559593999554E-2</v>
      </c>
      <c r="AB691" s="752">
        <f t="shared" si="4796"/>
        <v>9.9303574348074911E-3</v>
      </c>
      <c r="AC691" s="752">
        <f t="shared" si="4796"/>
        <v>9.8529545952259299E-3</v>
      </c>
      <c r="AD691" s="752">
        <f t="shared" si="4796"/>
        <v>8.0861387539106714E-3</v>
      </c>
      <c r="AE691" s="752">
        <f t="shared" si="4796"/>
        <v>1.5292388648750236E-2</v>
      </c>
      <c r="AF691" s="752">
        <f t="shared" si="4796"/>
        <v>1.4438070566108045E-2</v>
      </c>
      <c r="AG691" s="752">
        <f t="shared" si="4796"/>
        <v>1.3917508316728387E-2</v>
      </c>
      <c r="AH691" s="752">
        <f t="shared" si="4796"/>
        <v>1.2053504769805063E-2</v>
      </c>
      <c r="AI691" s="752">
        <f t="shared" si="4796"/>
        <v>1.70278109109172E-2</v>
      </c>
      <c r="AJ691" s="752">
        <f t="shared" si="4796"/>
        <v>1.5977411408597281E-2</v>
      </c>
      <c r="AK691" s="752">
        <f t="shared" si="4796"/>
        <v>1.6568354326767822E-2</v>
      </c>
      <c r="AL691" s="752">
        <f t="shared" si="4796"/>
        <v>1.8901682946375689E-2</v>
      </c>
      <c r="AM691" s="1942">
        <f t="shared" si="4796"/>
        <v>2.5540513818484288E-2</v>
      </c>
      <c r="AN691" s="752">
        <f t="shared" si="4796"/>
        <v>2.0484445641073185E-2</v>
      </c>
      <c r="AO691" s="752">
        <f t="shared" si="4796"/>
        <v>2.0598428802596311E-2</v>
      </c>
      <c r="AP691" s="752">
        <f t="shared" si="4796"/>
        <v>1.7369108606557378E-2</v>
      </c>
      <c r="AQ691" s="752">
        <f t="shared" si="4796"/>
        <v>2.3862754585844373E-2</v>
      </c>
      <c r="AR691" s="752">
        <f t="shared" si="4796"/>
        <v>2.1566890629348395E-2</v>
      </c>
      <c r="AS691" s="752">
        <f t="shared" si="4796"/>
        <v>2.3699082568807345E-2</v>
      </c>
      <c r="AT691" s="752">
        <f t="shared" si="4796"/>
        <v>1.9697603485838783E-2</v>
      </c>
      <c r="AU691" s="752">
        <f t="shared" ref="AU691:AX691" si="4797">+AU690/AU$8</f>
        <v>2.7029954568952512E-2</v>
      </c>
      <c r="AV691" s="752">
        <f t="shared" si="4797"/>
        <v>2.1347128410846121E-2</v>
      </c>
      <c r="AW691" s="752">
        <f t="shared" si="4797"/>
        <v>2.2058813186287256E-2</v>
      </c>
      <c r="AX691" s="752">
        <f t="shared" si="4797"/>
        <v>1.7461638187807292E-2</v>
      </c>
      <c r="AY691" s="752"/>
      <c r="AZ691" s="752"/>
      <c r="BA691" s="990"/>
      <c r="BB691" s="752">
        <v>1.9368177471220563E-2</v>
      </c>
      <c r="BC691" s="2217"/>
      <c r="BK691" s="796">
        <v>0.6</v>
      </c>
      <c r="BL691" s="796">
        <v>0.4</v>
      </c>
      <c r="BM691" s="796">
        <v>0.4</v>
      </c>
      <c r="BN691" s="796">
        <v>0.4</v>
      </c>
      <c r="BO691" s="2501">
        <v>0.4</v>
      </c>
      <c r="BP691" s="796">
        <v>0.4</v>
      </c>
      <c r="BQ691" s="796">
        <v>0.4</v>
      </c>
      <c r="BR691" s="796">
        <f t="shared" ref="BR691:BU695" si="4798">+$BV691</f>
        <v>0.25555555555555554</v>
      </c>
      <c r="BS691" s="796">
        <f t="shared" si="4798"/>
        <v>0.25555555555555554</v>
      </c>
      <c r="BT691" s="796">
        <f t="shared" si="4798"/>
        <v>0.25555555555555554</v>
      </c>
      <c r="BU691" s="796">
        <f t="shared" si="4798"/>
        <v>0.25555555555555554</v>
      </c>
      <c r="BV691" s="752">
        <v>0.25555555555555554</v>
      </c>
    </row>
    <row r="692" spans="1:86" ht="15" hidden="1" customHeight="1">
      <c r="A692" s="792"/>
      <c r="B692" s="603" t="s">
        <v>403</v>
      </c>
      <c r="W692" s="1944">
        <v>0</v>
      </c>
      <c r="X692" s="894">
        <f>+$BK692/4</f>
        <v>9.2853000000000012</v>
      </c>
      <c r="Y692" s="894">
        <f>+($BK692-X692)/2</f>
        <v>13.927950000000003</v>
      </c>
      <c r="Z692" s="894">
        <f>+Y692</f>
        <v>13.927950000000003</v>
      </c>
      <c r="AA692" s="894">
        <f>+$BL692/4</f>
        <v>60.739031250000011</v>
      </c>
      <c r="AB692" s="894">
        <f>+$BL692/4</f>
        <v>60.739031250000011</v>
      </c>
      <c r="AC692" s="894">
        <f>+$BL692/4</f>
        <v>60.739031250000011</v>
      </c>
      <c r="AD692" s="894">
        <f>+$BL692/4</f>
        <v>60.739031250000011</v>
      </c>
      <c r="AE692" s="894">
        <f>+$BM692/4</f>
        <v>81.370800000000017</v>
      </c>
      <c r="AF692" s="894">
        <f t="shared" si="4793"/>
        <v>81.370800000000017</v>
      </c>
      <c r="AG692" s="894">
        <f t="shared" si="4793"/>
        <v>81.370800000000017</v>
      </c>
      <c r="AH692" s="894">
        <f t="shared" si="4793"/>
        <v>81.370800000000017</v>
      </c>
      <c r="AI692" s="894">
        <f t="shared" si="4793"/>
        <v>81.370800000000017</v>
      </c>
      <c r="AJ692" s="894">
        <f t="shared" si="4793"/>
        <v>81.370800000000017</v>
      </c>
      <c r="AK692" s="894">
        <f t="shared" si="4793"/>
        <v>81.370800000000017</v>
      </c>
      <c r="AL692" s="894">
        <f t="shared" si="4793"/>
        <v>81.370800000000017</v>
      </c>
      <c r="AM692" s="1944">
        <f t="shared" si="4793"/>
        <v>81.370800000000017</v>
      </c>
      <c r="AN692" s="894">
        <f t="shared" si="4793"/>
        <v>81.370800000000017</v>
      </c>
      <c r="AO692" s="894">
        <f t="shared" si="4793"/>
        <v>81.370800000000017</v>
      </c>
      <c r="AP692" s="894">
        <f t="shared" si="4793"/>
        <v>81.370800000000017</v>
      </c>
      <c r="AQ692" s="894">
        <f t="shared" si="4793"/>
        <v>81.370800000000017</v>
      </c>
      <c r="AR692" s="894">
        <f t="shared" si="4793"/>
        <v>81.370800000000017</v>
      </c>
      <c r="AS692" s="894">
        <f t="shared" si="4793"/>
        <v>81.370800000000017</v>
      </c>
      <c r="AT692" s="894">
        <f t="shared" si="4793"/>
        <v>81.370800000000017</v>
      </c>
      <c r="AU692" s="894">
        <f t="shared" si="4794"/>
        <v>81.370800000000017</v>
      </c>
      <c r="AV692" s="894">
        <f t="shared" si="4794"/>
        <v>81.370800000000017</v>
      </c>
      <c r="AW692" s="894">
        <f t="shared" si="4794"/>
        <v>81.370800000000017</v>
      </c>
      <c r="AX692" s="894">
        <f t="shared" si="4794"/>
        <v>81.370800000000017</v>
      </c>
      <c r="AY692" s="894"/>
      <c r="AZ692" s="894"/>
      <c r="BB692" s="894">
        <v>81.370800000000017</v>
      </c>
      <c r="BK692" s="795">
        <f t="shared" ref="BK692:BU692" si="4799">+BK693*BK$701</f>
        <v>37.141200000000005</v>
      </c>
      <c r="BL692" s="795">
        <f t="shared" si="4799"/>
        <v>242.95612500000004</v>
      </c>
      <c r="BM692" s="795">
        <f t="shared" si="4799"/>
        <v>325.48320000000007</v>
      </c>
      <c r="BN692" s="795">
        <f t="shared" si="4799"/>
        <v>314.57947500000006</v>
      </c>
      <c r="BO692" s="1945">
        <f t="shared" si="4799"/>
        <v>338.415525</v>
      </c>
      <c r="BP692" s="795">
        <f t="shared" si="4799"/>
        <v>351.95737500000001</v>
      </c>
      <c r="BQ692" s="795">
        <f t="shared" si="4799"/>
        <v>334.8334546280455</v>
      </c>
      <c r="BR692" s="795">
        <f t="shared" si="4799"/>
        <v>675.07154609114536</v>
      </c>
      <c r="BS692" s="795">
        <f t="shared" si="4799"/>
        <v>686.03413916614488</v>
      </c>
      <c r="BT692" s="795">
        <f t="shared" si="4799"/>
        <v>696.32465125363717</v>
      </c>
      <c r="BU692" s="795">
        <f t="shared" si="4799"/>
        <v>706.76952102244172</v>
      </c>
      <c r="BV692" s="1194">
        <v>125</v>
      </c>
    </row>
    <row r="693" spans="1:86" ht="15" hidden="1" customHeight="1">
      <c r="A693" s="792"/>
      <c r="B693" s="717" t="s">
        <v>274</v>
      </c>
      <c r="W693" s="1942">
        <f t="shared" ref="W693:AT693" si="4800">+W692/W$8</f>
        <v>0</v>
      </c>
      <c r="X693" s="752">
        <f t="shared" si="4800"/>
        <v>1.0185940893832689E-3</v>
      </c>
      <c r="Y693" s="752">
        <f t="shared" si="4800"/>
        <v>1.0240160866975953E-3</v>
      </c>
      <c r="Z693" s="752">
        <f t="shared" si="4800"/>
        <v>9.1266185258964141E-4</v>
      </c>
      <c r="AA693" s="752">
        <f t="shared" si="4800"/>
        <v>5.0367797969997768E-3</v>
      </c>
      <c r="AB693" s="752">
        <f t="shared" si="4800"/>
        <v>4.9651787174037456E-3</v>
      </c>
      <c r="AC693" s="752">
        <f t="shared" si="4800"/>
        <v>4.9264772976129649E-3</v>
      </c>
      <c r="AD693" s="752">
        <f t="shared" si="4800"/>
        <v>4.0430693769553357E-3</v>
      </c>
      <c r="AE693" s="752">
        <f t="shared" si="4800"/>
        <v>7.6461943243751182E-3</v>
      </c>
      <c r="AF693" s="752">
        <f t="shared" si="4800"/>
        <v>7.2190352830540224E-3</v>
      </c>
      <c r="AG693" s="752">
        <f t="shared" si="4800"/>
        <v>6.9587541583641934E-3</v>
      </c>
      <c r="AH693" s="752">
        <f t="shared" si="4800"/>
        <v>6.0267523849025315E-3</v>
      </c>
      <c r="AI693" s="752">
        <f t="shared" si="4800"/>
        <v>8.5139054554586001E-3</v>
      </c>
      <c r="AJ693" s="752">
        <f t="shared" si="4800"/>
        <v>7.9887057042986407E-3</v>
      </c>
      <c r="AK693" s="752">
        <f t="shared" si="4800"/>
        <v>8.2841771633839108E-3</v>
      </c>
      <c r="AL693" s="752">
        <f t="shared" si="4800"/>
        <v>9.4508414731878446E-3</v>
      </c>
      <c r="AM693" s="1942">
        <f t="shared" si="4800"/>
        <v>1.2770256909242144E-2</v>
      </c>
      <c r="AN693" s="752">
        <f t="shared" si="4800"/>
        <v>1.0242222820536592E-2</v>
      </c>
      <c r="AO693" s="752">
        <f t="shared" si="4800"/>
        <v>1.0299214401298155E-2</v>
      </c>
      <c r="AP693" s="752">
        <f t="shared" si="4800"/>
        <v>8.6845543032786892E-3</v>
      </c>
      <c r="AQ693" s="752">
        <f t="shared" si="4800"/>
        <v>1.1931377292922186E-2</v>
      </c>
      <c r="AR693" s="752">
        <f t="shared" si="4800"/>
        <v>1.0783445314674197E-2</v>
      </c>
      <c r="AS693" s="752">
        <f t="shared" si="4800"/>
        <v>1.1849541284403672E-2</v>
      </c>
      <c r="AT693" s="752">
        <f t="shared" si="4800"/>
        <v>9.8488017429193917E-3</v>
      </c>
      <c r="AU693" s="752">
        <f t="shared" ref="AU693:AX693" si="4801">+AU692/AU$8</f>
        <v>1.3514977284476256E-2</v>
      </c>
      <c r="AV693" s="752">
        <f t="shared" si="4801"/>
        <v>1.067356420542306E-2</v>
      </c>
      <c r="AW693" s="752">
        <f t="shared" si="4801"/>
        <v>1.1029406593143628E-2</v>
      </c>
      <c r="AX693" s="752">
        <f t="shared" si="4801"/>
        <v>8.730819093903646E-3</v>
      </c>
      <c r="AY693" s="752"/>
      <c r="AZ693" s="752"/>
      <c r="BB693" s="752">
        <v>9.6840887356102814E-3</v>
      </c>
      <c r="BK693" s="796">
        <v>0.1</v>
      </c>
      <c r="BL693" s="796">
        <v>0.2</v>
      </c>
      <c r="BM693" s="796">
        <v>0.2</v>
      </c>
      <c r="BN693" s="796">
        <v>0.2</v>
      </c>
      <c r="BO693" s="2501">
        <v>0.2</v>
      </c>
      <c r="BP693" s="796">
        <v>0.2</v>
      </c>
      <c r="BQ693" s="796">
        <v>0.2</v>
      </c>
      <c r="BR693" s="796">
        <f t="shared" si="4798"/>
        <v>0.27777777777777779</v>
      </c>
      <c r="BS693" s="796">
        <f t="shared" si="4798"/>
        <v>0.27777777777777779</v>
      </c>
      <c r="BT693" s="796">
        <f t="shared" si="4798"/>
        <v>0.27777777777777779</v>
      </c>
      <c r="BU693" s="796">
        <f t="shared" si="4798"/>
        <v>0.27777777777777779</v>
      </c>
      <c r="BV693" s="752">
        <v>0.27777777777777779</v>
      </c>
      <c r="CG693" s="796"/>
      <c r="CH693" s="796"/>
    </row>
    <row r="694" spans="1:86" ht="15" hidden="1" customHeight="1">
      <c r="A694" s="792"/>
      <c r="B694" s="603" t="s">
        <v>404</v>
      </c>
      <c r="G694" s="752"/>
      <c r="H694" s="752"/>
      <c r="I694" s="752"/>
      <c r="J694" s="752"/>
      <c r="K694" s="752"/>
      <c r="L694" s="752"/>
      <c r="M694" s="752"/>
      <c r="N694" s="752"/>
      <c r="O694" s="752"/>
      <c r="P694" s="752"/>
      <c r="Q694" s="752"/>
      <c r="R694" s="752"/>
      <c r="S694" s="1942"/>
      <c r="T694" s="752"/>
      <c r="U694" s="752"/>
      <c r="V694" s="752"/>
      <c r="W694" s="1944">
        <v>0</v>
      </c>
      <c r="X694" s="894">
        <f>+$BK694/4</f>
        <v>25.998840000000005</v>
      </c>
      <c r="Y694" s="894">
        <f>+($BK694-X694)/2</f>
        <v>38.998260000000009</v>
      </c>
      <c r="Z694" s="894">
        <f>+Y694</f>
        <v>38.998260000000009</v>
      </c>
      <c r="AA694" s="894">
        <f>+$BL694/4</f>
        <v>91.108546875000016</v>
      </c>
      <c r="AB694" s="894">
        <f>+$BL694/4</f>
        <v>91.108546875000016</v>
      </c>
      <c r="AC694" s="894">
        <f>+$BL694/4</f>
        <v>91.108546875000016</v>
      </c>
      <c r="AD694" s="894">
        <f>+$BL694/4</f>
        <v>91.108546875000016</v>
      </c>
      <c r="AE694" s="894">
        <f>+$BM694/4</f>
        <v>122.05620000000003</v>
      </c>
      <c r="AF694" s="894">
        <f t="shared" si="4793"/>
        <v>122.05620000000003</v>
      </c>
      <c r="AG694" s="894">
        <f t="shared" si="4793"/>
        <v>122.05620000000003</v>
      </c>
      <c r="AH694" s="894">
        <f t="shared" si="4793"/>
        <v>122.05620000000003</v>
      </c>
      <c r="AI694" s="894">
        <f t="shared" si="4793"/>
        <v>122.05620000000003</v>
      </c>
      <c r="AJ694" s="894">
        <f t="shared" si="4793"/>
        <v>122.05620000000003</v>
      </c>
      <c r="AK694" s="894">
        <f t="shared" si="4793"/>
        <v>122.05620000000003</v>
      </c>
      <c r="AL694" s="894">
        <f t="shared" si="4793"/>
        <v>122.05620000000003</v>
      </c>
      <c r="AM694" s="1944">
        <f t="shared" si="4793"/>
        <v>122.05620000000003</v>
      </c>
      <c r="AN694" s="894">
        <f t="shared" si="4793"/>
        <v>122.05620000000003</v>
      </c>
      <c r="AO694" s="894">
        <f t="shared" si="4793"/>
        <v>122.05620000000003</v>
      </c>
      <c r="AP694" s="894">
        <f t="shared" si="4793"/>
        <v>122.05620000000003</v>
      </c>
      <c r="AQ694" s="894">
        <f t="shared" si="4793"/>
        <v>122.05620000000003</v>
      </c>
      <c r="AR694" s="894">
        <f t="shared" si="4793"/>
        <v>122.05620000000003</v>
      </c>
      <c r="AS694" s="894">
        <f t="shared" si="4793"/>
        <v>122.05620000000003</v>
      </c>
      <c r="AT694" s="894">
        <f t="shared" si="4793"/>
        <v>122.05620000000003</v>
      </c>
      <c r="AU694" s="894">
        <f t="shared" si="4794"/>
        <v>122.05620000000003</v>
      </c>
      <c r="AV694" s="894">
        <f t="shared" si="4794"/>
        <v>122.05620000000003</v>
      </c>
      <c r="AW694" s="894">
        <f t="shared" si="4794"/>
        <v>122.05620000000003</v>
      </c>
      <c r="AX694" s="894">
        <f t="shared" si="4794"/>
        <v>122.05620000000003</v>
      </c>
      <c r="AY694" s="894"/>
      <c r="AZ694" s="894"/>
      <c r="BA694" s="984"/>
      <c r="BB694" s="894">
        <v>122.05620000000003</v>
      </c>
      <c r="BC694" s="2199"/>
      <c r="BK694" s="795">
        <f t="shared" ref="BK694:BU694" si="4802">+BK695*BK$701</f>
        <v>103.99536000000002</v>
      </c>
      <c r="BL694" s="795">
        <f t="shared" si="4802"/>
        <v>364.43418750000006</v>
      </c>
      <c r="BM694" s="795">
        <f t="shared" si="4802"/>
        <v>488.22480000000013</v>
      </c>
      <c r="BN694" s="795">
        <f t="shared" si="4802"/>
        <v>471.86921250000012</v>
      </c>
      <c r="BO694" s="1945">
        <f t="shared" si="4802"/>
        <v>507.62328750000006</v>
      </c>
      <c r="BP694" s="795">
        <f t="shared" si="4802"/>
        <v>527.93606250000005</v>
      </c>
      <c r="BQ694" s="795">
        <f t="shared" si="4802"/>
        <v>502.25018194206825</v>
      </c>
      <c r="BR694" s="795">
        <f t="shared" si="4802"/>
        <v>486.05151318562469</v>
      </c>
      <c r="BS694" s="795">
        <f t="shared" si="4802"/>
        <v>493.94458019962434</v>
      </c>
      <c r="BT694" s="795">
        <f t="shared" si="4802"/>
        <v>501.35374890261875</v>
      </c>
      <c r="BU694" s="795">
        <f t="shared" si="4802"/>
        <v>508.87405513615806</v>
      </c>
      <c r="BV694" s="1194">
        <v>90</v>
      </c>
    </row>
    <row r="695" spans="1:86" ht="15" hidden="1" customHeight="1">
      <c r="A695" s="792"/>
      <c r="B695" s="717" t="s">
        <v>274</v>
      </c>
      <c r="G695" s="752"/>
      <c r="H695" s="752"/>
      <c r="I695" s="752"/>
      <c r="J695" s="752"/>
      <c r="K695" s="752"/>
      <c r="L695" s="752"/>
      <c r="M695" s="752"/>
      <c r="N695" s="752"/>
      <c r="O695" s="752"/>
      <c r="P695" s="752"/>
      <c r="Q695" s="752"/>
      <c r="R695" s="752"/>
      <c r="S695" s="1942"/>
      <c r="T695" s="752"/>
      <c r="U695" s="752"/>
      <c r="V695" s="752"/>
      <c r="W695" s="1942">
        <f t="shared" ref="W695:AT695" si="4803">+W694/W$8</f>
        <v>0</v>
      </c>
      <c r="X695" s="752">
        <f t="shared" si="4803"/>
        <v>2.8520634502731527E-3</v>
      </c>
      <c r="Y695" s="752">
        <f t="shared" si="4803"/>
        <v>2.8672450427532671E-3</v>
      </c>
      <c r="Z695" s="752">
        <f t="shared" si="4803"/>
        <v>2.555453187250996E-3</v>
      </c>
      <c r="AA695" s="752">
        <f t="shared" si="4803"/>
        <v>7.5551696954996653E-3</v>
      </c>
      <c r="AB695" s="752">
        <f t="shared" si="4803"/>
        <v>7.4477680761056188E-3</v>
      </c>
      <c r="AC695" s="752">
        <f t="shared" si="4803"/>
        <v>7.3897159464194478E-3</v>
      </c>
      <c r="AD695" s="752">
        <f t="shared" si="4803"/>
        <v>6.064604065433004E-3</v>
      </c>
      <c r="AE695" s="752">
        <f t="shared" si="4803"/>
        <v>1.1469291486562677E-2</v>
      </c>
      <c r="AF695" s="752">
        <f t="shared" si="4803"/>
        <v>1.0828552924581035E-2</v>
      </c>
      <c r="AG695" s="752">
        <f t="shared" si="4803"/>
        <v>1.0438131237546291E-2</v>
      </c>
      <c r="AH695" s="752">
        <f t="shared" si="4803"/>
        <v>9.0401285773537964E-3</v>
      </c>
      <c r="AI695" s="752">
        <f t="shared" si="4803"/>
        <v>1.27708581831879E-2</v>
      </c>
      <c r="AJ695" s="752">
        <f t="shared" si="4803"/>
        <v>1.1983058556447962E-2</v>
      </c>
      <c r="AK695" s="752">
        <f t="shared" si="4803"/>
        <v>1.2426265745075866E-2</v>
      </c>
      <c r="AL695" s="752">
        <f t="shared" si="4803"/>
        <v>1.4176262209781767E-2</v>
      </c>
      <c r="AM695" s="1942">
        <f t="shared" si="4803"/>
        <v>1.9155385363863218E-2</v>
      </c>
      <c r="AN695" s="752">
        <f t="shared" si="4803"/>
        <v>1.536333423080489E-2</v>
      </c>
      <c r="AO695" s="752">
        <f t="shared" si="4803"/>
        <v>1.5448821601947233E-2</v>
      </c>
      <c r="AP695" s="752">
        <f t="shared" si="4803"/>
        <v>1.3026831454918036E-2</v>
      </c>
      <c r="AQ695" s="752">
        <f t="shared" si="4803"/>
        <v>1.789706593938328E-2</v>
      </c>
      <c r="AR695" s="752">
        <f t="shared" si="4803"/>
        <v>1.6175167972011295E-2</v>
      </c>
      <c r="AS695" s="752">
        <f t="shared" si="4803"/>
        <v>1.7774311926605509E-2</v>
      </c>
      <c r="AT695" s="752">
        <f t="shared" si="4803"/>
        <v>1.4773202614379088E-2</v>
      </c>
      <c r="AU695" s="752">
        <f t="shared" ref="AU695:AX695" si="4804">+AU694/AU$8</f>
        <v>2.0272465926714386E-2</v>
      </c>
      <c r="AV695" s="752">
        <f t="shared" si="4804"/>
        <v>1.6010346308134592E-2</v>
      </c>
      <c r="AW695" s="752">
        <f t="shared" si="4804"/>
        <v>1.6544109889715441E-2</v>
      </c>
      <c r="AX695" s="752">
        <f t="shared" si="4804"/>
        <v>1.3096228640855469E-2</v>
      </c>
      <c r="AY695" s="752"/>
      <c r="AZ695" s="752"/>
      <c r="BA695" s="984"/>
      <c r="BB695" s="752">
        <v>1.4526133103415424E-2</v>
      </c>
      <c r="BC695" s="2199"/>
      <c r="BK695" s="796">
        <f>100%-BK693-BK691-BK685</f>
        <v>0.28000000000000003</v>
      </c>
      <c r="BL695" s="796">
        <f t="shared" ref="BL695" si="4805">100%-BL693-BL691-BL685</f>
        <v>0.30000000000000004</v>
      </c>
      <c r="BM695" s="796">
        <f t="shared" ref="BM695:BN695" si="4806">100%-BM693-BM691-BM685</f>
        <v>0.30000000000000004</v>
      </c>
      <c r="BN695" s="796">
        <f t="shared" si="4806"/>
        <v>0.30000000000000004</v>
      </c>
      <c r="BO695" s="2501">
        <f t="shared" ref="BO695:BP695" si="4807">100%-BO693-BO691-BO685</f>
        <v>0.30000000000000004</v>
      </c>
      <c r="BP695" s="796">
        <f t="shared" si="4807"/>
        <v>0.30000000000000004</v>
      </c>
      <c r="BQ695" s="796">
        <f t="shared" ref="BQ695" si="4808">100%-BQ693-BQ691-BQ685</f>
        <v>0.30000000000000004</v>
      </c>
      <c r="BR695" s="796">
        <f t="shared" si="4798"/>
        <v>0.2</v>
      </c>
      <c r="BS695" s="796">
        <f t="shared" si="4798"/>
        <v>0.2</v>
      </c>
      <c r="BT695" s="796">
        <f t="shared" si="4798"/>
        <v>0.2</v>
      </c>
      <c r="BU695" s="796">
        <f t="shared" si="4798"/>
        <v>0.2</v>
      </c>
      <c r="BV695" s="752">
        <v>0.2</v>
      </c>
      <c r="CG695" s="796"/>
      <c r="CH695" s="796"/>
    </row>
    <row r="696" spans="1:86" s="610" customFormat="1" ht="15" hidden="1" customHeight="1">
      <c r="A696" s="914"/>
      <c r="B696" s="915" t="s">
        <v>405</v>
      </c>
      <c r="G696" s="916"/>
      <c r="H696" s="916"/>
      <c r="I696" s="916"/>
      <c r="J696" s="916"/>
      <c r="K696" s="916"/>
      <c r="L696" s="916"/>
      <c r="M696" s="916"/>
      <c r="N696" s="916"/>
      <c r="O696" s="916"/>
      <c r="P696" s="916"/>
      <c r="Q696" s="916"/>
      <c r="R696" s="916"/>
      <c r="S696" s="1993"/>
      <c r="T696" s="916"/>
      <c r="U696" s="916"/>
      <c r="V696" s="916"/>
      <c r="W696" s="1945">
        <f>W709*MACRO!W3</f>
        <v>-23.25752</v>
      </c>
      <c r="X696" s="795">
        <f>X709*MACRO!X$3</f>
        <v>-18.849600000000002</v>
      </c>
      <c r="Y696" s="795">
        <f>Y709*MACRO!Y3</f>
        <v>-37.6614</v>
      </c>
      <c r="Z696" s="795">
        <f>Z709*MACRO!Z3</f>
        <v>-118.7032</v>
      </c>
      <c r="AA696" s="795">
        <f>AA708*MACRO!AA$3</f>
        <v>-123.41024999999999</v>
      </c>
      <c r="AB696" s="1027">
        <v>-52</v>
      </c>
      <c r="AC696" s="1027"/>
      <c r="AD696" s="1027">
        <f>AD708*MACRO!AD3</f>
        <v>-125.66925000000001</v>
      </c>
      <c r="AE696" s="1027">
        <f>AE708*MACRO!AE3</f>
        <v>-117.56249999999999</v>
      </c>
      <c r="AF696" s="1027">
        <f>AF708*MACRO!AF3</f>
        <v>-110.86649999999999</v>
      </c>
      <c r="AG696" s="1027">
        <v>-162.4</v>
      </c>
      <c r="AH696" s="1027">
        <f>AH708*MACRO!AH3</f>
        <v>-118.42200000000001</v>
      </c>
      <c r="AI696" s="1027">
        <f>AI708*MACRO!AI3</f>
        <v>-116.76825000000001</v>
      </c>
      <c r="AJ696" s="1027">
        <f>AJ708*MACRO!AJ3</f>
        <v>-111.21300000000001</v>
      </c>
      <c r="AK696" s="1027">
        <f>AK708*MACRO!AK3</f>
        <v>-109.91249999999999</v>
      </c>
      <c r="AL696" s="795">
        <f>AL708*MACRO!AL3</f>
        <v>-111.5055</v>
      </c>
      <c r="AM696" s="1945">
        <f>AM708*MACRO!AM3</f>
        <v>-111.40875000000001</v>
      </c>
      <c r="AN696" s="795">
        <f>AN708*MACRO!AN3</f>
        <v>-115.965</v>
      </c>
      <c r="AO696" s="795">
        <f>AO708*MACRO!AO3</f>
        <v>-124.79174999999999</v>
      </c>
      <c r="AP696" s="795">
        <f>AP708*MACRO!AP3</f>
        <v>-131.28524999999999</v>
      </c>
      <c r="AQ696" s="795">
        <f>AQ708*MACRO!AQ3</f>
        <v>-131.625</v>
      </c>
      <c r="AR696" s="795">
        <f>AR708*MACRO!AR3</f>
        <v>-127.12500000000001</v>
      </c>
      <c r="AS696" s="795">
        <f>AS708*MACRO!AS3</f>
        <v>-122.60925</v>
      </c>
      <c r="AT696" s="795">
        <f>AT708*MACRO!AT3</f>
        <v>-121.437</v>
      </c>
      <c r="AU696" s="795">
        <f>AU708*MACRO!AU3</f>
        <v>-119.25</v>
      </c>
      <c r="AV696" s="795">
        <f>AV708*MACRO!AV3</f>
        <v>-119.40127270494771</v>
      </c>
      <c r="AW696" s="795">
        <f>AW708*MACRO!AW3</f>
        <v>-119.61453749498929</v>
      </c>
      <c r="AX696" s="795">
        <f>AX708*MACRO!AX3</f>
        <v>-120.0676964115564</v>
      </c>
      <c r="AY696" s="795"/>
      <c r="AZ696" s="795"/>
      <c r="BA696" s="991"/>
      <c r="BB696" s="795">
        <v>-121.437</v>
      </c>
      <c r="BC696" s="2199"/>
      <c r="BJ696" s="2131"/>
      <c r="BK696" s="795">
        <f>+SUM(W696:Z696)</f>
        <v>-198.47172</v>
      </c>
      <c r="BL696" s="795">
        <f>BL708*MACRO!BJ3</f>
        <v>-485.91224999999997</v>
      </c>
      <c r="BM696" s="795">
        <f>BM708*MACRO!BK3</f>
        <v>-464.97600000000006</v>
      </c>
      <c r="BN696" s="795">
        <f>BN708*MACRO!BL3</f>
        <v>-449.39925000000005</v>
      </c>
      <c r="BO696" s="1945">
        <f>BO708*MACRO!BM3</f>
        <v>-483.45074999999997</v>
      </c>
      <c r="BP696" s="795">
        <f>BP708*MACRO!BN3</f>
        <v>-502.79624999999999</v>
      </c>
      <c r="BQ696" s="795">
        <f>BQ708*MACRO!BO3</f>
        <v>-478.33350661149348</v>
      </c>
      <c r="BR696" s="795">
        <f>BR708*MACRO!BP3</f>
        <v>0</v>
      </c>
      <c r="BS696" s="795">
        <f>BS708*MACRO!BQ3</f>
        <v>0</v>
      </c>
      <c r="BT696" s="795">
        <f>BT708*MACRO!BR3</f>
        <v>0</v>
      </c>
      <c r="BU696" s="795">
        <f>BU708*MACRO!BS3</f>
        <v>0</v>
      </c>
    </row>
    <row r="697" spans="1:86" ht="15" hidden="1" customHeight="1">
      <c r="A697" s="792"/>
      <c r="B697" s="717" t="s">
        <v>274</v>
      </c>
      <c r="G697" s="752"/>
      <c r="H697" s="752"/>
      <c r="I697" s="752"/>
      <c r="J697" s="752"/>
      <c r="K697" s="752"/>
      <c r="L697" s="752"/>
      <c r="M697" s="752"/>
      <c r="N697" s="752"/>
      <c r="O697" s="752"/>
      <c r="P697" s="752"/>
      <c r="Q697" s="752"/>
      <c r="R697" s="752"/>
      <c r="S697" s="1942"/>
      <c r="T697" s="752"/>
      <c r="U697" s="752"/>
      <c r="V697" s="752"/>
      <c r="W697" s="1942">
        <f t="shared" ref="W697:AT697" si="4809">+W696/W$8</f>
        <v>-2.3929705425399469E-3</v>
      </c>
      <c r="X697" s="752">
        <f t="shared" si="4809"/>
        <v>-2.0677943789903248E-3</v>
      </c>
      <c r="Y697" s="752">
        <f t="shared" si="4809"/>
        <v>-2.7689559086263816E-3</v>
      </c>
      <c r="Z697" s="752">
        <f t="shared" si="4809"/>
        <v>-7.7783078213461924E-3</v>
      </c>
      <c r="AA697" s="752">
        <f t="shared" si="4809"/>
        <v>-1.0233786103440555E-2</v>
      </c>
      <c r="AB697" s="752">
        <f t="shared" si="4809"/>
        <v>-4.2507970244420835E-3</v>
      </c>
      <c r="AC697" s="752">
        <f t="shared" si="4809"/>
        <v>0</v>
      </c>
      <c r="AD697" s="752">
        <f t="shared" si="4809"/>
        <v>-8.3651234773347537E-3</v>
      </c>
      <c r="AE697" s="752">
        <f t="shared" si="4809"/>
        <v>-1.1047030633339595E-2</v>
      </c>
      <c r="AF697" s="752">
        <f t="shared" si="4809"/>
        <v>-9.8358277810800497E-3</v>
      </c>
      <c r="AG697" s="752">
        <f t="shared" si="4809"/>
        <v>-1.388829500654221E-2</v>
      </c>
      <c r="AH697" s="752">
        <f t="shared" si="4809"/>
        <v>-8.7709604787580744E-3</v>
      </c>
      <c r="AI697" s="752">
        <f t="shared" si="4809"/>
        <v>-1.2217574863456589E-2</v>
      </c>
      <c r="AJ697" s="752">
        <f t="shared" si="4809"/>
        <v>-1.0918510417645699E-2</v>
      </c>
      <c r="AK697" s="752">
        <f t="shared" si="4809"/>
        <v>-1.1189943105763172E-2</v>
      </c>
      <c r="AL697" s="752">
        <f t="shared" si="4809"/>
        <v>-1.2950847280456219E-2</v>
      </c>
      <c r="AM697" s="1942">
        <f t="shared" si="4809"/>
        <v>-1.7484384563474006E-2</v>
      </c>
      <c r="AN697" s="752">
        <f t="shared" si="4809"/>
        <v>-1.4596628881411092E-2</v>
      </c>
      <c r="AO697" s="752">
        <f t="shared" si="4809"/>
        <v>-1.5795063938946141E-2</v>
      </c>
      <c r="AP697" s="752">
        <f t="shared" si="4809"/>
        <v>-1.4011830814549179E-2</v>
      </c>
      <c r="AQ697" s="752">
        <f t="shared" si="4809"/>
        <v>-1.9300136365635861E-2</v>
      </c>
      <c r="AR697" s="752">
        <f t="shared" si="4809"/>
        <v>-1.684689699041864E-2</v>
      </c>
      <c r="AS697" s="752">
        <f t="shared" si="4809"/>
        <v>-1.7854849279161207E-2</v>
      </c>
      <c r="AT697" s="752">
        <f t="shared" si="4809"/>
        <v>-1.4698257080610021E-2</v>
      </c>
      <c r="AU697" s="752">
        <f t="shared" ref="AU697:AX697" si="4810">+AU696/AU$8</f>
        <v>-1.9806380681691629E-2</v>
      </c>
      <c r="AV697" s="752">
        <f t="shared" si="4810"/>
        <v>-1.5662094392896311E-2</v>
      </c>
      <c r="AW697" s="752">
        <f t="shared" si="4810"/>
        <v>-1.621315470024948E-2</v>
      </c>
      <c r="AX697" s="752">
        <f t="shared" si="4810"/>
        <v>-1.2882868748876041E-2</v>
      </c>
      <c r="AY697" s="752"/>
      <c r="AZ697" s="752"/>
      <c r="BA697" s="984"/>
      <c r="BB697" s="752">
        <v>-1.4452440971285835E-2</v>
      </c>
      <c r="BC697" s="2199"/>
      <c r="BK697" s="752">
        <f>+BK696/BK$8</f>
        <v>-4.161094408453362E-3</v>
      </c>
      <c r="BL697" s="752">
        <f t="shared" ref="BL697:BU697" si="4811">+BL696/BL8</f>
        <v>-9.4088445556325777E-3</v>
      </c>
      <c r="BM697" s="752">
        <f t="shared" si="4811"/>
        <v>-9.8702996905023731E-3</v>
      </c>
      <c r="BN697" s="752">
        <f t="shared" si="4811"/>
        <v>-1.1771938790406786E-2</v>
      </c>
      <c r="BO697" s="1942">
        <f t="shared" si="4811"/>
        <v>-1.5305456697063088E-2</v>
      </c>
      <c r="BP697" s="752">
        <f t="shared" si="4811"/>
        <v>-1.7046945563285731E-2</v>
      </c>
      <c r="BQ697" s="752">
        <f t="shared" si="4811"/>
        <v>-1.5764762021182661E-2</v>
      </c>
      <c r="BR697" s="752">
        <f t="shared" si="4811"/>
        <v>0</v>
      </c>
      <c r="BS697" s="752">
        <f t="shared" si="4811"/>
        <v>0</v>
      </c>
      <c r="BT697" s="752">
        <f t="shared" si="4811"/>
        <v>0</v>
      </c>
      <c r="BU697" s="752">
        <f t="shared" si="4811"/>
        <v>0</v>
      </c>
    </row>
    <row r="698" spans="1:86" ht="15" hidden="1" customHeight="1">
      <c r="A698" s="792"/>
      <c r="B698" s="717"/>
      <c r="G698" s="752"/>
      <c r="H698" s="752"/>
      <c r="I698" s="752"/>
      <c r="J698" s="752"/>
      <c r="K698" s="752"/>
      <c r="L698" s="752"/>
      <c r="M698" s="752"/>
      <c r="N698" s="752"/>
      <c r="O698" s="752"/>
      <c r="P698" s="752"/>
      <c r="Q698" s="752"/>
      <c r="R698" s="752"/>
      <c r="S698" s="1942"/>
      <c r="T698" s="752"/>
      <c r="U698" s="752"/>
      <c r="V698" s="752"/>
      <c r="W698" s="1942"/>
      <c r="X698" s="752"/>
      <c r="Y698" s="752"/>
      <c r="Z698" s="752"/>
      <c r="AA698" s="752"/>
      <c r="AB698" s="752"/>
      <c r="AC698" s="752"/>
      <c r="AD698" s="752"/>
      <c r="AE698" s="752"/>
      <c r="AF698" s="752"/>
      <c r="AG698" s="752"/>
      <c r="AH698" s="752"/>
      <c r="AI698" s="752"/>
      <c r="AJ698" s="752"/>
      <c r="AK698" s="752"/>
      <c r="BA698" s="984"/>
      <c r="BC698" s="2199"/>
      <c r="BK698" s="752"/>
      <c r="BL698" s="752"/>
      <c r="BM698" s="752"/>
      <c r="BN698" s="752"/>
      <c r="BO698" s="1942"/>
      <c r="BP698" s="752"/>
      <c r="BQ698" s="752"/>
      <c r="BR698" s="752"/>
      <c r="BS698" s="752"/>
      <c r="BT698" s="752"/>
      <c r="BU698" s="752"/>
    </row>
    <row r="699" spans="1:86" ht="15" hidden="1" customHeight="1">
      <c r="A699" s="792"/>
      <c r="B699" s="720" t="s">
        <v>352</v>
      </c>
      <c r="G699" s="752"/>
      <c r="H699" s="752"/>
      <c r="I699" s="752"/>
      <c r="J699" s="752"/>
      <c r="K699" s="752"/>
      <c r="L699" s="752"/>
      <c r="M699" s="752"/>
      <c r="N699" s="752"/>
      <c r="O699" s="752"/>
      <c r="P699" s="752"/>
      <c r="Q699" s="752"/>
      <c r="R699" s="752"/>
      <c r="S699" s="1942"/>
      <c r="T699" s="752"/>
      <c r="U699" s="752"/>
      <c r="V699" s="752"/>
      <c r="W699" s="1942"/>
      <c r="X699" s="752"/>
      <c r="Y699" s="752"/>
      <c r="Z699" s="752"/>
      <c r="AA699" s="752"/>
      <c r="AB699" s="752"/>
      <c r="AC699" s="752"/>
      <c r="AD699" s="752"/>
      <c r="AE699" s="752"/>
      <c r="AF699" s="752"/>
      <c r="AG699" s="752"/>
      <c r="AH699" s="752"/>
      <c r="AI699" s="752"/>
      <c r="AJ699" s="752"/>
      <c r="AK699" s="752"/>
      <c r="BA699" s="984"/>
      <c r="BC699" s="2199"/>
      <c r="BK699" s="892">
        <f>+BK694+BK692+BK690+BK684-BK701</f>
        <v>0</v>
      </c>
      <c r="BL699" s="892">
        <f t="shared" ref="BL699:BR699" si="4812">+BL694+BL692+BL690+BL684-BL701</f>
        <v>0</v>
      </c>
      <c r="BM699" s="892">
        <f t="shared" ref="BM699:BN699" si="4813">+BM694+BM692+BM690+BM684-BM701</f>
        <v>0</v>
      </c>
      <c r="BN699" s="892">
        <f t="shared" si="4813"/>
        <v>0</v>
      </c>
      <c r="BO699" s="2503">
        <f t="shared" ref="BO699:BP699" si="4814">+BO694+BO692+BO690+BO684-BO701</f>
        <v>0</v>
      </c>
      <c r="BP699" s="892">
        <f t="shared" si="4814"/>
        <v>0</v>
      </c>
      <c r="BQ699" s="892">
        <f t="shared" ref="BQ699" si="4815">+BQ694+BQ692+BQ690+BQ684-BQ701</f>
        <v>0</v>
      </c>
      <c r="BR699" s="892">
        <f t="shared" si="4812"/>
        <v>0</v>
      </c>
      <c r="BS699" s="892">
        <f t="shared" ref="BS699:BU699" si="4816">+BS694+BS692+BS690+BS684-BS701</f>
        <v>0</v>
      </c>
      <c r="BT699" s="892">
        <f t="shared" si="4816"/>
        <v>0</v>
      </c>
      <c r="BU699" s="892">
        <f t="shared" si="4816"/>
        <v>0</v>
      </c>
    </row>
    <row r="700" spans="1:86" ht="15" hidden="1" customHeight="1">
      <c r="A700" s="792"/>
      <c r="B700" s="717"/>
      <c r="G700" s="752"/>
      <c r="H700" s="752"/>
      <c r="I700" s="752"/>
      <c r="J700" s="752"/>
      <c r="K700" s="752"/>
      <c r="L700" s="752"/>
      <c r="M700" s="752"/>
      <c r="N700" s="752"/>
      <c r="O700" s="752"/>
      <c r="P700" s="752"/>
      <c r="Q700" s="752"/>
      <c r="R700" s="752"/>
      <c r="S700" s="1942"/>
      <c r="T700" s="752"/>
      <c r="U700" s="752"/>
      <c r="V700" s="752"/>
      <c r="W700" s="1942"/>
      <c r="X700" s="752"/>
      <c r="Y700" s="752"/>
      <c r="Z700" s="752"/>
      <c r="AA700" s="752"/>
      <c r="AB700" s="752"/>
      <c r="AC700" s="752"/>
      <c r="AD700" s="752"/>
      <c r="AE700" s="752"/>
      <c r="AF700" s="752"/>
      <c r="AG700" s="752"/>
      <c r="AH700" s="752"/>
      <c r="AI700" s="752"/>
      <c r="AJ700" s="752"/>
      <c r="AK700" s="752"/>
      <c r="BA700" s="984"/>
      <c r="BC700" s="2199"/>
      <c r="BK700" s="752"/>
      <c r="BL700" s="752"/>
      <c r="BM700" s="752"/>
      <c r="BN700" s="752"/>
      <c r="BO700" s="1942"/>
      <c r="BP700" s="752"/>
      <c r="BQ700" s="752"/>
      <c r="BR700" s="752"/>
      <c r="BS700" s="752"/>
      <c r="BT700" s="752"/>
      <c r="BU700" s="752"/>
    </row>
    <row r="701" spans="1:86" s="85" customFormat="1" ht="15" hidden="1" customHeight="1">
      <c r="A701" s="797"/>
      <c r="B701" s="720" t="s">
        <v>406</v>
      </c>
      <c r="G701" s="798"/>
      <c r="H701" s="798"/>
      <c r="I701" s="798"/>
      <c r="J701" s="798"/>
      <c r="K701" s="798"/>
      <c r="L701" s="798"/>
      <c r="M701" s="798"/>
      <c r="N701" s="798"/>
      <c r="O701" s="798"/>
      <c r="P701" s="798"/>
      <c r="Q701" s="798"/>
      <c r="R701" s="798"/>
      <c r="S701" s="1994"/>
      <c r="T701" s="798"/>
      <c r="U701" s="798"/>
      <c r="V701" s="798"/>
      <c r="W701" s="1946">
        <f t="shared" ref="W701:AD701" si="4817">+W694+W692+W690+W684</f>
        <v>1.8570600000000002</v>
      </c>
      <c r="X701" s="799">
        <f>+X704*MACRO!X$3</f>
        <v>134.64000000000001</v>
      </c>
      <c r="Y701" s="799">
        <f t="shared" si="4817"/>
        <v>117.45747000000001</v>
      </c>
      <c r="Z701" s="799">
        <f t="shared" si="4817"/>
        <v>117.45747000000001</v>
      </c>
      <c r="AA701" s="799">
        <f t="shared" si="4817"/>
        <v>303.69515625000008</v>
      </c>
      <c r="AB701" s="799">
        <f t="shared" ref="AB701" si="4818">+AB694+AB692+AB690+AB684</f>
        <v>303.69515625000008</v>
      </c>
      <c r="AC701" s="799">
        <f t="shared" si="4817"/>
        <v>303.69515625000008</v>
      </c>
      <c r="AD701" s="799">
        <f t="shared" si="4817"/>
        <v>303.69515625000008</v>
      </c>
      <c r="AE701" s="799">
        <f t="shared" ref="AE701:AG701" si="4819">+AE694+AE692+AE690+AE684</f>
        <v>406.8540000000001</v>
      </c>
      <c r="AF701" s="799">
        <f t="shared" si="4819"/>
        <v>406.8540000000001</v>
      </c>
      <c r="AG701" s="799">
        <f t="shared" si="4819"/>
        <v>406.8540000000001</v>
      </c>
      <c r="AH701" s="799">
        <f>+AH694+AH692+AH690+AH684</f>
        <v>406.8540000000001</v>
      </c>
      <c r="AI701" s="799">
        <f>+AI694+AI692+AI690+AI684</f>
        <v>406.8540000000001</v>
      </c>
      <c r="AJ701" s="799">
        <f t="shared" ref="AJ701:AL701" si="4820">+AJ694+AJ692+AJ690+AJ684</f>
        <v>406.8540000000001</v>
      </c>
      <c r="AK701" s="799">
        <f t="shared" si="4820"/>
        <v>406.8540000000001</v>
      </c>
      <c r="AL701" s="799">
        <f t="shared" si="4820"/>
        <v>406.8540000000001</v>
      </c>
      <c r="AM701" s="1946">
        <f t="shared" ref="AM701:AP701" si="4821">+AM694+AM692+AM690+AM684</f>
        <v>406.8540000000001</v>
      </c>
      <c r="AN701" s="799">
        <f t="shared" si="4821"/>
        <v>406.8540000000001</v>
      </c>
      <c r="AO701" s="799">
        <f t="shared" si="4821"/>
        <v>406.8540000000001</v>
      </c>
      <c r="AP701" s="799">
        <f t="shared" si="4821"/>
        <v>406.8540000000001</v>
      </c>
      <c r="AQ701" s="799">
        <f t="shared" ref="AQ701:AT701" si="4822">+AQ694+AQ692+AQ690+AQ684</f>
        <v>406.8540000000001</v>
      </c>
      <c r="AR701" s="799">
        <f t="shared" si="4822"/>
        <v>406.8540000000001</v>
      </c>
      <c r="AS701" s="799">
        <f t="shared" si="4822"/>
        <v>406.8540000000001</v>
      </c>
      <c r="AT701" s="799">
        <f t="shared" si="4822"/>
        <v>406.8540000000001</v>
      </c>
      <c r="AU701" s="799">
        <f t="shared" ref="AU701:AX701" si="4823">+AU694+AU692+AU690+AU684</f>
        <v>406.8540000000001</v>
      </c>
      <c r="AV701" s="799">
        <f t="shared" si="4823"/>
        <v>406.8540000000001</v>
      </c>
      <c r="AW701" s="799">
        <f t="shared" si="4823"/>
        <v>406.8540000000001</v>
      </c>
      <c r="AX701" s="799">
        <f t="shared" si="4823"/>
        <v>406.8540000000001</v>
      </c>
      <c r="AY701" s="799"/>
      <c r="AZ701" s="799"/>
      <c r="BA701" s="986"/>
      <c r="BB701" s="799">
        <v>406.8540000000001</v>
      </c>
      <c r="BC701" s="2219"/>
      <c r="BJ701" s="2132"/>
      <c r="BK701" s="799">
        <f>+BK703*MACRO!BI3</f>
        <v>371.41200000000003</v>
      </c>
      <c r="BL701" s="799">
        <f>+BL703*MACRO!BJ3</f>
        <v>1214.7806250000001</v>
      </c>
      <c r="BM701" s="799">
        <f>+BM703*MACRO!BK3</f>
        <v>1627.4160000000002</v>
      </c>
      <c r="BN701" s="799">
        <f>+BN703*MACRO!BL3</f>
        <v>1572.8973750000002</v>
      </c>
      <c r="BO701" s="1946">
        <f>+BO703*MACRO!BM3</f>
        <v>1692.0776249999999</v>
      </c>
      <c r="BP701" s="799">
        <f>+BP703*MACRO!BN3</f>
        <v>1759.786875</v>
      </c>
      <c r="BQ701" s="799">
        <f>+BQ703*MACRO!BO3</f>
        <v>1674.1672731402273</v>
      </c>
      <c r="BR701" s="799">
        <f>+BR703*MACRO!BP3</f>
        <v>2430.2575659281233</v>
      </c>
      <c r="BS701" s="799">
        <f>+BS703*MACRO!BQ3</f>
        <v>2469.7229009981215</v>
      </c>
      <c r="BT701" s="799">
        <f>+BT703*MACRO!BR3</f>
        <v>2506.7687445130937</v>
      </c>
      <c r="BU701" s="799">
        <f>+BU703*MACRO!BS3</f>
        <v>2544.3702756807902</v>
      </c>
    </row>
    <row r="702" spans="1:86" s="85" customFormat="1" ht="15" hidden="1" customHeight="1">
      <c r="A702" s="797"/>
      <c r="B702" s="720"/>
      <c r="G702" s="798"/>
      <c r="H702" s="798"/>
      <c r="I702" s="798"/>
      <c r="J702" s="798"/>
      <c r="K702" s="798"/>
      <c r="L702" s="798"/>
      <c r="M702" s="798"/>
      <c r="N702" s="798"/>
      <c r="O702" s="798"/>
      <c r="P702" s="798"/>
      <c r="Q702" s="798"/>
      <c r="R702" s="798"/>
      <c r="S702" s="1994"/>
      <c r="T702" s="798"/>
      <c r="U702" s="798"/>
      <c r="V702" s="798"/>
      <c r="W702" s="1946"/>
      <c r="X702" s="799"/>
      <c r="Y702" s="799"/>
      <c r="Z702" s="799"/>
      <c r="AA702" s="799"/>
      <c r="AB702" s="799"/>
      <c r="AC702" s="799"/>
      <c r="AD702" s="799"/>
      <c r="AE702" s="799"/>
      <c r="AF702" s="799"/>
      <c r="AG702" s="799"/>
      <c r="AH702" s="799"/>
      <c r="AI702" s="799"/>
      <c r="AJ702" s="799"/>
      <c r="AK702" s="799"/>
      <c r="AL702" s="799"/>
      <c r="AM702" s="1946"/>
      <c r="AN702" s="799"/>
      <c r="AO702" s="799"/>
      <c r="AP702" s="799"/>
      <c r="AQ702" s="799"/>
      <c r="AR702" s="799"/>
      <c r="AS702" s="799"/>
      <c r="AT702" s="799"/>
      <c r="AU702" s="799"/>
      <c r="AV702" s="799"/>
      <c r="AW702" s="799"/>
      <c r="AX702" s="799"/>
      <c r="AY702" s="799"/>
      <c r="AZ702" s="799"/>
      <c r="BA702" s="986"/>
      <c r="BB702" s="799"/>
      <c r="BC702" s="2219"/>
      <c r="BJ702" s="2132"/>
      <c r="BK702" s="799"/>
      <c r="BL702" s="799"/>
      <c r="BM702" s="799"/>
      <c r="BN702" s="799"/>
      <c r="BO702" s="1946"/>
      <c r="BP702" s="799"/>
      <c r="BQ702" s="799"/>
      <c r="BR702" s="799"/>
      <c r="BS702" s="799"/>
      <c r="BT702" s="799"/>
      <c r="BU702" s="799"/>
    </row>
    <row r="703" spans="1:86" s="85" customFormat="1" ht="15" hidden="1" customHeight="1">
      <c r="A703" s="797"/>
      <c r="B703" s="720" t="s">
        <v>407</v>
      </c>
      <c r="G703" s="798"/>
      <c r="H703" s="798"/>
      <c r="I703" s="798"/>
      <c r="J703" s="798"/>
      <c r="K703" s="798"/>
      <c r="L703" s="798"/>
      <c r="M703" s="798"/>
      <c r="N703" s="798"/>
      <c r="O703" s="798"/>
      <c r="P703" s="798"/>
      <c r="Q703" s="798"/>
      <c r="R703" s="798"/>
      <c r="S703" s="1994"/>
      <c r="T703" s="798"/>
      <c r="U703" s="798"/>
      <c r="V703" s="798"/>
      <c r="W703" s="1947">
        <f>+W701/MACRO!W3</f>
        <v>0.41520815632965169</v>
      </c>
      <c r="X703" s="1181">
        <f>+X701/MACRO!X3</f>
        <v>25.000000000000004</v>
      </c>
      <c r="Y703" s="1181">
        <f>+Y701/MACRO!Y3</f>
        <v>21.831431917029107</v>
      </c>
      <c r="Z703" s="1181">
        <f>+Z701/MACRO!Z3</f>
        <v>21.769121135740235</v>
      </c>
      <c r="AA703" s="1181">
        <f>+AA701/MACRO!AA3</f>
        <v>55.369315074112585</v>
      </c>
      <c r="AB703" s="1181">
        <f>+AB701/MACRO!AB3</f>
        <v>57.370250160571274</v>
      </c>
      <c r="AC703" s="1181">
        <f>+AC701/MACRO!AC3</f>
        <v>58.042382174187274</v>
      </c>
      <c r="AD703" s="1181">
        <f>+AD701/MACRO!AD3</f>
        <v>54.374009677188347</v>
      </c>
      <c r="AE703" s="1181">
        <f>+AE701/MACRO!AE3</f>
        <v>77.866794258373233</v>
      </c>
      <c r="AF703" s="1181">
        <f>+AF701/MACRO!AF3</f>
        <v>82.569712221455561</v>
      </c>
      <c r="AG703" s="1181">
        <f>+AG701/MACRO!AG3</f>
        <v>77.496000000000024</v>
      </c>
      <c r="AH703" s="1181">
        <f>+AH701/MACRO!AH3</f>
        <v>77.301641586867319</v>
      </c>
      <c r="AI703" s="1181">
        <f>+AI701/MACRO!AI3</f>
        <v>78.396439100526052</v>
      </c>
      <c r="AJ703" s="1181">
        <f>+AJ701/MACRO!AJ3</f>
        <v>82.312454479242547</v>
      </c>
      <c r="AK703" s="1181">
        <f>+AK701/MACRO!AK3</f>
        <v>83.28638689866942</v>
      </c>
      <c r="AL703" s="1181">
        <f>+AL701/MACRO!AL3</f>
        <v>82.096533354856959</v>
      </c>
      <c r="AM703" s="1947">
        <f>+AM701/MACRO!AM3</f>
        <v>82.167827930930031</v>
      </c>
      <c r="AN703" s="1181">
        <f>+AN701/MACRO!AN3</f>
        <v>78.939464493597228</v>
      </c>
      <c r="AO703" s="1181">
        <f>+AO701/MACRO!AO3</f>
        <v>73.355930981014396</v>
      </c>
      <c r="AP703" s="1181">
        <f>+AP701/MACRO!AP3</f>
        <v>69.727673139214048</v>
      </c>
      <c r="AQ703" s="1181">
        <f>+AQ701/MACRO!AQ3</f>
        <v>69.54769230769233</v>
      </c>
      <c r="AR703" s="1181">
        <f>+AR701/MACRO!AR3</f>
        <v>72.009557522123913</v>
      </c>
      <c r="AS703" s="1181">
        <f>+AS701/MACRO!AS3</f>
        <v>74.661699667847259</v>
      </c>
      <c r="AT703" s="1181">
        <f>+AT701/MACRO!AT3</f>
        <v>75.382420514340794</v>
      </c>
      <c r="AU703" s="1181">
        <f>+AU701/MACRO!AU3</f>
        <v>76.76490566037738</v>
      </c>
      <c r="AV703" s="1181">
        <f>+AV701/MACRO!AV3</f>
        <v>76.66765012313536</v>
      </c>
      <c r="AW703" s="1181">
        <f>+AW701/MACRO!AW3</f>
        <v>76.530956785946486</v>
      </c>
      <c r="AX703" s="1181">
        <f>+AX701/MACRO!AX3</f>
        <v>76.242114020594457</v>
      </c>
      <c r="AY703" s="1181"/>
      <c r="AZ703" s="1181"/>
      <c r="BA703" s="986"/>
      <c r="BB703" s="1181">
        <v>75.382420514340794</v>
      </c>
      <c r="BC703" s="2219"/>
      <c r="BJ703" s="2132"/>
      <c r="BK703" s="799">
        <f t="shared" ref="BK703:BR703" si="4824">+BK706*BK705</f>
        <v>72</v>
      </c>
      <c r="BL703" s="799">
        <f t="shared" si="4824"/>
        <v>225</v>
      </c>
      <c r="BM703" s="799">
        <f t="shared" ref="BM703:BN703" si="4825">+BM706*BM705</f>
        <v>315</v>
      </c>
      <c r="BN703" s="799">
        <f t="shared" si="4825"/>
        <v>315</v>
      </c>
      <c r="BO703" s="1946">
        <f t="shared" ref="BO703:BP703" si="4826">+BO706*BO705</f>
        <v>315</v>
      </c>
      <c r="BP703" s="799">
        <f t="shared" si="4826"/>
        <v>315</v>
      </c>
      <c r="BQ703" s="799">
        <f t="shared" ref="BQ703" si="4827">+BQ706*BQ705</f>
        <v>315</v>
      </c>
      <c r="BR703" s="799">
        <f t="shared" si="4824"/>
        <v>450</v>
      </c>
      <c r="BS703" s="799">
        <f t="shared" ref="BS703:BU703" si="4828">+BS706*BS705</f>
        <v>450</v>
      </c>
      <c r="BT703" s="799">
        <f t="shared" si="4828"/>
        <v>450</v>
      </c>
      <c r="BU703" s="799">
        <f t="shared" si="4828"/>
        <v>450</v>
      </c>
    </row>
    <row r="704" spans="1:86" s="85" customFormat="1" ht="15.75" hidden="1" customHeight="1" thickBot="1">
      <c r="A704" s="797"/>
      <c r="B704" s="720" t="s">
        <v>408</v>
      </c>
      <c r="G704" s="798"/>
      <c r="H704" s="798"/>
      <c r="I704" s="798"/>
      <c r="J704" s="798"/>
      <c r="K704" s="892"/>
      <c r="L704" s="798"/>
      <c r="M704" s="798"/>
      <c r="N704" s="798"/>
      <c r="O704" s="798"/>
      <c r="P704" s="798"/>
      <c r="Q704" s="798"/>
      <c r="R704" s="798"/>
      <c r="S704" s="1994"/>
      <c r="T704" s="798"/>
      <c r="U704" s="798"/>
      <c r="V704" s="798"/>
      <c r="W704" s="1948">
        <v>3.3</v>
      </c>
      <c r="X704" s="1028">
        <v>25</v>
      </c>
      <c r="Y704" s="1028">
        <v>20</v>
      </c>
      <c r="Z704" s="1028">
        <v>25</v>
      </c>
      <c r="AA704" s="1028"/>
      <c r="AB704" s="1028"/>
      <c r="AC704" s="1028">
        <f>+AC701/MACRO!AC3</f>
        <v>58.042382174187274</v>
      </c>
      <c r="AD704" s="1028">
        <f>+AD701/MACRO!AD3</f>
        <v>54.374009677188347</v>
      </c>
      <c r="AE704" s="1028">
        <f>+AE701/MACRO!AE3</f>
        <v>77.866794258373233</v>
      </c>
      <c r="AF704" s="1028">
        <f>+AF701/MACRO!AF3</f>
        <v>82.569712221455561</v>
      </c>
      <c r="AG704" s="1028">
        <f>+AG701/MACRO!AG3</f>
        <v>77.496000000000024</v>
      </c>
      <c r="AH704" s="1028">
        <f>+AH701/MACRO!AH3</f>
        <v>77.301641586867319</v>
      </c>
      <c r="AI704" s="1028">
        <f>+AI701/MACRO!AI3</f>
        <v>78.396439100526052</v>
      </c>
      <c r="AJ704" s="1028">
        <f>+AJ701/MACRO!AJ3</f>
        <v>82.312454479242547</v>
      </c>
      <c r="AK704" s="1028">
        <f>+AK701/MACRO!AK3</f>
        <v>83.28638689866942</v>
      </c>
      <c r="AL704" s="1180">
        <f>+AL701/MACRO!AL3</f>
        <v>82.096533354856959</v>
      </c>
      <c r="AM704" s="2443">
        <f>+AM701/MACRO!AM3</f>
        <v>82.167827930930031</v>
      </c>
      <c r="AN704" s="1180">
        <f>+AN701/MACRO!AN3</f>
        <v>78.939464493597228</v>
      </c>
      <c r="AO704" s="1180">
        <f>+AO701/MACRO!AO3</f>
        <v>73.355930981014396</v>
      </c>
      <c r="AP704" s="1180">
        <f>+AP701/MACRO!AP3</f>
        <v>69.727673139214048</v>
      </c>
      <c r="AQ704" s="1180">
        <f>+AQ701/MACRO!AQ3</f>
        <v>69.54769230769233</v>
      </c>
      <c r="AR704" s="1180">
        <f>+AR701/MACRO!AR3</f>
        <v>72.009557522123913</v>
      </c>
      <c r="AS704" s="1180">
        <f>+AS701/MACRO!AS3</f>
        <v>74.661699667847259</v>
      </c>
      <c r="AT704" s="1180">
        <f>+AT701/MACRO!AT3</f>
        <v>75.382420514340794</v>
      </c>
      <c r="AU704" s="1180">
        <f>+AU701/MACRO!AU3</f>
        <v>76.76490566037738</v>
      </c>
      <c r="AV704" s="1180">
        <f>+AV701/MACRO!AV3</f>
        <v>76.66765012313536</v>
      </c>
      <c r="AW704" s="1180">
        <f>+AW701/MACRO!AW3</f>
        <v>76.530956785946486</v>
      </c>
      <c r="AX704" s="1180">
        <f>+AX701/MACRO!AX3</f>
        <v>76.242114020594457</v>
      </c>
      <c r="AY704" s="1180"/>
      <c r="AZ704" s="1180"/>
      <c r="BA704" s="986"/>
      <c r="BB704" s="1180">
        <v>75.382420514340794</v>
      </c>
      <c r="BC704" s="2219"/>
      <c r="BJ704" s="2132"/>
      <c r="BK704" s="799">
        <f>+SUM(W704:Z704)</f>
        <v>73.3</v>
      </c>
      <c r="BL704" s="799">
        <f>+SUM(AA704:AD704)</f>
        <v>112.41639185137562</v>
      </c>
      <c r="BM704" s="799">
        <f>+SUM(AE704:AH704)</f>
        <v>315.23414806669615</v>
      </c>
      <c r="BN704" s="799">
        <f>+SUM(AI704:AL704)</f>
        <v>326.09181383329496</v>
      </c>
      <c r="BO704" s="1946">
        <f>+SUM(AM704:AP704)</f>
        <v>304.19089654475573</v>
      </c>
      <c r="BP704" s="799">
        <f>+SUM(AQ704:AT704)</f>
        <v>291.60137001200428</v>
      </c>
      <c r="BQ704" s="799">
        <f>+SUM(AU704:AX704)</f>
        <v>306.20562659005367</v>
      </c>
    </row>
    <row r="705" spans="1:74" ht="25.5" hidden="1" customHeight="1" thickBot="1">
      <c r="A705" s="792"/>
      <c r="B705" s="720"/>
      <c r="G705" s="752"/>
      <c r="H705" s="752"/>
      <c r="I705" s="752"/>
      <c r="J705" s="752"/>
      <c r="K705" s="752"/>
      <c r="L705" s="752"/>
      <c r="M705" s="752"/>
      <c r="N705" s="752"/>
      <c r="O705" s="752"/>
      <c r="P705" s="752"/>
      <c r="Q705" s="752"/>
      <c r="R705" s="752"/>
      <c r="S705" s="1942"/>
      <c r="T705" s="752"/>
      <c r="U705" s="752"/>
      <c r="V705" s="752"/>
      <c r="W705" s="1942"/>
      <c r="X705" s="752"/>
      <c r="Y705" s="752"/>
      <c r="Z705" s="752"/>
      <c r="AA705" s="752"/>
      <c r="AB705" s="752"/>
      <c r="AC705" s="752"/>
      <c r="AD705" s="752"/>
      <c r="AE705" s="752"/>
      <c r="AF705" s="752"/>
      <c r="AG705" s="752"/>
      <c r="AH705" s="752"/>
      <c r="AI705" s="752"/>
      <c r="AJ705" s="752"/>
      <c r="AK705" s="752"/>
      <c r="BA705" s="984"/>
      <c r="BC705" s="2199"/>
      <c r="BI705" s="89"/>
      <c r="BJ705" s="2133" t="s">
        <v>409</v>
      </c>
      <c r="BK705" s="913">
        <v>450</v>
      </c>
      <c r="BL705" s="913">
        <v>450</v>
      </c>
      <c r="BM705" s="913">
        <v>450</v>
      </c>
      <c r="BN705" s="913">
        <v>450</v>
      </c>
      <c r="BO705" s="2504">
        <v>450</v>
      </c>
      <c r="BP705" s="913">
        <v>450</v>
      </c>
      <c r="BQ705" s="913">
        <v>450</v>
      </c>
      <c r="BR705" s="913">
        <v>450</v>
      </c>
      <c r="BS705" s="913">
        <v>450</v>
      </c>
      <c r="BT705" s="913">
        <v>450</v>
      </c>
      <c r="BU705" s="913">
        <v>450</v>
      </c>
      <c r="BV705" s="1193" t="s">
        <v>410</v>
      </c>
    </row>
    <row r="706" spans="1:74" ht="15" hidden="1" customHeight="1">
      <c r="A706" s="792"/>
      <c r="B706" s="717" t="s">
        <v>411</v>
      </c>
      <c r="G706" s="752"/>
      <c r="H706" s="752"/>
      <c r="I706" s="752"/>
      <c r="J706" s="752"/>
      <c r="K706" s="977"/>
      <c r="L706" s="752"/>
      <c r="M706" s="752"/>
      <c r="N706" s="752"/>
      <c r="O706" s="752"/>
      <c r="P706" s="752"/>
      <c r="Q706" s="752"/>
      <c r="R706" s="752"/>
      <c r="S706" s="1942"/>
      <c r="T706" s="752"/>
      <c r="U706" s="752"/>
      <c r="V706" s="752"/>
      <c r="W706" s="1942">
        <f>+W704/W703</f>
        <v>7.9478207489257207</v>
      </c>
      <c r="X706" s="752">
        <f t="shared" ref="X706:AD706" si="4829">+X704/X703</f>
        <v>0.99999999999999989</v>
      </c>
      <c r="Y706" s="752">
        <f t="shared" si="4829"/>
        <v>0.91611031635535822</v>
      </c>
      <c r="Z706" s="752">
        <f t="shared" si="4829"/>
        <v>1.1484156776065413</v>
      </c>
      <c r="AA706" s="752">
        <f t="shared" si="4829"/>
        <v>0</v>
      </c>
      <c r="AB706" s="752">
        <f t="shared" ref="AB706" si="4830">+AB704/AB703</f>
        <v>0</v>
      </c>
      <c r="AC706" s="752">
        <f t="shared" si="4829"/>
        <v>1</v>
      </c>
      <c r="AD706" s="752">
        <f t="shared" si="4829"/>
        <v>1</v>
      </c>
      <c r="AE706" s="752">
        <f t="shared" ref="AE706:AH706" si="4831">+AE704/AE703</f>
        <v>1</v>
      </c>
      <c r="AF706" s="752">
        <f t="shared" si="4831"/>
        <v>1</v>
      </c>
      <c r="AG706" s="752">
        <f t="shared" si="4831"/>
        <v>1</v>
      </c>
      <c r="AH706" s="752">
        <f t="shared" si="4831"/>
        <v>1</v>
      </c>
      <c r="AI706" s="752">
        <f t="shared" ref="AI706" si="4832">+AI704/AI703</f>
        <v>1</v>
      </c>
      <c r="AJ706" s="752">
        <f t="shared" ref="AJ706:AL706" si="4833">+AJ704/AJ703</f>
        <v>1</v>
      </c>
      <c r="AK706" s="752">
        <f t="shared" si="4833"/>
        <v>1</v>
      </c>
      <c r="AL706" s="752">
        <f t="shared" si="4833"/>
        <v>1</v>
      </c>
      <c r="AM706" s="1942">
        <f t="shared" ref="AM706:AP706" si="4834">+AM704/AM703</f>
        <v>1</v>
      </c>
      <c r="AN706" s="752">
        <f t="shared" si="4834"/>
        <v>1</v>
      </c>
      <c r="AO706" s="752">
        <f t="shared" si="4834"/>
        <v>1</v>
      </c>
      <c r="AP706" s="752">
        <f t="shared" si="4834"/>
        <v>1</v>
      </c>
      <c r="AQ706" s="752">
        <f t="shared" ref="AQ706:AT706" si="4835">+AQ704/AQ703</f>
        <v>1</v>
      </c>
      <c r="AR706" s="752">
        <f t="shared" si="4835"/>
        <v>1</v>
      </c>
      <c r="AS706" s="752">
        <f t="shared" si="4835"/>
        <v>1</v>
      </c>
      <c r="AT706" s="752">
        <f t="shared" si="4835"/>
        <v>1</v>
      </c>
      <c r="AU706" s="752">
        <f t="shared" ref="AU706:AX706" si="4836">+AU704/AU703</f>
        <v>1</v>
      </c>
      <c r="AV706" s="752">
        <f t="shared" si="4836"/>
        <v>1</v>
      </c>
      <c r="AW706" s="752">
        <f t="shared" si="4836"/>
        <v>1</v>
      </c>
      <c r="AX706" s="752">
        <f t="shared" si="4836"/>
        <v>1</v>
      </c>
      <c r="AY706" s="752"/>
      <c r="AZ706" s="752"/>
      <c r="BA706" s="984"/>
      <c r="BB706" s="752">
        <v>1</v>
      </c>
      <c r="BC706" s="2199"/>
      <c r="BI706" s="738"/>
      <c r="BJ706" s="2134" t="s">
        <v>412</v>
      </c>
      <c r="BK706" s="1182">
        <v>0.16</v>
      </c>
      <c r="BL706" s="1182">
        <v>0.5</v>
      </c>
      <c r="BM706" s="1182">
        <v>0.7</v>
      </c>
      <c r="BN706" s="1182">
        <v>0.7</v>
      </c>
      <c r="BO706" s="2505">
        <v>0.7</v>
      </c>
      <c r="BP706" s="1182">
        <v>0.7</v>
      </c>
      <c r="BQ706" s="1182">
        <v>0.7</v>
      </c>
      <c r="BR706" s="1183">
        <v>1</v>
      </c>
      <c r="BS706" s="1183">
        <v>1</v>
      </c>
      <c r="BT706" s="1183">
        <v>1</v>
      </c>
      <c r="BU706" s="1183">
        <v>1</v>
      </c>
    </row>
    <row r="707" spans="1:74" ht="15" hidden="1" customHeight="1">
      <c r="A707" s="792"/>
      <c r="B707" s="717"/>
      <c r="G707" s="752"/>
      <c r="H707" s="752"/>
      <c r="I707" s="752"/>
      <c r="J707" s="752"/>
      <c r="K707" s="977"/>
      <c r="L707" s="752"/>
      <c r="M707" s="752"/>
      <c r="N707" s="752"/>
      <c r="O707" s="752"/>
      <c r="P707" s="752"/>
      <c r="Q707" s="752"/>
      <c r="R707" s="752"/>
      <c r="S707" s="1942"/>
      <c r="T707" s="752"/>
      <c r="U707" s="752"/>
      <c r="V707" s="752"/>
      <c r="W707" s="1944"/>
      <c r="X707" s="894"/>
      <c r="Y707" s="894"/>
      <c r="Z707" s="894"/>
      <c r="AA707" s="894"/>
      <c r="AB707" s="894"/>
      <c r="AC707" s="894"/>
      <c r="AD707" s="894"/>
      <c r="AE707" s="894"/>
      <c r="AF707" s="894"/>
      <c r="AG707" s="894"/>
      <c r="AH707" s="894"/>
      <c r="AI707" s="894"/>
      <c r="AJ707" s="894"/>
      <c r="AK707" s="894"/>
      <c r="AL707" s="894"/>
      <c r="AM707" s="1944"/>
      <c r="AN707" s="894"/>
      <c r="AO707" s="894"/>
      <c r="AP707" s="894"/>
      <c r="AQ707" s="894"/>
      <c r="AR707" s="894"/>
      <c r="AS707" s="894"/>
      <c r="AT707" s="894"/>
      <c r="AU707" s="894"/>
      <c r="AV707" s="894"/>
      <c r="AW707" s="894"/>
      <c r="AX707" s="894"/>
      <c r="AY707" s="894"/>
      <c r="AZ707" s="894"/>
      <c r="BA707" s="984"/>
      <c r="BB707" s="894"/>
      <c r="BC707" s="2199"/>
      <c r="BK707" s="1021"/>
      <c r="BL707" s="1021"/>
      <c r="BM707" s="1021"/>
      <c r="BN707" s="1021"/>
      <c r="BO707" s="2506"/>
      <c r="BP707" s="1021"/>
      <c r="BQ707" s="1021"/>
      <c r="BR707" s="752"/>
      <c r="BS707" s="752"/>
      <c r="BT707" s="752"/>
      <c r="BU707" s="752"/>
    </row>
    <row r="708" spans="1:74" s="85" customFormat="1" ht="15" hidden="1" customHeight="1">
      <c r="A708" s="797"/>
      <c r="B708" s="974" t="s">
        <v>413</v>
      </c>
      <c r="G708" s="798"/>
      <c r="H708" s="798"/>
      <c r="I708" s="798"/>
      <c r="J708" s="798"/>
      <c r="K708" s="892"/>
      <c r="L708" s="798"/>
      <c r="M708" s="798"/>
      <c r="N708" s="798"/>
      <c r="O708" s="798"/>
      <c r="P708" s="798"/>
      <c r="Q708" s="798"/>
      <c r="R708" s="798"/>
      <c r="S708" s="1994"/>
      <c r="T708" s="798"/>
      <c r="U708" s="798"/>
      <c r="V708" s="798"/>
      <c r="W708" s="1949">
        <f>+$BK708/4</f>
        <v>-18</v>
      </c>
      <c r="X708" s="976">
        <f t="shared" ref="X708:Z708" si="4837">+$BK708/4</f>
        <v>-18</v>
      </c>
      <c r="Y708" s="976">
        <f t="shared" si="4837"/>
        <v>-18</v>
      </c>
      <c r="Z708" s="976">
        <f t="shared" si="4837"/>
        <v>-18</v>
      </c>
      <c r="AA708" s="976">
        <f>+$BL708/4</f>
        <v>-22.5</v>
      </c>
      <c r="AB708" s="976">
        <f>+$BL708/4</f>
        <v>-22.5</v>
      </c>
      <c r="AC708" s="976">
        <f>+$BL708/4</f>
        <v>-22.5</v>
      </c>
      <c r="AD708" s="976">
        <f>+$BL708/4</f>
        <v>-22.5</v>
      </c>
      <c r="AE708" s="976">
        <f>+$BM708/4</f>
        <v>-22.5</v>
      </c>
      <c r="AF708" s="976">
        <f t="shared" ref="AF708:AX708" si="4838">+$BM708/4</f>
        <v>-22.5</v>
      </c>
      <c r="AG708" s="976">
        <f t="shared" si="4838"/>
        <v>-22.5</v>
      </c>
      <c r="AH708" s="976">
        <f t="shared" si="4838"/>
        <v>-22.5</v>
      </c>
      <c r="AI708" s="976">
        <f t="shared" si="4838"/>
        <v>-22.5</v>
      </c>
      <c r="AJ708" s="976">
        <f t="shared" si="4838"/>
        <v>-22.5</v>
      </c>
      <c r="AK708" s="976">
        <f t="shared" si="4838"/>
        <v>-22.5</v>
      </c>
      <c r="AL708" s="976">
        <f t="shared" si="4838"/>
        <v>-22.5</v>
      </c>
      <c r="AM708" s="1949">
        <f t="shared" si="4838"/>
        <v>-22.5</v>
      </c>
      <c r="AN708" s="976">
        <f t="shared" si="4838"/>
        <v>-22.5</v>
      </c>
      <c r="AO708" s="976">
        <f t="shared" si="4838"/>
        <v>-22.5</v>
      </c>
      <c r="AP708" s="976">
        <f t="shared" si="4838"/>
        <v>-22.5</v>
      </c>
      <c r="AQ708" s="976">
        <f t="shared" si="4838"/>
        <v>-22.5</v>
      </c>
      <c r="AR708" s="976">
        <f t="shared" si="4838"/>
        <v>-22.5</v>
      </c>
      <c r="AS708" s="976">
        <f t="shared" si="4838"/>
        <v>-22.5</v>
      </c>
      <c r="AT708" s="976">
        <f t="shared" si="4838"/>
        <v>-22.5</v>
      </c>
      <c r="AU708" s="976">
        <f t="shared" si="4838"/>
        <v>-22.5</v>
      </c>
      <c r="AV708" s="976">
        <f t="shared" si="4838"/>
        <v>-22.5</v>
      </c>
      <c r="AW708" s="976">
        <f t="shared" si="4838"/>
        <v>-22.5</v>
      </c>
      <c r="AX708" s="976">
        <f t="shared" si="4838"/>
        <v>-22.5</v>
      </c>
      <c r="AY708" s="976"/>
      <c r="AZ708" s="976"/>
      <c r="BA708" s="986"/>
      <c r="BB708" s="976">
        <v>-22.5</v>
      </c>
      <c r="BC708" s="2219"/>
      <c r="BI708" s="738"/>
      <c r="BJ708" s="2134" t="s">
        <v>412</v>
      </c>
      <c r="BK708" s="1027">
        <v>-72</v>
      </c>
      <c r="BL708" s="1027">
        <v>-90</v>
      </c>
      <c r="BM708" s="1027">
        <v>-90</v>
      </c>
      <c r="BN708" s="1027">
        <v>-90</v>
      </c>
      <c r="BO708" s="1950">
        <v>-90</v>
      </c>
      <c r="BP708" s="1027">
        <v>-90</v>
      </c>
      <c r="BQ708" s="1027">
        <v>-90</v>
      </c>
      <c r="BR708" s="1027">
        <v>0</v>
      </c>
      <c r="BS708" s="1027">
        <v>0</v>
      </c>
      <c r="BT708" s="1027">
        <v>0</v>
      </c>
      <c r="BU708" s="1027">
        <v>0</v>
      </c>
    </row>
    <row r="709" spans="1:74" s="738" customFormat="1" ht="15" hidden="1" customHeight="1">
      <c r="A709" s="973"/>
      <c r="B709" s="974" t="s">
        <v>414</v>
      </c>
      <c r="G709" s="975"/>
      <c r="H709" s="975"/>
      <c r="I709" s="975"/>
      <c r="J709" s="975"/>
      <c r="K709" s="975"/>
      <c r="L709" s="975"/>
      <c r="M709" s="975"/>
      <c r="N709" s="975"/>
      <c r="O709" s="975"/>
      <c r="P709" s="975"/>
      <c r="Q709" s="975"/>
      <c r="R709" s="975"/>
      <c r="S709" s="1995"/>
      <c r="T709" s="975"/>
      <c r="U709" s="975"/>
      <c r="V709" s="975"/>
      <c r="W709" s="1950">
        <v>-5.2</v>
      </c>
      <c r="X709" s="1027">
        <f>-1.9-1.6</f>
        <v>-3.5</v>
      </c>
      <c r="Y709" s="1027">
        <v>-7</v>
      </c>
      <c r="Z709" s="1027">
        <v>-22</v>
      </c>
      <c r="AA709" s="1027"/>
      <c r="AB709" s="1027"/>
      <c r="AC709" s="1027">
        <f t="shared" ref="AC709:AD709" si="4839">+AC708</f>
        <v>-22.5</v>
      </c>
      <c r="AD709" s="1027">
        <f t="shared" si="4839"/>
        <v>-22.5</v>
      </c>
      <c r="AE709" s="1027">
        <f t="shared" ref="AE709:AH709" si="4840">+AE708</f>
        <v>-22.5</v>
      </c>
      <c r="AF709" s="1027">
        <f t="shared" si="4840"/>
        <v>-22.5</v>
      </c>
      <c r="AG709" s="1027">
        <f t="shared" si="4840"/>
        <v>-22.5</v>
      </c>
      <c r="AH709" s="1027">
        <f t="shared" si="4840"/>
        <v>-22.5</v>
      </c>
      <c r="AI709" s="1027">
        <f t="shared" ref="AI709" si="4841">+AI708</f>
        <v>-22.5</v>
      </c>
      <c r="AJ709" s="1027">
        <f t="shared" ref="AJ709:AL709" si="4842">+AJ708</f>
        <v>-22.5</v>
      </c>
      <c r="AK709" s="1027">
        <f t="shared" si="4842"/>
        <v>-22.5</v>
      </c>
      <c r="AL709" s="740">
        <f t="shared" si="4842"/>
        <v>-22.5</v>
      </c>
      <c r="AM709" s="2444">
        <f t="shared" ref="AM709:AP709" si="4843">+AM708</f>
        <v>-22.5</v>
      </c>
      <c r="AN709" s="740">
        <f t="shared" si="4843"/>
        <v>-22.5</v>
      </c>
      <c r="AO709" s="740">
        <f t="shared" si="4843"/>
        <v>-22.5</v>
      </c>
      <c r="AP709" s="740">
        <f t="shared" si="4843"/>
        <v>-22.5</v>
      </c>
      <c r="AQ709" s="740">
        <f t="shared" ref="AQ709:AT709" si="4844">+AQ708</f>
        <v>-22.5</v>
      </c>
      <c r="AR709" s="740">
        <f t="shared" si="4844"/>
        <v>-22.5</v>
      </c>
      <c r="AS709" s="740">
        <f t="shared" si="4844"/>
        <v>-22.5</v>
      </c>
      <c r="AT709" s="740">
        <f t="shared" si="4844"/>
        <v>-22.5</v>
      </c>
      <c r="AU709" s="740">
        <f t="shared" ref="AU709:AX709" si="4845">+AU708</f>
        <v>-22.5</v>
      </c>
      <c r="AV709" s="740">
        <f t="shared" si="4845"/>
        <v>-22.5</v>
      </c>
      <c r="AW709" s="740">
        <f t="shared" si="4845"/>
        <v>-22.5</v>
      </c>
      <c r="AX709" s="740">
        <f t="shared" si="4845"/>
        <v>-22.5</v>
      </c>
      <c r="AY709" s="740"/>
      <c r="AZ709" s="740"/>
      <c r="BA709" s="992"/>
      <c r="BB709" s="740">
        <v>-22.5</v>
      </c>
      <c r="BC709" s="2219"/>
      <c r="BJ709" s="2134"/>
      <c r="BK709" s="751">
        <f>+SUM(W709:Z709)</f>
        <v>-37.700000000000003</v>
      </c>
      <c r="BL709" s="751">
        <f>+SUM(AA709:AD709)</f>
        <v>-45</v>
      </c>
      <c r="BM709" s="751">
        <f>+SUM(AE709:AH709)</f>
        <v>-90</v>
      </c>
      <c r="BN709" s="751">
        <f>+SUM(AI709:AL709)</f>
        <v>-90</v>
      </c>
      <c r="BO709" s="1952">
        <f>+SUM(AM709:AP709)</f>
        <v>-90</v>
      </c>
      <c r="BP709" s="751">
        <f>+SUM(AQ709:AT709)</f>
        <v>-90</v>
      </c>
      <c r="BQ709" s="751">
        <f>+SUM(AU709:AX709)</f>
        <v>-90</v>
      </c>
    </row>
    <row r="710" spans="1:74" s="738" customFormat="1" ht="15" hidden="1" customHeight="1">
      <c r="A710" s="973"/>
      <c r="B710" s="974"/>
      <c r="G710" s="975"/>
      <c r="H710" s="975"/>
      <c r="I710" s="975"/>
      <c r="J710" s="975"/>
      <c r="K710" s="975"/>
      <c r="L710" s="975"/>
      <c r="M710" s="975"/>
      <c r="N710" s="975"/>
      <c r="O710" s="975"/>
      <c r="P710" s="975"/>
      <c r="Q710" s="975"/>
      <c r="R710" s="975"/>
      <c r="S710" s="1995"/>
      <c r="T710" s="975"/>
      <c r="U710" s="975"/>
      <c r="V710" s="975"/>
      <c r="W710" s="1949"/>
      <c r="X710" s="976"/>
      <c r="Y710" s="976"/>
      <c r="Z710" s="976"/>
      <c r="AA710" s="976"/>
      <c r="AB710" s="976"/>
      <c r="AC710" s="976"/>
      <c r="AD710" s="976"/>
      <c r="AE710" s="976"/>
      <c r="AF710" s="976"/>
      <c r="AG710" s="976"/>
      <c r="AH710" s="976"/>
      <c r="AI710" s="976"/>
      <c r="AJ710" s="976"/>
      <c r="AK710" s="976"/>
      <c r="AL710" s="976"/>
      <c r="AM710" s="1949"/>
      <c r="AN710" s="976"/>
      <c r="AO710" s="976"/>
      <c r="AP710" s="976"/>
      <c r="AQ710" s="976"/>
      <c r="AR710" s="976"/>
      <c r="AS710" s="976"/>
      <c r="AT710" s="976"/>
      <c r="AU710" s="976"/>
      <c r="AV710" s="976"/>
      <c r="AW710" s="976"/>
      <c r="AX710" s="976"/>
      <c r="AY710" s="976"/>
      <c r="AZ710" s="976"/>
      <c r="BA710" s="992"/>
      <c r="BB710" s="976"/>
      <c r="BC710" s="2219"/>
      <c r="BJ710" s="2134"/>
      <c r="BK710" s="976"/>
      <c r="BL710" s="976"/>
      <c r="BM710" s="976"/>
      <c r="BN710" s="976"/>
      <c r="BO710" s="1949"/>
      <c r="BP710" s="976"/>
      <c r="BQ710" s="976"/>
      <c r="BR710" s="976"/>
      <c r="BS710" s="976"/>
      <c r="BT710" s="976"/>
      <c r="BU710" s="976"/>
    </row>
    <row r="711" spans="1:74" s="744" customFormat="1" ht="15" hidden="1" customHeight="1">
      <c r="A711" s="1237"/>
      <c r="B711" s="1238" t="s">
        <v>415</v>
      </c>
      <c r="G711" s="1239"/>
      <c r="H711" s="1239"/>
      <c r="I711" s="1239"/>
      <c r="J711" s="1239"/>
      <c r="K711" s="1239"/>
      <c r="L711" s="1239"/>
      <c r="M711" s="1239"/>
      <c r="N711" s="1239"/>
      <c r="O711" s="1239"/>
      <c r="P711" s="1239"/>
      <c r="Q711" s="1239"/>
      <c r="R711" s="1239"/>
      <c r="S711" s="1996"/>
      <c r="T711" s="1239"/>
      <c r="U711" s="1239"/>
      <c r="V711" s="1239"/>
      <c r="W711" s="1951">
        <f>W713*MACRO!W$3</f>
        <v>-8.4979400000000016</v>
      </c>
      <c r="X711" s="734">
        <f>X712*MACRO!X$3</f>
        <v>37.699200000000019</v>
      </c>
      <c r="Y711" s="734">
        <f>Y712*MACRO!Y$3</f>
        <v>20.613870000000002</v>
      </c>
      <c r="Z711" s="734">
        <f>Z712*MACRO!Z$3</f>
        <v>20.336670000000012</v>
      </c>
      <c r="AA711" s="734">
        <f>AA712*MACRO!AA$3</f>
        <v>180.28490625000009</v>
      </c>
      <c r="AB711" s="734">
        <f>AB712*MACRO!AB$3</f>
        <v>184.58915625000009</v>
      </c>
      <c r="AC711" s="734">
        <f>AC712*MACRO!AC$3</f>
        <v>185.9684062500001</v>
      </c>
      <c r="AD711" s="734">
        <f>AD712*MACRO!AD$3</f>
        <v>178.02590625000008</v>
      </c>
      <c r="AE711" s="734">
        <f>+AE701+AE696</f>
        <v>289.2915000000001</v>
      </c>
      <c r="AF711" s="734">
        <f t="shared" ref="AF711:AH711" si="4846">+AF701+AF696</f>
        <v>295.98750000000013</v>
      </c>
      <c r="AG711" s="734">
        <f t="shared" si="4846"/>
        <v>244.45400000000009</v>
      </c>
      <c r="AH711" s="734">
        <f t="shared" si="4846"/>
        <v>288.43200000000007</v>
      </c>
      <c r="AI711" s="734">
        <f t="shared" ref="AI711" si="4847">+AI701+AI696</f>
        <v>290.08575000000008</v>
      </c>
      <c r="AJ711" s="734">
        <f t="shared" ref="AJ711:AL711" si="4848">+AJ701+AJ696</f>
        <v>295.64100000000008</v>
      </c>
      <c r="AK711" s="734">
        <f t="shared" si="4848"/>
        <v>296.94150000000013</v>
      </c>
      <c r="AL711" s="734">
        <f t="shared" si="4848"/>
        <v>295.34850000000012</v>
      </c>
      <c r="AM711" s="1951">
        <f t="shared" ref="AM711:AP711" si="4849">+AM701+AM696</f>
        <v>295.4452500000001</v>
      </c>
      <c r="AN711" s="734">
        <f t="shared" si="4849"/>
        <v>290.88900000000012</v>
      </c>
      <c r="AO711" s="734">
        <f t="shared" si="4849"/>
        <v>282.06225000000012</v>
      </c>
      <c r="AP711" s="734">
        <f t="shared" si="4849"/>
        <v>275.56875000000014</v>
      </c>
      <c r="AQ711" s="734">
        <f t="shared" ref="AQ711:AT711" si="4850">+AQ701+AQ696</f>
        <v>275.2290000000001</v>
      </c>
      <c r="AR711" s="734">
        <f t="shared" si="4850"/>
        <v>279.7290000000001</v>
      </c>
      <c r="AS711" s="734">
        <f t="shared" si="4850"/>
        <v>284.24475000000007</v>
      </c>
      <c r="AT711" s="734">
        <f t="shared" si="4850"/>
        <v>285.41700000000009</v>
      </c>
      <c r="AU711" s="734">
        <f t="shared" ref="AU711:AX711" si="4851">+AU701+AU696</f>
        <v>287.6040000000001</v>
      </c>
      <c r="AV711" s="734">
        <f t="shared" si="4851"/>
        <v>287.4527272950524</v>
      </c>
      <c r="AW711" s="734">
        <f t="shared" si="4851"/>
        <v>287.23946250501081</v>
      </c>
      <c r="AX711" s="734">
        <f t="shared" si="4851"/>
        <v>286.78630358844373</v>
      </c>
      <c r="AY711" s="939"/>
      <c r="AZ711" s="939"/>
      <c r="BA711" s="992"/>
      <c r="BB711" s="734">
        <v>285.41700000000009</v>
      </c>
      <c r="BC711" s="2220"/>
      <c r="BD711" s="738"/>
      <c r="BH711" s="738"/>
      <c r="BI711" s="738"/>
      <c r="BJ711" s="2134"/>
      <c r="BK711" s="732">
        <f>+BK712*MACRO!BI$3</f>
        <v>0</v>
      </c>
      <c r="BL711" s="732">
        <f>+BL712*MACRO!BJ$3</f>
        <v>728.86837500000001</v>
      </c>
      <c r="BM711" s="732">
        <f>+BM712*MACRO!BK$3</f>
        <v>1162.44</v>
      </c>
      <c r="BN711" s="732">
        <f>+BN712*MACRO!BL$3</f>
        <v>1123.4981250000001</v>
      </c>
      <c r="BO711" s="2507">
        <f>+BO712*MACRO!BM$3</f>
        <v>1208.6268749999999</v>
      </c>
      <c r="BP711" s="732">
        <f>+BP712*MACRO!BN$3</f>
        <v>1256.9906249999999</v>
      </c>
      <c r="BQ711" s="732">
        <f>+BQ712*MACRO!BO$3</f>
        <v>1195.8337665287338</v>
      </c>
      <c r="BR711" s="732">
        <f>+BR712*MACRO!BP$3</f>
        <v>2430.2575659281233</v>
      </c>
      <c r="BS711" s="732">
        <f>+BS712*MACRO!BQ$3</f>
        <v>2469.7229009981215</v>
      </c>
      <c r="BT711" s="732">
        <f>+BT712*MACRO!BR$3</f>
        <v>2506.7687445130937</v>
      </c>
      <c r="BU711" s="732">
        <f>+BU712*MACRO!BS$3</f>
        <v>2544.3702756807902</v>
      </c>
    </row>
    <row r="712" spans="1:74" s="85" customFormat="1" ht="15" hidden="1" customHeight="1">
      <c r="A712" s="797"/>
      <c r="B712" s="720" t="s">
        <v>416</v>
      </c>
      <c r="G712" s="798"/>
      <c r="H712" s="798"/>
      <c r="I712" s="798"/>
      <c r="J712" s="798"/>
      <c r="K712" s="798"/>
      <c r="L712" s="798"/>
      <c r="M712" s="798"/>
      <c r="N712" s="798"/>
      <c r="O712" s="798"/>
      <c r="P712" s="798"/>
      <c r="Q712" s="798"/>
      <c r="R712" s="798"/>
      <c r="S712" s="1994"/>
      <c r="T712" s="798"/>
      <c r="U712" s="798"/>
      <c r="V712" s="798"/>
      <c r="W712" s="1952">
        <f>+W708+W703</f>
        <v>-17.584791843670349</v>
      </c>
      <c r="X712" s="751">
        <f t="shared" ref="X712:AD712" si="4852">+X708+X703</f>
        <v>7.0000000000000036</v>
      </c>
      <c r="Y712" s="751">
        <f t="shared" si="4852"/>
        <v>3.8314319170291071</v>
      </c>
      <c r="Z712" s="751">
        <f t="shared" si="4852"/>
        <v>3.7691211357402352</v>
      </c>
      <c r="AA712" s="751">
        <f t="shared" si="4852"/>
        <v>32.869315074112585</v>
      </c>
      <c r="AB712" s="751">
        <f t="shared" ref="AB712" si="4853">+AB708+AB703</f>
        <v>34.870250160571274</v>
      </c>
      <c r="AC712" s="751">
        <f t="shared" si="4852"/>
        <v>35.542382174187274</v>
      </c>
      <c r="AD712" s="751">
        <f t="shared" si="4852"/>
        <v>31.874009677188347</v>
      </c>
      <c r="AE712" s="751">
        <f t="shared" ref="AE712:AH712" si="4854">+AE708+AE703</f>
        <v>55.366794258373233</v>
      </c>
      <c r="AF712" s="751">
        <f t="shared" si="4854"/>
        <v>60.069712221455561</v>
      </c>
      <c r="AG712" s="751">
        <f t="shared" si="4854"/>
        <v>54.996000000000024</v>
      </c>
      <c r="AH712" s="751">
        <f t="shared" si="4854"/>
        <v>54.801641586867319</v>
      </c>
      <c r="AI712" s="751">
        <f t="shared" ref="AI712" si="4855">+AI708+AI703</f>
        <v>55.896439100526052</v>
      </c>
      <c r="AJ712" s="751">
        <f t="shared" ref="AJ712:AL712" si="4856">+AJ708+AJ703</f>
        <v>59.812454479242547</v>
      </c>
      <c r="AK712" s="751">
        <f t="shared" si="4856"/>
        <v>60.78638689866942</v>
      </c>
      <c r="AL712" s="751">
        <f t="shared" si="4856"/>
        <v>59.596533354856959</v>
      </c>
      <c r="AM712" s="1952">
        <f t="shared" ref="AM712:AP712" si="4857">+AM708+AM703</f>
        <v>59.667827930930031</v>
      </c>
      <c r="AN712" s="751">
        <f t="shared" si="4857"/>
        <v>56.439464493597228</v>
      </c>
      <c r="AO712" s="751">
        <f t="shared" si="4857"/>
        <v>50.855930981014396</v>
      </c>
      <c r="AP712" s="751">
        <f t="shared" si="4857"/>
        <v>47.227673139214048</v>
      </c>
      <c r="AQ712" s="751">
        <f t="shared" ref="AQ712:AT712" si="4858">+AQ708+AQ703</f>
        <v>47.04769230769233</v>
      </c>
      <c r="AR712" s="751">
        <f t="shared" si="4858"/>
        <v>49.509557522123913</v>
      </c>
      <c r="AS712" s="751">
        <f t="shared" si="4858"/>
        <v>52.161699667847259</v>
      </c>
      <c r="AT712" s="751">
        <f t="shared" si="4858"/>
        <v>52.882420514340794</v>
      </c>
      <c r="AU712" s="751">
        <f t="shared" ref="AU712:AX712" si="4859">+AU708+AU703</f>
        <v>54.26490566037738</v>
      </c>
      <c r="AV712" s="751">
        <f t="shared" si="4859"/>
        <v>54.16765012313536</v>
      </c>
      <c r="AW712" s="751">
        <f t="shared" si="4859"/>
        <v>54.030956785946486</v>
      </c>
      <c r="AX712" s="751">
        <f t="shared" si="4859"/>
        <v>53.742114020594457</v>
      </c>
      <c r="AY712" s="751"/>
      <c r="AZ712" s="751"/>
      <c r="BA712" s="986"/>
      <c r="BB712" s="751">
        <v>52.882420514340794</v>
      </c>
      <c r="BC712" s="2219"/>
      <c r="BJ712" s="2132"/>
      <c r="BK712" s="751">
        <f t="shared" ref="BK712:BR712" si="4860">+BK708+BK703</f>
        <v>0</v>
      </c>
      <c r="BL712" s="751">
        <f t="shared" si="4860"/>
        <v>135</v>
      </c>
      <c r="BM712" s="751">
        <f t="shared" ref="BM712:BN712" si="4861">+BM708+BM703</f>
        <v>225</v>
      </c>
      <c r="BN712" s="751">
        <f t="shared" si="4861"/>
        <v>225</v>
      </c>
      <c r="BO712" s="1952">
        <f t="shared" ref="BO712:BP712" si="4862">+BO708+BO703</f>
        <v>225</v>
      </c>
      <c r="BP712" s="751">
        <f t="shared" si="4862"/>
        <v>225</v>
      </c>
      <c r="BQ712" s="751">
        <f t="shared" ref="BQ712" si="4863">+BQ708+BQ703</f>
        <v>225</v>
      </c>
      <c r="BR712" s="751">
        <f t="shared" si="4860"/>
        <v>450</v>
      </c>
      <c r="BS712" s="751">
        <f t="shared" ref="BS712:BU712" si="4864">+BS708+BS703</f>
        <v>450</v>
      </c>
      <c r="BT712" s="751">
        <f t="shared" si="4864"/>
        <v>450</v>
      </c>
      <c r="BU712" s="751">
        <f t="shared" si="4864"/>
        <v>450</v>
      </c>
    </row>
    <row r="713" spans="1:74" s="85" customFormat="1" ht="15" hidden="1" customHeight="1">
      <c r="A713" s="797"/>
      <c r="B713" s="720" t="s">
        <v>417</v>
      </c>
      <c r="G713" s="798"/>
      <c r="H713" s="798"/>
      <c r="I713" s="798"/>
      <c r="J713" s="798"/>
      <c r="K713" s="798"/>
      <c r="L713" s="798"/>
      <c r="M713" s="798"/>
      <c r="N713" s="798"/>
      <c r="O713" s="798"/>
      <c r="P713" s="798"/>
      <c r="Q713" s="798"/>
      <c r="R713" s="798"/>
      <c r="S713" s="1994"/>
      <c r="T713" s="798"/>
      <c r="U713" s="798"/>
      <c r="V713" s="798"/>
      <c r="W713" s="1952">
        <f>+W709+W704</f>
        <v>-1.9000000000000004</v>
      </c>
      <c r="X713" s="751">
        <f t="shared" ref="X713:AD713" si="4865">+X709+X704</f>
        <v>21.5</v>
      </c>
      <c r="Y713" s="751">
        <f t="shared" si="4865"/>
        <v>13</v>
      </c>
      <c r="Z713" s="751">
        <f t="shared" si="4865"/>
        <v>3</v>
      </c>
      <c r="AA713" s="751">
        <f t="shared" si="4865"/>
        <v>0</v>
      </c>
      <c r="AB713" s="751">
        <f t="shared" ref="AB713" si="4866">+AB709+AB704</f>
        <v>0</v>
      </c>
      <c r="AC713" s="751">
        <f t="shared" si="4865"/>
        <v>35.542382174187274</v>
      </c>
      <c r="AD713" s="751">
        <f t="shared" si="4865"/>
        <v>31.874009677188347</v>
      </c>
      <c r="AE713" s="751">
        <f t="shared" ref="AE713:AH713" si="4867">+AE709+AE704</f>
        <v>55.366794258373233</v>
      </c>
      <c r="AF713" s="751">
        <f t="shared" si="4867"/>
        <v>60.069712221455561</v>
      </c>
      <c r="AG713" s="751">
        <f t="shared" si="4867"/>
        <v>54.996000000000024</v>
      </c>
      <c r="AH713" s="751">
        <f t="shared" si="4867"/>
        <v>54.801641586867319</v>
      </c>
      <c r="AI713" s="751">
        <f t="shared" ref="AI713" si="4868">+AI709+AI704</f>
        <v>55.896439100526052</v>
      </c>
      <c r="AJ713" s="751">
        <f t="shared" ref="AJ713:AL713" si="4869">+AJ709+AJ704</f>
        <v>59.812454479242547</v>
      </c>
      <c r="AK713" s="751">
        <f t="shared" si="4869"/>
        <v>60.78638689866942</v>
      </c>
      <c r="AL713" s="751">
        <f t="shared" si="4869"/>
        <v>59.596533354856959</v>
      </c>
      <c r="AM713" s="1952">
        <f t="shared" ref="AM713:AP713" si="4870">+AM709+AM704</f>
        <v>59.667827930930031</v>
      </c>
      <c r="AN713" s="751">
        <f t="shared" si="4870"/>
        <v>56.439464493597228</v>
      </c>
      <c r="AO713" s="751">
        <f t="shared" si="4870"/>
        <v>50.855930981014396</v>
      </c>
      <c r="AP713" s="751">
        <f t="shared" si="4870"/>
        <v>47.227673139214048</v>
      </c>
      <c r="AQ713" s="751">
        <f t="shared" ref="AQ713:AT713" si="4871">+AQ709+AQ704</f>
        <v>47.04769230769233</v>
      </c>
      <c r="AR713" s="751">
        <f t="shared" si="4871"/>
        <v>49.509557522123913</v>
      </c>
      <c r="AS713" s="751">
        <f t="shared" si="4871"/>
        <v>52.161699667847259</v>
      </c>
      <c r="AT713" s="751">
        <f t="shared" si="4871"/>
        <v>52.882420514340794</v>
      </c>
      <c r="AU713" s="751">
        <f t="shared" ref="AU713:AX713" si="4872">+AU709+AU704</f>
        <v>54.26490566037738</v>
      </c>
      <c r="AV713" s="751">
        <f t="shared" si="4872"/>
        <v>54.16765012313536</v>
      </c>
      <c r="AW713" s="751">
        <f t="shared" si="4872"/>
        <v>54.030956785946486</v>
      </c>
      <c r="AX713" s="751">
        <f t="shared" si="4872"/>
        <v>53.742114020594457</v>
      </c>
      <c r="AY713" s="751"/>
      <c r="AZ713" s="751"/>
      <c r="BA713" s="986"/>
      <c r="BB713" s="751">
        <v>52.882420514340794</v>
      </c>
      <c r="BC713" s="2219"/>
      <c r="BJ713" s="2132"/>
      <c r="BK713" s="751">
        <f t="shared" ref="BK713:BR713" si="4873">+BK709+BK704</f>
        <v>35.599999999999994</v>
      </c>
      <c r="BL713" s="751">
        <f t="shared" si="4873"/>
        <v>67.416391851375622</v>
      </c>
      <c r="BM713" s="751">
        <f t="shared" ref="BM713:BN713" si="4874">+BM709+BM704</f>
        <v>225.23414806669615</v>
      </c>
      <c r="BN713" s="751">
        <f t="shared" si="4874"/>
        <v>236.09181383329496</v>
      </c>
      <c r="BO713" s="1952">
        <f t="shared" ref="BO713:BP713" si="4875">+BO709+BO704</f>
        <v>214.19089654475573</v>
      </c>
      <c r="BP713" s="751">
        <f t="shared" si="4875"/>
        <v>201.60137001200428</v>
      </c>
      <c r="BQ713" s="751">
        <f t="shared" ref="BQ713" si="4876">+BQ709+BQ704</f>
        <v>216.20562659005367</v>
      </c>
      <c r="BR713" s="751">
        <f t="shared" si="4873"/>
        <v>0</v>
      </c>
      <c r="BS713" s="751">
        <f t="shared" ref="BS713:BU713" si="4877">+BS709+BS704</f>
        <v>0</v>
      </c>
      <c r="BT713" s="751">
        <f t="shared" si="4877"/>
        <v>0</v>
      </c>
      <c r="BU713" s="751">
        <f t="shared" si="4877"/>
        <v>0</v>
      </c>
    </row>
    <row r="714" spans="1:74" s="85" customFormat="1" ht="15" hidden="1" customHeight="1">
      <c r="B714" s="720"/>
      <c r="G714" s="798"/>
      <c r="H714" s="798"/>
      <c r="I714" s="798"/>
      <c r="J714" s="798"/>
      <c r="K714" s="798"/>
      <c r="L714" s="798"/>
      <c r="M714" s="798"/>
      <c r="N714" s="798"/>
      <c r="O714" s="798"/>
      <c r="P714" s="798"/>
      <c r="Q714" s="798"/>
      <c r="R714" s="798"/>
      <c r="S714" s="1994"/>
      <c r="T714" s="798"/>
      <c r="U714" s="798"/>
      <c r="V714" s="798"/>
      <c r="W714" s="1952"/>
      <c r="X714" s="751"/>
      <c r="Y714" s="751"/>
      <c r="Z714" s="751"/>
      <c r="AA714" s="751"/>
      <c r="AB714" s="751"/>
      <c r="AC714" s="751"/>
      <c r="AD714" s="751"/>
      <c r="AE714" s="751"/>
      <c r="AF714" s="751"/>
      <c r="AG714" s="751"/>
      <c r="AH714" s="751"/>
      <c r="AI714" s="751"/>
      <c r="AJ714" s="751"/>
      <c r="AK714" s="751"/>
      <c r="AL714" s="751"/>
      <c r="AM714" s="1952"/>
      <c r="AN714" s="751"/>
      <c r="AO714" s="751"/>
      <c r="AP714" s="751"/>
      <c r="AQ714" s="751"/>
      <c r="AR714" s="751"/>
      <c r="AS714" s="751"/>
      <c r="AT714" s="751"/>
      <c r="AU714" s="751"/>
      <c r="AV714" s="751"/>
      <c r="AW714" s="751"/>
      <c r="AX714" s="751"/>
      <c r="AY714" s="751"/>
      <c r="AZ714" s="751"/>
      <c r="BA714" s="986"/>
      <c r="BB714" s="751"/>
      <c r="BC714" s="2219"/>
      <c r="BJ714" s="2132"/>
      <c r="BK714" s="751"/>
      <c r="BL714" s="751"/>
      <c r="BM714" s="751"/>
      <c r="BN714" s="751"/>
      <c r="BO714" s="1952"/>
      <c r="BP714" s="751"/>
      <c r="BQ714" s="751"/>
      <c r="BR714" s="751"/>
      <c r="BS714" s="751"/>
      <c r="BT714" s="751"/>
      <c r="BU714" s="751"/>
    </row>
  </sheetData>
  <mergeCells count="3">
    <mergeCell ref="S137:V137"/>
    <mergeCell ref="S469:V469"/>
    <mergeCell ref="G454:V454"/>
  </mergeCells>
  <phoneticPr fontId="108" type="noConversion"/>
  <pageMargins left="0.511811024" right="0.511811024" top="0.78740157499999996" bottom="0.78740157499999996" header="0.31496062000000002" footer="0.31496062000000002"/>
  <pageSetup paperSize="9" orientation="portrait" r:id="rId1"/>
  <ignoredErrors>
    <ignoredError sqref="BE552:BH559 BK545 BJ28:BJ29 BK57 BK59:BK61 BE58 BK92 BK112 BK387 BE373 BJ395 BK541 BE546 BE569:BH569 BK609 BG615 BK627:BK631 BG619:BG626 BJ637 BK110 BE94 BK64 BK70:BK73 BK75:BK76 BJ6:BJ21 BJ23:BJ26 BK611:BK613 BK68 BK83:BL83 BK66 BK80:BK81 BL79:BL81 BK372 BE247 BE375 BE377:BE380 BE385 BE382:BE383 BK96:BK99 BK104 BK156:BO156 BE160:BE161 BE165:BE166 BJ156 BJ104 BJ96:BJ99 BJ372 BJ79:BJ81 BJ83 BJ611:BJ613 BJ70:BJ76 BJ110 BJ627:BJ631 BJ609 BJ541 BJ387 BJ112 BJ92:BJ94 BJ59:BJ68 BJ57 BJ545 BE545:BH545 BE57:BH57 BE92:BH93 BE387:BH387 BE541:BH541 BG609:BH609 BG627:BH631 BE110:BH112 BG611:BH613 BE83:BH83 BE372:BH372 BE96:BH99 BE104:BH104 BE156:BH156 BE79:BH81 BE23:BH26 BE6:BH21 BE70:BH76 BE59:BH68 BG94:BH94 BG637:BH637 BE395:BH395 BE28:BH29" formulaRange="1"/>
    <ignoredError sqref="R121 BL111 BA547 M615:V615 W691:AA691 W685:AA685 AA690 W693:AA693 X692 W695:AA695 X694 BL546 BH469:BH471 BK407:BL410 BL58 W696 Y696 X696:X702 BL373 AA692 AA694 BK469:BL470 AC685 AC690 AB691:AG695 BL374:BN374 A374:AH374 BA374 BC374:BD374 BV374:XFD374 A157:AL157 BV157:XFD157 BF162:BH162 BC157:BD157 BA157 BK162:BO162 BJ410 BH407:BH410" formula="1"/>
    <ignoredError sqref="BK58 BK111 BK546:BK547 BK614:BK616 BK619:BK626 BJ407:BJ409 BK373:BK375 BK377:BK380 BK385 BK382:BK383 BK157:BO157 BK160:BO160 BF165:BH166 BK165:BO165 BL166:BO166 BJ160 BJ157 BJ382:BJ383 BJ385 BJ377:BJ380 BJ619:BJ626 BJ614:BJ616 BJ546:BJ547 BJ373:BJ375 BJ111 BJ58 BF58:BH58 BF373:BH373 BE547:BH547 BF546:BH546 BH614:BH616 BH619:BH626 BF375:BH375 BE374:BH374 BF377:BH380 BF385:BH385 BF382:BH383 BE157:BH157 BF160:BH161" formula="1" formulaRange="1"/>
    <ignoredError sqref="A491:R491 BA491 BC491:BH491 BV491 BK491:BL491 V491:AC491 BW491:BX491 BY491:XFD491" evalError="1"/>
  </ignoredError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274E-B625-4C37-8E11-1902E34AE36B}">
  <dimension ref="E3:Q28"/>
  <sheetViews>
    <sheetView workbookViewId="0">
      <selection activeCell="N6" sqref="N6"/>
    </sheetView>
  </sheetViews>
  <sheetFormatPr defaultRowHeight="15"/>
  <cols>
    <col min="5" max="5" width="15.5703125" bestFit="1" customWidth="1"/>
    <col min="7" max="7" width="13.28515625" bestFit="1" customWidth="1"/>
    <col min="8" max="8" width="14.28515625" bestFit="1" customWidth="1"/>
    <col min="10" max="11" width="13.28515625" bestFit="1" customWidth="1"/>
    <col min="12" max="12" width="10.5703125" bestFit="1" customWidth="1"/>
    <col min="13" max="13" width="14.28515625" bestFit="1" customWidth="1"/>
    <col min="14" max="14" width="19.42578125" bestFit="1" customWidth="1"/>
    <col min="15" max="15" width="10.5703125" bestFit="1" customWidth="1"/>
    <col min="16" max="16" width="14.28515625" bestFit="1" customWidth="1"/>
  </cols>
  <sheetData>
    <row r="3" spans="5:17">
      <c r="K3" s="139">
        <f>+K6/13000000</f>
        <v>0.26557861538461536</v>
      </c>
      <c r="N3" s="106"/>
    </row>
    <row r="5" spans="5:17">
      <c r="G5" t="s">
        <v>977</v>
      </c>
      <c r="H5">
        <v>2024</v>
      </c>
      <c r="J5" t="s">
        <v>976</v>
      </c>
      <c r="K5">
        <v>2025</v>
      </c>
      <c r="M5">
        <v>2026</v>
      </c>
      <c r="N5" t="s">
        <v>982</v>
      </c>
      <c r="P5">
        <v>2027</v>
      </c>
    </row>
    <row r="6" spans="5:17" s="1002" customFormat="1">
      <c r="F6" s="2650"/>
      <c r="G6" s="2650">
        <f>+G8+G20+G23</f>
        <v>2254320</v>
      </c>
      <c r="H6" s="2650">
        <f>+H8+H20+H23</f>
        <v>3297302</v>
      </c>
      <c r="J6" s="2650">
        <f>+J8+J20+J23</f>
        <v>2636562</v>
      </c>
      <c r="K6" s="2650">
        <f>+K8+K20+K23</f>
        <v>3452522</v>
      </c>
      <c r="M6" s="2650">
        <f>+M8+M20+M23</f>
        <v>4562934.3499999996</v>
      </c>
      <c r="N6" s="2650">
        <f>+M28*N27</f>
        <v>3422200.7624999997</v>
      </c>
      <c r="O6" s="1002">
        <f>+N6-M6</f>
        <v>-1140733.5874999999</v>
      </c>
    </row>
    <row r="7" spans="5:17">
      <c r="F7" s="105"/>
      <c r="G7" s="105"/>
      <c r="H7" s="105"/>
      <c r="J7" s="2652">
        <f>+J6/G6-1</f>
        <v>0.16955977855850102</v>
      </c>
      <c r="K7" s="2652">
        <f>+K6/H6-1</f>
        <v>4.7074850893245479E-2</v>
      </c>
    </row>
    <row r="8" spans="5:17" s="2651" customFormat="1">
      <c r="E8" s="2651" t="s">
        <v>978</v>
      </c>
      <c r="G8" s="2651">
        <v>230176</v>
      </c>
      <c r="H8" s="2651">
        <v>321015</v>
      </c>
      <c r="J8" s="2651">
        <v>303740</v>
      </c>
      <c r="K8" s="2651">
        <v>427603</v>
      </c>
      <c r="M8" s="2651">
        <f>+K8*1.15</f>
        <v>491743.44999999995</v>
      </c>
      <c r="N8" s="2651">
        <f>+M8*N$6/M$6</f>
        <v>368807.58749999997</v>
      </c>
      <c r="P8" s="2651">
        <f>+N8*1.15</f>
        <v>424128.7256249999</v>
      </c>
    </row>
    <row r="9" spans="5:17">
      <c r="E9" s="226" t="s">
        <v>981</v>
      </c>
      <c r="H9" s="140">
        <f>+H8/G8-1</f>
        <v>0.39465018073126656</v>
      </c>
      <c r="K9" s="140">
        <f>+K8/J8-1</f>
        <v>0.40779284914729708</v>
      </c>
    </row>
    <row r="10" spans="5:17">
      <c r="E10" s="226" t="s">
        <v>108</v>
      </c>
      <c r="H10" s="140"/>
      <c r="J10" s="140">
        <f>+J8/G8-1</f>
        <v>0.31959891561240084</v>
      </c>
      <c r="K10" s="140">
        <f>+K8/H8-1</f>
        <v>0.33203432861392779</v>
      </c>
    </row>
    <row r="11" spans="5:17">
      <c r="E11" s="226"/>
      <c r="H11" s="140"/>
      <c r="J11" s="140"/>
      <c r="K11" s="140"/>
    </row>
    <row r="12" spans="5:17">
      <c r="E12" s="226"/>
      <c r="H12" s="140">
        <f>+H18/(8609117+2536438)</f>
        <v>0.26703802547293515</v>
      </c>
      <c r="J12" s="140"/>
      <c r="K12" s="140">
        <f>+K18/(8612735+3096489)</f>
        <v>0.25833641921958278</v>
      </c>
      <c r="N12" s="1002">
        <f>+N18/0.27</f>
        <v>12679233.981481479</v>
      </c>
    </row>
    <row r="13" spans="5:17">
      <c r="E13" s="226"/>
      <c r="H13" s="140"/>
      <c r="J13" s="140"/>
      <c r="K13" s="140"/>
      <c r="N13" s="1002"/>
    </row>
    <row r="14" spans="5:17" s="1002" customFormat="1">
      <c r="E14" s="2653" t="s">
        <v>984</v>
      </c>
      <c r="H14" s="2650">
        <f>10188000+2978000</f>
        <v>13166000</v>
      </c>
      <c r="K14" s="2650">
        <f>9410000+3064000</f>
        <v>12474000</v>
      </c>
      <c r="M14" s="2650">
        <f>+M15+M18</f>
        <v>13520271.9</v>
      </c>
      <c r="N14" s="2650">
        <f>+N15+N18</f>
        <v>12872474.175000001</v>
      </c>
      <c r="P14" s="2650">
        <f>+P15+P18</f>
        <v>13432937.20125</v>
      </c>
      <c r="Q14" s="140">
        <f>+P14/13700000-1</f>
        <v>-1.9493634945255467E-2</v>
      </c>
    </row>
    <row r="15" spans="5:17" s="1002" customFormat="1">
      <c r="E15" s="2653"/>
      <c r="H15" s="2650">
        <f>+H14-H18</f>
        <v>10189713</v>
      </c>
      <c r="K15" s="2650">
        <f>+K14-K18</f>
        <v>9449081</v>
      </c>
      <c r="M15" s="1002">
        <f>+N15</f>
        <v>9449081</v>
      </c>
      <c r="N15" s="2650">
        <f>+K15*(1+N16)</f>
        <v>9449081</v>
      </c>
      <c r="P15" s="2650">
        <f>+N15*(1+P16)</f>
        <v>9921535.0500000007</v>
      </c>
    </row>
    <row r="16" spans="5:17" s="1002" customFormat="1">
      <c r="E16" s="2653"/>
      <c r="H16" s="2650"/>
      <c r="K16" s="2652">
        <f>+K15/H15-1</f>
        <v>-7.2684284630980311E-2</v>
      </c>
      <c r="N16" s="2654">
        <v>0</v>
      </c>
      <c r="P16" s="2654">
        <v>0.05</v>
      </c>
    </row>
    <row r="17" spans="5:16">
      <c r="E17" s="226"/>
      <c r="H17" s="140">
        <f>+H18/H14</f>
        <v>0.22605855992708493</v>
      </c>
      <c r="J17" s="140"/>
      <c r="K17" s="140">
        <f>+K18/K14</f>
        <v>0.24249791566458234</v>
      </c>
      <c r="N17" s="140">
        <v>0.23</v>
      </c>
    </row>
    <row r="18" spans="5:16">
      <c r="E18" s="1247" t="s">
        <v>983</v>
      </c>
      <c r="G18" s="2650">
        <f>+G20+G23</f>
        <v>2024144</v>
      </c>
      <c r="H18" s="2650">
        <f>+H20+H23</f>
        <v>2976287</v>
      </c>
      <c r="J18" s="2650">
        <f>+J20+J23</f>
        <v>2332822</v>
      </c>
      <c r="K18" s="2650">
        <f>+K20+K23</f>
        <v>3024919</v>
      </c>
      <c r="M18" s="2650">
        <f>+M20+M23</f>
        <v>4071190.9</v>
      </c>
      <c r="N18" s="2650">
        <f>+N20+N23</f>
        <v>3423393.1749999998</v>
      </c>
      <c r="P18" s="2650">
        <f>+(N18-370000)*(1+P19)</f>
        <v>3511402.1512499996</v>
      </c>
    </row>
    <row r="19" spans="5:16">
      <c r="E19" s="226"/>
      <c r="G19" s="2650"/>
      <c r="H19" s="2650"/>
      <c r="J19" s="2652">
        <f>+J18/G18-1</f>
        <v>0.15249804361745012</v>
      </c>
      <c r="K19" s="2652">
        <f>+K18/H18-1</f>
        <v>1.6339822066890664E-2</v>
      </c>
      <c r="M19" s="140">
        <f>+M18/K18-1</f>
        <v>0.34588426995896415</v>
      </c>
      <c r="N19" s="2652">
        <f>+N18/K18-1</f>
        <v>0.1317305273298226</v>
      </c>
      <c r="P19" s="2654">
        <v>0.15</v>
      </c>
    </row>
    <row r="20" spans="5:16" s="2651" customFormat="1">
      <c r="E20" s="2651" t="s">
        <v>979</v>
      </c>
      <c r="G20" s="2651">
        <v>1014913</v>
      </c>
      <c r="H20" s="2651">
        <v>1764250</v>
      </c>
      <c r="J20" s="2651">
        <v>1324237</v>
      </c>
      <c r="K20" s="2651">
        <v>1778278</v>
      </c>
      <c r="L20" s="2651">
        <f>+H20*1.3</f>
        <v>2293525</v>
      </c>
      <c r="M20" s="2651">
        <f>+L20*1.15</f>
        <v>2637553.75</v>
      </c>
      <c r="N20" s="2651">
        <f>+M20*N$6/M$6+370000</f>
        <v>2348165.3125</v>
      </c>
    </row>
    <row r="21" spans="5:16">
      <c r="E21" s="226" t="s">
        <v>981</v>
      </c>
      <c r="H21" s="140">
        <f>+H20/G20-1</f>
        <v>0.73832633930198943</v>
      </c>
      <c r="K21" s="140">
        <f>+K20/J20-1</f>
        <v>0.34286989413526436</v>
      </c>
      <c r="L21" s="140">
        <f>+L20/J20-1</f>
        <v>0.73195961145927813</v>
      </c>
    </row>
    <row r="22" spans="5:16">
      <c r="E22" s="226" t="s">
        <v>108</v>
      </c>
      <c r="H22" s="140"/>
      <c r="J22" s="140">
        <f>+J20/G20-1</f>
        <v>0.30477883325959954</v>
      </c>
      <c r="K22" s="140">
        <f>+K20/H20-1</f>
        <v>7.9512540739690163E-3</v>
      </c>
    </row>
    <row r="23" spans="5:16" s="2651" customFormat="1">
      <c r="E23" s="2651" t="s">
        <v>980</v>
      </c>
      <c r="G23" s="2651">
        <v>1009231</v>
      </c>
      <c r="H23" s="2651">
        <v>1212037</v>
      </c>
      <c r="J23" s="2651">
        <v>1008585</v>
      </c>
      <c r="K23" s="2651">
        <v>1246641</v>
      </c>
      <c r="M23" s="2651">
        <f>+K23*1.15</f>
        <v>1433637.15</v>
      </c>
      <c r="N23" s="2651">
        <f>+M23*N$6/M$6</f>
        <v>1075227.8625</v>
      </c>
    </row>
    <row r="24" spans="5:16">
      <c r="E24" s="226" t="s">
        <v>981</v>
      </c>
      <c r="H24" s="140">
        <f>+H23/G23-1</f>
        <v>0.20095102112400443</v>
      </c>
      <c r="K24" s="140">
        <f>+K23/J23-1</f>
        <v>0.23602968515296174</v>
      </c>
    </row>
    <row r="25" spans="5:16">
      <c r="E25" s="226" t="s">
        <v>108</v>
      </c>
      <c r="J25" s="140">
        <f>+J23/G23-1</f>
        <v>-6.4009131705233813E-4</v>
      </c>
      <c r="K25" s="140">
        <f>+K23/H23-1</f>
        <v>2.855028353094835E-2</v>
      </c>
    </row>
    <row r="27" spans="5:16">
      <c r="M27">
        <f>1400/0.25</f>
        <v>5600</v>
      </c>
      <c r="N27">
        <f>+M27-1400</f>
        <v>4200</v>
      </c>
    </row>
    <row r="28" spans="5:16">
      <c r="M28">
        <f>+M6/M27</f>
        <v>814.80970535714278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T469"/>
  <sheetViews>
    <sheetView showGridLines="0" tabSelected="1" topLeftCell="B1" workbookViewId="0">
      <pane xSplit="1" ySplit="2" topLeftCell="AT72" activePane="bottomRight" state="frozen"/>
      <selection pane="topRight" activeCell="C1" sqref="C1"/>
      <selection pane="bottomLeft" activeCell="B3" sqref="B3"/>
      <selection pane="bottomRight" activeCell="AX91" sqref="AX91:AZ93"/>
    </sheetView>
  </sheetViews>
  <sheetFormatPr defaultColWidth="9.140625" defaultRowHeight="15"/>
  <cols>
    <col min="2" max="2" width="46.28515625" style="110" customWidth="1"/>
    <col min="3" max="3" width="10.5703125" hidden="1" customWidth="1"/>
    <col min="4" max="4" width="10.7109375" hidden="1" customWidth="1"/>
    <col min="5" max="12" width="10.5703125" hidden="1" customWidth="1"/>
    <col min="13" max="17" width="10.7109375" hidden="1" customWidth="1"/>
    <col min="18" max="18" width="14.28515625" hidden="1" customWidth="1"/>
    <col min="19" max="19" width="10.7109375" hidden="1" customWidth="1"/>
    <col min="20" max="20" width="13.28515625" hidden="1" customWidth="1"/>
    <col min="21" max="22" width="12" hidden="1" customWidth="1"/>
    <col min="23" max="23" width="13.28515625" hidden="1" customWidth="1"/>
    <col min="24" max="38" width="12" hidden="1" customWidth="1"/>
    <col min="39" max="39" width="12" style="218" customWidth="1"/>
    <col min="40" max="50" width="12" customWidth="1"/>
    <col min="51" max="51" width="9.140625" customWidth="1"/>
    <col min="52" max="52" width="12" customWidth="1"/>
    <col min="53" max="53" width="9.7109375" style="1067" bestFit="1" customWidth="1"/>
    <col min="54" max="55" width="9.140625" customWidth="1"/>
    <col min="56" max="57" width="10.28515625" hidden="1" customWidth="1"/>
    <col min="58" max="62" width="12.7109375" hidden="1" customWidth="1"/>
    <col min="63" max="64" width="10.28515625" bestFit="1" customWidth="1"/>
    <col min="65" max="65" width="13.28515625" style="218" bestFit="1" customWidth="1"/>
    <col min="66" max="67" width="12.7109375" bestFit="1" customWidth="1"/>
    <col min="68" max="71" width="10.5703125" bestFit="1" customWidth="1"/>
  </cols>
  <sheetData>
    <row r="1" spans="1:71">
      <c r="B1" s="290">
        <v>0.39966708676383988</v>
      </c>
    </row>
    <row r="2" spans="1:71" s="281" customFormat="1">
      <c r="A2" s="275"/>
      <c r="B2" s="291" t="s">
        <v>85</v>
      </c>
      <c r="C2" s="282" t="s">
        <v>418</v>
      </c>
      <c r="D2" s="282" t="s">
        <v>419</v>
      </c>
      <c r="E2" s="282" t="s">
        <v>420</v>
      </c>
      <c r="F2" s="282" t="s">
        <v>421</v>
      </c>
      <c r="G2" s="282" t="s">
        <v>422</v>
      </c>
      <c r="H2" s="282" t="s">
        <v>423</v>
      </c>
      <c r="I2" s="282" t="s">
        <v>424</v>
      </c>
      <c r="J2" s="282" t="s">
        <v>425</v>
      </c>
      <c r="K2" s="282" t="s">
        <v>426</v>
      </c>
      <c r="L2" s="282" t="s">
        <v>427</v>
      </c>
      <c r="M2" s="282" t="s">
        <v>428</v>
      </c>
      <c r="N2" s="282" t="s">
        <v>429</v>
      </c>
      <c r="O2" s="282" t="s">
        <v>430</v>
      </c>
      <c r="P2" s="282" t="s">
        <v>431</v>
      </c>
      <c r="Q2" s="282" t="s">
        <v>432</v>
      </c>
      <c r="R2" s="282" t="s">
        <v>433</v>
      </c>
      <c r="S2" s="282" t="s">
        <v>434</v>
      </c>
      <c r="T2" s="282" t="s">
        <v>435</v>
      </c>
      <c r="U2" s="282" t="s">
        <v>436</v>
      </c>
      <c r="V2" s="282" t="s">
        <v>437</v>
      </c>
      <c r="W2" s="282" t="s">
        <v>438</v>
      </c>
      <c r="X2" s="282" t="s">
        <v>439</v>
      </c>
      <c r="Y2" s="282" t="s">
        <v>440</v>
      </c>
      <c r="Z2" s="282" t="s">
        <v>441</v>
      </c>
      <c r="AA2" s="282" t="s">
        <v>442</v>
      </c>
      <c r="AB2" s="282" t="s">
        <v>443</v>
      </c>
      <c r="AC2" s="282" t="s">
        <v>444</v>
      </c>
      <c r="AD2" s="282" t="s">
        <v>445</v>
      </c>
      <c r="AE2" s="282" t="s">
        <v>446</v>
      </c>
      <c r="AF2" s="282" t="s">
        <v>447</v>
      </c>
      <c r="AG2" s="282" t="s">
        <v>448</v>
      </c>
      <c r="AH2" s="282" t="s">
        <v>449</v>
      </c>
      <c r="AI2" s="282" t="s">
        <v>450</v>
      </c>
      <c r="AJ2" s="282" t="s">
        <v>451</v>
      </c>
      <c r="AK2" s="282" t="s">
        <v>452</v>
      </c>
      <c r="AL2" s="282" t="s">
        <v>453</v>
      </c>
      <c r="AM2" s="2508" t="s">
        <v>454</v>
      </c>
      <c r="AN2" s="282" t="s">
        <v>455</v>
      </c>
      <c r="AO2" s="282" t="s">
        <v>456</v>
      </c>
      <c r="AP2" s="282" t="s">
        <v>457</v>
      </c>
      <c r="AQ2" s="282" t="s">
        <v>458</v>
      </c>
      <c r="AR2" s="282" t="s">
        <v>459</v>
      </c>
      <c r="AS2" s="282" t="s">
        <v>460</v>
      </c>
      <c r="AT2" s="282" t="s">
        <v>461</v>
      </c>
      <c r="AU2" s="282" t="s">
        <v>944</v>
      </c>
      <c r="AV2" s="282" t="s">
        <v>945</v>
      </c>
      <c r="AW2" s="282" t="s">
        <v>946</v>
      </c>
      <c r="AX2" s="282" t="s">
        <v>947</v>
      </c>
      <c r="AY2" s="275"/>
      <c r="AZ2" s="282" t="s">
        <v>461</v>
      </c>
      <c r="BA2" s="1086" t="s">
        <v>297</v>
      </c>
      <c r="BB2" s="275"/>
      <c r="BC2" s="275"/>
      <c r="BD2" s="281">
        <v>2015</v>
      </c>
      <c r="BE2" s="281">
        <f>+BD2+1</f>
        <v>2016</v>
      </c>
      <c r="BF2" s="281">
        <f>+BE2+1</f>
        <v>2017</v>
      </c>
      <c r="BG2" s="281">
        <v>2018</v>
      </c>
      <c r="BH2" s="281">
        <v>2019</v>
      </c>
      <c r="BI2" s="281">
        <f t="shared" ref="BI2:BO2" si="0">+BH2+1</f>
        <v>2020</v>
      </c>
      <c r="BJ2" s="281">
        <f t="shared" si="0"/>
        <v>2021</v>
      </c>
      <c r="BK2" s="281">
        <f t="shared" si="0"/>
        <v>2022</v>
      </c>
      <c r="BL2" s="281">
        <f t="shared" si="0"/>
        <v>2023</v>
      </c>
      <c r="BM2" s="291">
        <f t="shared" si="0"/>
        <v>2024</v>
      </c>
      <c r="BN2" s="281">
        <f t="shared" si="0"/>
        <v>2025</v>
      </c>
      <c r="BO2" s="281">
        <f t="shared" si="0"/>
        <v>2026</v>
      </c>
      <c r="BP2" s="281">
        <f t="shared" ref="BP2" si="1">+BO2+1</f>
        <v>2027</v>
      </c>
      <c r="BQ2" s="281">
        <f t="shared" ref="BQ2" si="2">+BP2+1</f>
        <v>2028</v>
      </c>
      <c r="BR2" s="281">
        <f t="shared" ref="BR2" si="3">+BQ2+1</f>
        <v>2029</v>
      </c>
      <c r="BS2" s="281">
        <f t="shared" ref="BS2" si="4">+BR2+1</f>
        <v>2030</v>
      </c>
    </row>
    <row r="3" spans="1:71" s="105" customFormat="1">
      <c r="B3" s="119" t="s">
        <v>103</v>
      </c>
      <c r="C3" s="317">
        <f>+FAT!C8</f>
        <v>2205.8399258293916</v>
      </c>
      <c r="D3" s="317">
        <f>+FAT!D8</f>
        <v>2637.309977278423</v>
      </c>
      <c r="E3" s="317">
        <f>+FAT!E8</f>
        <v>2763.0573708089132</v>
      </c>
      <c r="F3" s="317">
        <f>+FAT!F8</f>
        <v>3200.232814272551</v>
      </c>
      <c r="G3" s="317">
        <f>+FAT!G8</f>
        <v>2320.0279951656412</v>
      </c>
      <c r="H3" s="317">
        <f>+FAT!H8</f>
        <v>2815.4641341387064</v>
      </c>
      <c r="I3" s="317">
        <f>+FAT!I8</f>
        <v>2656.2</v>
      </c>
      <c r="J3" s="317">
        <f>+FAT!J8</f>
        <v>3198.6641059527201</v>
      </c>
      <c r="K3" s="317">
        <f>+FAT!K8</f>
        <v>2395.9488136445721</v>
      </c>
      <c r="L3" s="317">
        <f>+FAT!L8</f>
        <v>2801.6005717910075</v>
      </c>
      <c r="M3" s="317">
        <f>+FAT!M8</f>
        <v>3203.2068470318013</v>
      </c>
      <c r="N3" s="317">
        <f>+FAT!N8</f>
        <v>5350.1</v>
      </c>
      <c r="O3" s="317">
        <f>+FAT!O8</f>
        <v>3708.4433950359853</v>
      </c>
      <c r="P3" s="317">
        <f>+FAT!P8</f>
        <v>4301.12092691623</v>
      </c>
      <c r="Q3" s="317">
        <f>+FAT!Q8</f>
        <v>4392.9386057147303</v>
      </c>
      <c r="R3" s="317">
        <f>+FAT!R8</f>
        <v>6111.9652618866303</v>
      </c>
      <c r="S3" s="317">
        <f>+FAT!S8</f>
        <v>3940.6</v>
      </c>
      <c r="T3" s="317">
        <f>+FAT!T8</f>
        <v>4629.8999999999996</v>
      </c>
      <c r="U3" s="317">
        <f>+FAT!U8</f>
        <v>4705</v>
      </c>
      <c r="V3" s="317">
        <f>+FAT!V8</f>
        <v>6432.6</v>
      </c>
      <c r="W3" s="317">
        <f>+FAT!W8</f>
        <v>9719.1</v>
      </c>
      <c r="X3" s="317">
        <f>+FAT!X8</f>
        <v>9115.7999999999993</v>
      </c>
      <c r="Y3" s="317">
        <f>+FAT!Y8</f>
        <v>13601.3</v>
      </c>
      <c r="Z3" s="317">
        <f>+FAT!Z8</f>
        <v>15260.800000000003</v>
      </c>
      <c r="AA3" s="317">
        <f>+FAT!AA8</f>
        <v>12059.1</v>
      </c>
      <c r="AB3" s="317">
        <f>+FAT!AB8</f>
        <v>12232.999999999998</v>
      </c>
      <c r="AC3" s="317">
        <f>+FAT!AC8</f>
        <v>12329.1</v>
      </c>
      <c r="AD3" s="317">
        <f>+FAT!AD8</f>
        <v>15023</v>
      </c>
      <c r="AE3" s="317">
        <f>+FAT!AE8</f>
        <v>10642.000000000002</v>
      </c>
      <c r="AF3" s="317">
        <f>+FAT!AF8</f>
        <v>11271.699999999999</v>
      </c>
      <c r="AG3" s="317">
        <f>+FAT!AG8</f>
        <v>11693.3</v>
      </c>
      <c r="AH3" s="317">
        <f>+FAT!AH8</f>
        <v>13501.6</v>
      </c>
      <c r="AI3" s="317">
        <f>+FAT!AI8</f>
        <v>9557.4</v>
      </c>
      <c r="AJ3" s="317">
        <f>+FAT!AJ8</f>
        <v>10185.730080933539</v>
      </c>
      <c r="AK3" s="317">
        <f>+FAT!AK8</f>
        <v>9822.4360000000015</v>
      </c>
      <c r="AL3" s="317">
        <f>+FAT!AL8</f>
        <v>8609.9</v>
      </c>
      <c r="AM3" s="2509">
        <f>+FAT!AM8</f>
        <v>6371.9</v>
      </c>
      <c r="AN3" s="317">
        <f>+FAT!AN8</f>
        <v>7944.6426255093893</v>
      </c>
      <c r="AO3" s="317">
        <f>+FAT!AO8</f>
        <v>7900.680268365295</v>
      </c>
      <c r="AP3" s="317">
        <f>+FAT!AP8</f>
        <v>9369.6</v>
      </c>
      <c r="AQ3" s="317">
        <f>+FAT!AQ8</f>
        <v>6819.9</v>
      </c>
      <c r="AR3" s="317">
        <f>+FAT!AR8</f>
        <v>7545.9</v>
      </c>
      <c r="AS3" s="317">
        <f>+FAT!AS8</f>
        <v>6867</v>
      </c>
      <c r="AT3" s="317">
        <f>+FAT!AT8</f>
        <v>8262</v>
      </c>
      <c r="AU3" s="679">
        <f>+FAT!AU8</f>
        <v>6020.787034060736</v>
      </c>
      <c r="AV3" s="679">
        <f>+FAT!AV8</f>
        <v>7623.58275398361</v>
      </c>
      <c r="AW3" s="679">
        <f>+FAT!AW8</f>
        <v>7377.6226592810299</v>
      </c>
      <c r="AX3" s="679">
        <f>+FAT!AX8</f>
        <v>9319.950296166111</v>
      </c>
      <c r="AZ3" s="679">
        <v>8402.5252371742245</v>
      </c>
      <c r="BA3" s="1068">
        <f>+AT3/AZ3-1</f>
        <v>-1.6724167224457354E-2</v>
      </c>
      <c r="BD3" s="317">
        <f>+SUM(C3:F3)</f>
        <v>10806.44008818928</v>
      </c>
      <c r="BE3" s="317">
        <f>+SUM(G3:J3)</f>
        <v>10990.356235257068</v>
      </c>
      <c r="BF3" s="317">
        <f>+SUM(K3:N3)</f>
        <v>13750.85623246738</v>
      </c>
      <c r="BG3" s="317">
        <f>+SUM(O3:R3)</f>
        <v>18514.468189553576</v>
      </c>
      <c r="BH3" s="317">
        <f>+SUM(S3:V3)</f>
        <v>19708.099999999999</v>
      </c>
      <c r="BI3" s="317">
        <f>+SUM(W3:Z3)</f>
        <v>47697</v>
      </c>
      <c r="BJ3" s="317">
        <f>+SUM(AA3:AD3)</f>
        <v>51644.2</v>
      </c>
      <c r="BK3" s="317">
        <f>+SUM(AE3:AH3)</f>
        <v>47108.6</v>
      </c>
      <c r="BL3" s="317">
        <f>+SUM(AI3:AL3)</f>
        <v>38175.46608093354</v>
      </c>
      <c r="BM3" s="2509">
        <f>+SUM(AM3:AP3)</f>
        <v>31586.822893874683</v>
      </c>
      <c r="BN3" s="317">
        <f>+SUM(AQ3:AT3)</f>
        <v>29494.799999999999</v>
      </c>
      <c r="BO3" s="317">
        <f>+SUM(AU3:AX3)</f>
        <v>30341.942743491491</v>
      </c>
      <c r="BP3" s="679">
        <f>+FAT!BR8</f>
        <v>31698.982389548346</v>
      </c>
      <c r="BQ3" s="679">
        <f>+FAT!BS8</f>
        <v>32921.72228114141</v>
      </c>
      <c r="BR3" s="679">
        <f>+FAT!BT8</f>
        <v>34175.413649736605</v>
      </c>
      <c r="BS3" s="679">
        <f>+FAT!BU8</f>
        <v>35383.327713027356</v>
      </c>
    </row>
    <row r="4" spans="1:71" hidden="1">
      <c r="B4" s="118" t="s">
        <v>462</v>
      </c>
      <c r="C4" s="318">
        <f>+FAT!C54</f>
        <v>-564.03992582939168</v>
      </c>
      <c r="D4" s="318">
        <f>+FAT!D54</f>
        <v>-708.40997727842296</v>
      </c>
      <c r="E4" s="318">
        <f>+FAT!E54</f>
        <v>-767.15737080891313</v>
      </c>
      <c r="F4" s="318">
        <f>+FAT!F54</f>
        <v>-867.83281427255088</v>
      </c>
      <c r="G4" s="318">
        <f>+FAT!G54</f>
        <v>-630.32713204669471</v>
      </c>
      <c r="H4" s="318">
        <f>+FAT!H54</f>
        <v>-789.80615994729578</v>
      </c>
      <c r="I4" s="318">
        <f>+FAT!I54</f>
        <v>-753.59999999999991</v>
      </c>
      <c r="J4" s="318">
        <f>+FAT!J54</f>
        <v>-903.95180568688647</v>
      </c>
      <c r="K4" s="318">
        <f>+FAT!K54</f>
        <v>-667.34179697567606</v>
      </c>
      <c r="L4" s="318">
        <f>+FAT!L54</f>
        <v>0</v>
      </c>
      <c r="M4" s="318">
        <f>+FAT!M54</f>
        <v>-837.78510592430848</v>
      </c>
      <c r="N4" s="318">
        <f>+FAT!N54</f>
        <v>-1617.2000000000003</v>
      </c>
      <c r="O4" s="318">
        <f>+FAT!O54</f>
        <v>-1020.8170820286232</v>
      </c>
      <c r="P4" s="318">
        <f>+FAT!P54</f>
        <v>-1201.0784479575113</v>
      </c>
      <c r="Q4" s="318">
        <f>+FAT!Q54</f>
        <v>-1151.0373459091311</v>
      </c>
      <c r="R4" s="318">
        <f>+FAT!R54</f>
        <v>-1776.4048285038034</v>
      </c>
      <c r="S4" s="318">
        <f>+FAT!S54</f>
        <v>-1025.4499999999998</v>
      </c>
      <c r="T4" s="318">
        <f>+FAT!T54</f>
        <v>-1226.1909999999998</v>
      </c>
      <c r="U4" s="318">
        <f>+FAT!U54</f>
        <v>-1231.1999999999998</v>
      </c>
      <c r="V4" s="318">
        <f>+FAT!V54</f>
        <v>3221.8999999999996</v>
      </c>
      <c r="W4" s="318">
        <f>+FAT!W54</f>
        <v>-2201.1000000000004</v>
      </c>
      <c r="X4" s="318">
        <f>+FAT!X54</f>
        <v>-2128.6999999999998</v>
      </c>
      <c r="Y4" s="318">
        <f>+FAT!Y54</f>
        <v>-3181.7999999999975</v>
      </c>
      <c r="Z4" s="318">
        <f>+FAT!Z54</f>
        <v>-3263.5000000000036</v>
      </c>
      <c r="AA4" s="318">
        <f>+FAT!AA54</f>
        <v>-2604.1000000000004</v>
      </c>
      <c r="AB4" s="318">
        <f>+FAT!AB54</f>
        <v>-2715.7999999999975</v>
      </c>
      <c r="AC4" s="318">
        <f>+FAT!AC54</f>
        <v>-2779.9000000000015</v>
      </c>
      <c r="AD4" s="318">
        <f>+FAT!AD54</f>
        <v>-3379.8000000000011</v>
      </c>
      <c r="AE4" s="318">
        <f>+FAT!AE54</f>
        <v>-2388.7000000000025</v>
      </c>
      <c r="AF4" s="318">
        <f>+FAT!AF54</f>
        <v>-2569.2999999999993</v>
      </c>
      <c r="AG4" s="318">
        <f>+FAT!AG54</f>
        <v>-2689.5999999999985</v>
      </c>
      <c r="AH4" s="318">
        <f>+FAT!AH54</f>
        <v>-3111.8000000000011</v>
      </c>
      <c r="AI4" s="318">
        <f>+FAT!AI54</f>
        <v>-2237.2000000000007</v>
      </c>
      <c r="AJ4" s="318">
        <f>+FAT!AJ54</f>
        <v>-2412.1952817896708</v>
      </c>
      <c r="AK4" s="318">
        <f>+FAT!AK54</f>
        <v>-2305.175000000002</v>
      </c>
      <c r="AL4" s="318">
        <f>+FAT!AL54</f>
        <v>-1996.5</v>
      </c>
      <c r="AM4" s="2510">
        <f>+FAT!AM54</f>
        <v>-1654.4999999999982</v>
      </c>
      <c r="AN4" s="318">
        <f>+FAT!AN54</f>
        <v>-1989.1000000000004</v>
      </c>
      <c r="AO4" s="318">
        <f>+FAT!AO54</f>
        <v>-1925.1550184827765</v>
      </c>
      <c r="AP4" s="318">
        <f>+FAT!AP54</f>
        <v>-2279</v>
      </c>
      <c r="AQ4" s="318">
        <f>+FAT!AQ54</f>
        <v>-1676.8538537691857</v>
      </c>
      <c r="AR4" s="318">
        <f>+FAT!AR54</f>
        <v>-1858.5</v>
      </c>
      <c r="AS4" s="318">
        <f>+FAT!AS54</f>
        <v>-1672.6000000000004</v>
      </c>
      <c r="AT4" s="318">
        <f>+FAT!AT54</f>
        <v>-2069</v>
      </c>
      <c r="AU4" s="680">
        <f>+FAT!AU54</f>
        <v>-1349.6022269484547</v>
      </c>
      <c r="AV4" s="680">
        <f>+FAT!AV54</f>
        <v>-2034.3851463295332</v>
      </c>
      <c r="AW4" s="680">
        <f>+FAT!AW54</f>
        <v>-2306.1750484948798</v>
      </c>
      <c r="AX4" s="680">
        <f>+FAT!AX54</f>
        <v>-2964.848903845882</v>
      </c>
      <c r="AZ4" s="680">
        <v>-2056.5845974947024</v>
      </c>
      <c r="BD4" s="318">
        <f>+SUM(C4:F4)</f>
        <v>-2907.4400881892789</v>
      </c>
      <c r="BE4" s="318">
        <f>+SUM(G4:J4)</f>
        <v>-3077.6850976808769</v>
      </c>
      <c r="BF4" s="318">
        <f>+SUM(K4:N4)</f>
        <v>-3122.3269028999848</v>
      </c>
      <c r="BG4" s="318">
        <f>+SUM(O4:R4)</f>
        <v>-5149.3377043990695</v>
      </c>
      <c r="BH4" s="318">
        <f>+SUM(S4:V4)</f>
        <v>-260.9409999999998</v>
      </c>
      <c r="BI4" s="318">
        <f>+SUM(W4:Z4)</f>
        <v>-10775.100000000002</v>
      </c>
      <c r="BJ4" s="318">
        <f>+SUM(AA4:AD4)</f>
        <v>-11479.6</v>
      </c>
      <c r="BK4" s="318">
        <f>+SUM(AE4:AH4)</f>
        <v>-10759.400000000001</v>
      </c>
      <c r="BL4" s="318">
        <f>+SUM(AI4:AL4)</f>
        <v>-8951.0702817896745</v>
      </c>
      <c r="BM4" s="2510">
        <f>+SUM(AM4:AP4)</f>
        <v>-7847.7550184827751</v>
      </c>
      <c r="BN4" s="318">
        <f>+SUM(AQ4:AT4)</f>
        <v>-7276.953853769186</v>
      </c>
      <c r="BO4" s="318">
        <f>+SUM(AU4:AX4)</f>
        <v>-8655.0113256187506</v>
      </c>
      <c r="BP4" s="680">
        <f>+FAT!BR54</f>
        <v>-9041.3787009650769</v>
      </c>
      <c r="BQ4" s="680">
        <f>+FAT!BS54</f>
        <v>-9386.358833796512</v>
      </c>
      <c r="BR4" s="680">
        <f>+FAT!BT54</f>
        <v>-9736.0712181327181</v>
      </c>
      <c r="BS4" s="680">
        <f>+FAT!BU54</f>
        <v>-10072.704630846816</v>
      </c>
    </row>
    <row r="5" spans="1:71" s="105" customFormat="1">
      <c r="B5" s="119" t="s">
        <v>112</v>
      </c>
      <c r="C5" s="317">
        <f>+FAT!C57</f>
        <v>1641.8</v>
      </c>
      <c r="D5" s="317">
        <f>+FAT!D57</f>
        <v>1928.9</v>
      </c>
      <c r="E5" s="317">
        <f>+FAT!E57</f>
        <v>1995.9</v>
      </c>
      <c r="F5" s="317">
        <f>+FAT!F57</f>
        <v>2332.4</v>
      </c>
      <c r="G5" s="317">
        <f>+FAT!G57</f>
        <v>1689.7008631189465</v>
      </c>
      <c r="H5" s="317">
        <f>+FAT!H57</f>
        <v>2025.6579741914106</v>
      </c>
      <c r="I5" s="317">
        <f>+FAT!I57</f>
        <v>1902.6</v>
      </c>
      <c r="J5" s="317">
        <f>+FAT!J57</f>
        <v>2294.7123002658336</v>
      </c>
      <c r="K5" s="317">
        <f>+FAT!K57</f>
        <v>1728.607016668896</v>
      </c>
      <c r="L5" s="317">
        <f>+FAT!L57</f>
        <v>2025.8188577560172</v>
      </c>
      <c r="M5" s="317">
        <f>+FAT!M57</f>
        <v>2365.4217411074928</v>
      </c>
      <c r="N5" s="317">
        <f>+FAT!N57</f>
        <v>3732.9</v>
      </c>
      <c r="O5" s="317">
        <f>+FAT!O57</f>
        <v>2687.6263130073621</v>
      </c>
      <c r="P5" s="317">
        <f>+FAT!P57</f>
        <v>3100.0424789587187</v>
      </c>
      <c r="Q5" s="317">
        <f>+FAT!Q57</f>
        <v>3241.9012598055992</v>
      </c>
      <c r="R5" s="317">
        <f>+FAT!R57</f>
        <v>4335.5604333828269</v>
      </c>
      <c r="S5" s="317">
        <f>+FAT!S57</f>
        <v>2915.15</v>
      </c>
      <c r="T5" s="317">
        <f>+FAT!T57</f>
        <v>3403.7089999999998</v>
      </c>
      <c r="U5" s="317">
        <f>+FAT!U57</f>
        <v>3473.8</v>
      </c>
      <c r="V5" s="317">
        <f>+FAT!V57</f>
        <v>9654.5</v>
      </c>
      <c r="W5" s="317">
        <f>+FAT!W57</f>
        <v>7518</v>
      </c>
      <c r="X5" s="317">
        <f>+FAT!X57</f>
        <v>6987.0999999999995</v>
      </c>
      <c r="Y5" s="317">
        <f>+FAT!Y57</f>
        <v>10419.500000000002</v>
      </c>
      <c r="Z5" s="317">
        <f>+FAT!Z57</f>
        <v>11997.3</v>
      </c>
      <c r="AA5" s="317">
        <f>+FAT!AA57</f>
        <v>9455</v>
      </c>
      <c r="AB5" s="317">
        <f>+FAT!AB57</f>
        <v>9517.2000000000007</v>
      </c>
      <c r="AC5" s="317">
        <f>+FAT!AC57</f>
        <v>9549.1999999999989</v>
      </c>
      <c r="AD5" s="317">
        <f>+FAT!AD57</f>
        <v>11643.199999999999</v>
      </c>
      <c r="AE5" s="317">
        <f>+FAT!AE57</f>
        <v>8253.2999999999993</v>
      </c>
      <c r="AF5" s="317">
        <f>+FAT!AF57</f>
        <v>8702.4</v>
      </c>
      <c r="AG5" s="317">
        <f>+FAT!AG57</f>
        <v>9003.7000000000007</v>
      </c>
      <c r="AH5" s="317">
        <f>+FAT!AH57</f>
        <v>10389.799999999999</v>
      </c>
      <c r="AI5" s="317">
        <f>+FAT!AI57</f>
        <v>7320.1999999999989</v>
      </c>
      <c r="AJ5" s="317">
        <f>+FAT!AJ57</f>
        <v>7773.5347991438684</v>
      </c>
      <c r="AK5" s="317">
        <f>+FAT!AK57</f>
        <v>7517.2609999999995</v>
      </c>
      <c r="AL5" s="317">
        <f>+FAT!AL57</f>
        <v>6613.4</v>
      </c>
      <c r="AM5" s="2509">
        <f>+FAT!AM57</f>
        <v>4577.0000000000009</v>
      </c>
      <c r="AN5" s="317">
        <f>+FAT!AN57</f>
        <v>5789.7</v>
      </c>
      <c r="AO5" s="317">
        <f>+FAT!AO57</f>
        <v>5975.5788975537307</v>
      </c>
      <c r="AP5" s="317">
        <f>+FAT!AP57</f>
        <v>7090.6</v>
      </c>
      <c r="AQ5" s="317">
        <f>+FAT!AQ57</f>
        <v>5143.046146230814</v>
      </c>
      <c r="AR5" s="317">
        <f>+FAT!AR57</f>
        <v>5687.4</v>
      </c>
      <c r="AS5" s="317">
        <f>+FAT!AS57</f>
        <v>5194</v>
      </c>
      <c r="AT5" s="317">
        <f>+FAT!AT57</f>
        <v>6193</v>
      </c>
      <c r="AU5" s="679">
        <f>+FAT!AU57</f>
        <v>4671.1848071122813</v>
      </c>
      <c r="AV5" s="679">
        <f>+FAT!AV57</f>
        <v>5589.1976076540768</v>
      </c>
      <c r="AW5" s="679">
        <f>+FAT!AW57</f>
        <v>5071.4476107861501</v>
      </c>
      <c r="AX5" s="679">
        <f>+FAT!AX57</f>
        <v>6355.101392320229</v>
      </c>
      <c r="AZ5" s="679">
        <v>6345.9406396795221</v>
      </c>
      <c r="BA5" s="1068">
        <f>+AT5/AZ5-1</f>
        <v>-2.4100546847731885E-2</v>
      </c>
      <c r="BD5" s="317">
        <f>+SUM(C5:F5)</f>
        <v>7899</v>
      </c>
      <c r="BE5" s="317">
        <f>+SUM(G5:J5)</f>
        <v>7912.6711375761906</v>
      </c>
      <c r="BF5" s="317">
        <f>+SUM(K5:N5)</f>
        <v>9852.7476155324057</v>
      </c>
      <c r="BG5" s="317">
        <f>+SUM(O5:R5)</f>
        <v>13365.130485154506</v>
      </c>
      <c r="BH5" s="317">
        <f>+SUM(S5:V5)</f>
        <v>19447.159</v>
      </c>
      <c r="BI5" s="317">
        <f>+SUM(W5:Z5)</f>
        <v>36921.899999999994</v>
      </c>
      <c r="BJ5" s="317">
        <f>+SUM(AA5:AD5)</f>
        <v>40164.6</v>
      </c>
      <c r="BK5" s="317">
        <f>+SUM(AE5:AH5)</f>
        <v>36349.199999999997</v>
      </c>
      <c r="BL5" s="317">
        <f>+SUM(AI5:AL5)</f>
        <v>29224.395799143866</v>
      </c>
      <c r="BM5" s="2509">
        <f>+SUM(AM5:AP5)</f>
        <v>23432.878897553732</v>
      </c>
      <c r="BN5" s="317">
        <f>+SUM(AQ5:AT5)</f>
        <v>22217.446146230814</v>
      </c>
      <c r="BO5" s="317">
        <f>+SUM(AU5:AX5)</f>
        <v>21686.931417872736</v>
      </c>
      <c r="BP5" s="679">
        <f>+FAT!BR57</f>
        <v>22657.603688583269</v>
      </c>
      <c r="BQ5" s="679">
        <f>+FAT!BS57</f>
        <v>23535.363447344898</v>
      </c>
      <c r="BR5" s="679">
        <f>+FAT!BT57</f>
        <v>24439.342431603887</v>
      </c>
      <c r="BS5" s="679">
        <f>+FAT!BU57</f>
        <v>25310.62308218054</v>
      </c>
    </row>
    <row r="6" spans="1:71" s="105" customFormat="1">
      <c r="B6" s="119"/>
      <c r="C6" s="317"/>
      <c r="D6" s="317"/>
      <c r="E6" s="317"/>
      <c r="F6" s="317"/>
      <c r="G6" s="317"/>
      <c r="H6" s="317"/>
      <c r="I6" s="317"/>
      <c r="J6" s="317"/>
      <c r="K6" s="317"/>
      <c r="L6" s="317"/>
      <c r="M6" s="317"/>
      <c r="N6" s="317"/>
      <c r="O6" s="317"/>
      <c r="P6" s="317"/>
      <c r="Q6" s="317"/>
      <c r="R6" s="317"/>
      <c r="S6" s="317"/>
      <c r="T6" s="317"/>
      <c r="U6" s="317"/>
      <c r="V6" s="317"/>
      <c r="W6" s="317"/>
      <c r="X6" s="317"/>
      <c r="Y6" s="317"/>
      <c r="Z6" s="317"/>
      <c r="AA6" s="317"/>
      <c r="AB6" s="317"/>
      <c r="AC6" s="317"/>
      <c r="AD6" s="317"/>
      <c r="AE6" s="317"/>
      <c r="AF6" s="317"/>
      <c r="AG6" s="317"/>
      <c r="AH6" s="317"/>
      <c r="AI6" s="317"/>
      <c r="AJ6" s="317"/>
      <c r="AK6" s="317"/>
      <c r="AL6" s="317"/>
      <c r="AM6" s="2509"/>
      <c r="AN6" s="317"/>
      <c r="AO6" s="317"/>
      <c r="AP6" s="317"/>
      <c r="AQ6" s="317"/>
      <c r="AR6" s="317"/>
      <c r="AS6" s="317"/>
      <c r="AT6" s="317"/>
      <c r="AU6" s="679"/>
      <c r="AV6" s="679"/>
      <c r="AW6" s="679"/>
      <c r="AX6" s="679"/>
      <c r="AZ6" s="679"/>
      <c r="BA6" s="1068"/>
      <c r="BD6" s="317"/>
      <c r="BE6" s="2158">
        <f t="shared" ref="BE6:BL6" si="5">+BE5/BD5-1</f>
        <v>1.7307428251918111E-3</v>
      </c>
      <c r="BF6" s="2158">
        <f t="shared" si="5"/>
        <v>0.24518603695571994</v>
      </c>
      <c r="BG6" s="2158">
        <f t="shared" si="5"/>
        <v>0.35648765265081894</v>
      </c>
      <c r="BH6" s="2158">
        <f t="shared" si="5"/>
        <v>0.45506690126229499</v>
      </c>
      <c r="BI6" s="2158">
        <f t="shared" si="5"/>
        <v>0.89857551943705483</v>
      </c>
      <c r="BJ6" s="2158">
        <f t="shared" si="5"/>
        <v>8.7825924451341963E-2</v>
      </c>
      <c r="BK6" s="2158">
        <f t="shared" si="5"/>
        <v>-9.4994099281456856E-2</v>
      </c>
      <c r="BL6" s="2158">
        <f t="shared" si="5"/>
        <v>-0.19600993146633572</v>
      </c>
      <c r="BM6" s="2600">
        <f>+BM5/BL5-1</f>
        <v>-0.1981740509331521</v>
      </c>
      <c r="BN6" s="2158">
        <f>+BN5/BM5-1</f>
        <v>-5.1868690852569621E-2</v>
      </c>
      <c r="BO6" s="2158">
        <f>+BO5/BN5-1</f>
        <v>-2.3878294780882325E-2</v>
      </c>
      <c r="BP6" s="2158">
        <f t="shared" ref="BP6:BS6" si="6">+BP5/BO5-1</f>
        <v>4.4758396289784841E-2</v>
      </c>
      <c r="BQ6" s="2158">
        <f t="shared" si="6"/>
        <v>3.8740185009234374E-2</v>
      </c>
      <c r="BR6" s="2158">
        <f t="shared" si="6"/>
        <v>3.840939130944121E-2</v>
      </c>
      <c r="BS6" s="2158">
        <f t="shared" si="6"/>
        <v>3.5650740318198926E-2</v>
      </c>
    </row>
    <row r="7" spans="1:71">
      <c r="B7" s="118" t="s">
        <v>115</v>
      </c>
      <c r="C7" s="318">
        <f>+FAT!C59</f>
        <v>-495.16709774236574</v>
      </c>
      <c r="D7" s="318">
        <f>+FAT!D59</f>
        <v>-589.63977709753681</v>
      </c>
      <c r="E7" s="318">
        <f>+FAT!E59</f>
        <v>-618.31484543994657</v>
      </c>
      <c r="F7" s="318">
        <f>+FAT!F59</f>
        <v>-712.90224378582343</v>
      </c>
      <c r="G7" s="318">
        <f>+FAT!G59</f>
        <v>-521.07206173584882</v>
      </c>
      <c r="H7" s="318">
        <f>+FAT!H59</f>
        <v>-638.23244379495418</v>
      </c>
      <c r="I7" s="318">
        <f>+FAT!I59</f>
        <v>-566.79999999999995</v>
      </c>
      <c r="J7" s="318">
        <f>+FAT!J59</f>
        <v>-720.81404470646999</v>
      </c>
      <c r="K7" s="318">
        <f>+FAT!K59</f>
        <v>-519.93802402434926</v>
      </c>
      <c r="L7" s="318">
        <f>+FAT!L59</f>
        <v>-605.30319065521053</v>
      </c>
      <c r="M7" s="318">
        <f>+FAT!M59</f>
        <v>-689.31916849370543</v>
      </c>
      <c r="N7" s="318">
        <f>+FAT!N59</f>
        <v>-1096.5170106884261</v>
      </c>
      <c r="O7" s="318">
        <f>+FAT!O59</f>
        <v>-735.94613339881198</v>
      </c>
      <c r="P7" s="318">
        <f>+FAT!P59</f>
        <v>-894.88898997543606</v>
      </c>
      <c r="Q7" s="318">
        <f>+FAT!Q59</f>
        <v>-867.08676563742006</v>
      </c>
      <c r="R7" s="318">
        <f>+FAT!R59</f>
        <v>-1263.9752958858362</v>
      </c>
      <c r="S7" s="318">
        <f>+FAT!S59</f>
        <v>-809.17200000000003</v>
      </c>
      <c r="T7" s="318">
        <f>+FAT!T59</f>
        <v>-964.55499999999984</v>
      </c>
      <c r="U7" s="318">
        <f>+FAT!U59</f>
        <v>-967.10000000000036</v>
      </c>
      <c r="V7" s="318">
        <f>+FAT!V59</f>
        <v>-3450.8999999999996</v>
      </c>
      <c r="W7" s="318">
        <f>+FAT!W59</f>
        <v>-2878.7</v>
      </c>
      <c r="X7" s="318">
        <f>+FAT!X59</f>
        <v>-2375.3999999999996</v>
      </c>
      <c r="Y7" s="318">
        <f>+FAT!Y59</f>
        <v>-3695.3000000000011</v>
      </c>
      <c r="Z7" s="318">
        <f>+FAT!Z59</f>
        <v>-4279.9999999999991</v>
      </c>
      <c r="AA7" s="318">
        <f>+FAT!AA59</f>
        <v>-3324.3</v>
      </c>
      <c r="AB7" s="318">
        <f>+FAT!AB59</f>
        <v>-3316.5000000000009</v>
      </c>
      <c r="AC7" s="318">
        <f>+FAT!AC59</f>
        <v>-3312.9999999999982</v>
      </c>
      <c r="AD7" s="318">
        <f>+FAT!AD59</f>
        <v>-4057.5999999999985</v>
      </c>
      <c r="AE7" s="318">
        <f>+FAT!AE59</f>
        <v>-2945.5999999999995</v>
      </c>
      <c r="AF7" s="318">
        <f>+FAT!AF59</f>
        <v>-3216.8</v>
      </c>
      <c r="AG7" s="318">
        <f>+FAT!AG59</f>
        <v>-3229.8000000000011</v>
      </c>
      <c r="AH7" s="318">
        <f>+FAT!AH59</f>
        <v>-3763.0999999999985</v>
      </c>
      <c r="AI7" s="318">
        <f>+FAT!AI59</f>
        <v>-2494.6999999999998</v>
      </c>
      <c r="AJ7" s="318">
        <f>+FAT!AJ59</f>
        <v>-2687.9920872794664</v>
      </c>
      <c r="AK7" s="318">
        <f>+FAT!AK59</f>
        <v>-2610.9929999999995</v>
      </c>
      <c r="AL7" s="318">
        <f>+FAT!AL59</f>
        <v>-2444.7999999999993</v>
      </c>
      <c r="AM7" s="2510">
        <f>+FAT!AM59</f>
        <v>-1546.3000000000011</v>
      </c>
      <c r="AN7" s="318">
        <f>+FAT!AN59</f>
        <v>-1998.3999999999996</v>
      </c>
      <c r="AO7" s="318">
        <f>+FAT!AO59</f>
        <v>-1952.9109389640998</v>
      </c>
      <c r="AP7" s="318">
        <f>+FAT!AP59</f>
        <v>-2610.9000000000005</v>
      </c>
      <c r="AQ7" s="318">
        <f>+FAT!AQ59</f>
        <v>-1675.8594201224637</v>
      </c>
      <c r="AR7" s="318">
        <f>+FAT!AR59</f>
        <v>-1909.0999999999995</v>
      </c>
      <c r="AS7" s="318">
        <f>+FAT!AS59</f>
        <v>-1702</v>
      </c>
      <c r="AT7" s="318">
        <f>+FAT!AT59</f>
        <v>-2197</v>
      </c>
      <c r="AU7" s="680">
        <f>+FAT!AU59</f>
        <v>-1522.1036015531654</v>
      </c>
      <c r="AV7" s="680">
        <f>+FAT!AV59</f>
        <v>-1876.1362226627975</v>
      </c>
      <c r="AW7" s="680">
        <f>+FAT!AW59</f>
        <v>-1661.8413233650422</v>
      </c>
      <c r="AX7" s="680">
        <f>+FAT!AX59</f>
        <v>-2254.5063392422962</v>
      </c>
      <c r="AZ7" s="680">
        <v>-2174.6636896364998</v>
      </c>
      <c r="BD7" s="318">
        <f>+SUM(C7:F7)</f>
        <v>-2416.0239640656728</v>
      </c>
      <c r="BE7" s="318">
        <f>+SUM(G7:J7)</f>
        <v>-2446.9185502372729</v>
      </c>
      <c r="BF7" s="318">
        <f>+SUM(K7:N7)</f>
        <v>-2911.0773938616912</v>
      </c>
      <c r="BG7" s="318">
        <f>+SUM(O7:R7)</f>
        <v>-3761.8971848975043</v>
      </c>
      <c r="BH7" s="318">
        <f>+SUM(S7:V7)</f>
        <v>-6191.7269999999999</v>
      </c>
      <c r="BI7" s="318">
        <f>+SUM(W7:Z7)</f>
        <v>-13229.400000000001</v>
      </c>
      <c r="BJ7" s="318">
        <f>+SUM(AA7:AD7)</f>
        <v>-14011.399999999998</v>
      </c>
      <c r="BK7" s="318">
        <f>+SUM(AE7:AH7)</f>
        <v>-13155.3</v>
      </c>
      <c r="BL7" s="318">
        <f>+SUM(AI7:AL7)</f>
        <v>-10238.485087279465</v>
      </c>
      <c r="BM7" s="2510">
        <f>+SUM(AM7:AP7)</f>
        <v>-8108.5109389641011</v>
      </c>
      <c r="BN7" s="318">
        <f>+SUM(AQ7:AT7)</f>
        <v>-7483.9594201224627</v>
      </c>
      <c r="BO7" s="318">
        <f>+SUM(AU7:AX7)</f>
        <v>-7314.5874868233013</v>
      </c>
      <c r="BP7" s="680">
        <f>+FAT!BR59</f>
        <v>-7641.9766922548406</v>
      </c>
      <c r="BQ7" s="680">
        <f>+FAT!BS59</f>
        <v>-7938.0282831490495</v>
      </c>
      <c r="BR7" s="680">
        <f>+FAT!BT59</f>
        <v>-8242.9231177019337</v>
      </c>
      <c r="BS7" s="680">
        <f>+FAT!BU59</f>
        <v>-8536.7894292340061</v>
      </c>
    </row>
    <row r="8" spans="1:71" s="105" customFormat="1">
      <c r="B8" s="119" t="s">
        <v>116</v>
      </c>
      <c r="C8" s="317">
        <f>+FAT!C61</f>
        <v>1146.6329022576342</v>
      </c>
      <c r="D8" s="317">
        <f>+FAT!D61</f>
        <v>1339.2602229024633</v>
      </c>
      <c r="E8" s="317">
        <f>+FAT!E61</f>
        <v>1377.5851545600535</v>
      </c>
      <c r="F8" s="317">
        <f>+FAT!F61</f>
        <v>1619.4977562141767</v>
      </c>
      <c r="G8" s="317">
        <f>+FAT!G61</f>
        <v>1168.6288013830977</v>
      </c>
      <c r="H8" s="317">
        <f>+FAT!H61</f>
        <v>1387.4255303964565</v>
      </c>
      <c r="I8" s="317">
        <f>+FAT!I61</f>
        <v>1335.8</v>
      </c>
      <c r="J8" s="317">
        <f>+FAT!J61</f>
        <v>1573.8982555593636</v>
      </c>
      <c r="K8" s="317">
        <f>+FAT!K61</f>
        <v>1208.6689926445467</v>
      </c>
      <c r="L8" s="317">
        <f>+FAT!L61</f>
        <v>1420.5156671008067</v>
      </c>
      <c r="M8" s="317">
        <f>+FAT!M61</f>
        <v>1676.1025726137873</v>
      </c>
      <c r="N8" s="317">
        <f>+FAT!N61</f>
        <v>2636.3435489255926</v>
      </c>
      <c r="O8" s="317">
        <f>+FAT!O61</f>
        <v>1951.6801796085501</v>
      </c>
      <c r="P8" s="317">
        <f>+FAT!P61</f>
        <v>2205.1534889832828</v>
      </c>
      <c r="Q8" s="317">
        <f>+FAT!Q61</f>
        <v>2374.8144941681794</v>
      </c>
      <c r="R8" s="317">
        <f>+FAT!R61</f>
        <v>3071.5851374969907</v>
      </c>
      <c r="S8" s="317">
        <f>+FAT!S61</f>
        <v>2105.9780000000001</v>
      </c>
      <c r="T8" s="317">
        <f>+FAT!T61</f>
        <v>2439.154</v>
      </c>
      <c r="U8" s="317">
        <f>+FAT!U61</f>
        <v>2506.6999999999998</v>
      </c>
      <c r="V8" s="317">
        <f>+FAT!V61</f>
        <v>6203.6</v>
      </c>
      <c r="W8" s="317">
        <f>+FAT!W61</f>
        <v>4639.3</v>
      </c>
      <c r="X8" s="317">
        <f>+FAT!X61</f>
        <v>4611.7</v>
      </c>
      <c r="Y8" s="317">
        <f>+FAT!Y61</f>
        <v>6724.2000000000007</v>
      </c>
      <c r="Z8" s="317">
        <f>+FAT!Z61</f>
        <v>7717.3</v>
      </c>
      <c r="AA8" s="317">
        <f>+FAT!AA61</f>
        <v>6130.7</v>
      </c>
      <c r="AB8" s="317">
        <f>+FAT!AB61</f>
        <v>6200.7</v>
      </c>
      <c r="AC8" s="317">
        <f>+FAT!AC61</f>
        <v>6236.2000000000007</v>
      </c>
      <c r="AD8" s="317">
        <f>+FAT!AD61</f>
        <v>7585.6</v>
      </c>
      <c r="AE8" s="317">
        <f>+FAT!AE61</f>
        <v>5307.7</v>
      </c>
      <c r="AF8" s="317">
        <f>+FAT!AF61</f>
        <v>5485.5999999999995</v>
      </c>
      <c r="AG8" s="317">
        <f>+FAT!AG61</f>
        <v>5773.9</v>
      </c>
      <c r="AH8" s="317">
        <f>+FAT!AH61</f>
        <v>6626.7000000000007</v>
      </c>
      <c r="AI8" s="317">
        <f>+FAT!AI61</f>
        <v>4825.4999999999991</v>
      </c>
      <c r="AJ8" s="317">
        <f>+FAT!AJ61</f>
        <v>5085.542711864402</v>
      </c>
      <c r="AK8" s="317">
        <f>+FAT!AK61</f>
        <v>4906.268</v>
      </c>
      <c r="AL8" s="317">
        <f>+FAT!AL61</f>
        <v>4168.6000000000004</v>
      </c>
      <c r="AM8" s="2509">
        <f>+FAT!AM61</f>
        <v>3030.7</v>
      </c>
      <c r="AN8" s="317">
        <f>+FAT!AN61</f>
        <v>3791.3</v>
      </c>
      <c r="AO8" s="317">
        <f>+FAT!AO61</f>
        <v>4022.6679585896309</v>
      </c>
      <c r="AP8" s="317">
        <f>+FAT!AP61</f>
        <v>4479.7</v>
      </c>
      <c r="AQ8" s="317">
        <f>+FAT!AQ61</f>
        <v>3467.1867261083503</v>
      </c>
      <c r="AR8" s="317">
        <f>+FAT!AR61</f>
        <v>3778.3</v>
      </c>
      <c r="AS8" s="317">
        <f>+FAT!AS61</f>
        <v>3492</v>
      </c>
      <c r="AT8" s="317">
        <f>+FAT!AT61</f>
        <v>3996</v>
      </c>
      <c r="AU8" s="679">
        <f>+FAT!AU61</f>
        <v>3149.0812055591159</v>
      </c>
      <c r="AV8" s="679">
        <f>+FAT!AV61</f>
        <v>3713.0613849912793</v>
      </c>
      <c r="AW8" s="679">
        <f>+FAT!AW61</f>
        <v>3409.6062874211079</v>
      </c>
      <c r="AX8" s="679">
        <f>+FAT!AX61</f>
        <v>4100.5950530779328</v>
      </c>
      <c r="AZ8" s="679">
        <v>4171.2769500430222</v>
      </c>
      <c r="BA8" s="1068">
        <f>+AT8/AZ8-1</f>
        <v>-4.2019974253019621E-2</v>
      </c>
      <c r="BD8" s="317">
        <f>+SUM(C8:F8)</f>
        <v>5482.9760359343272</v>
      </c>
      <c r="BE8" s="317">
        <f>+SUM(G8:J8)</f>
        <v>5465.7525873389177</v>
      </c>
      <c r="BF8" s="317">
        <f>+SUM(K8:N8)</f>
        <v>6941.6307812847326</v>
      </c>
      <c r="BG8" s="317">
        <f>+SUM(O8:R8)</f>
        <v>9603.2333002570031</v>
      </c>
      <c r="BH8" s="317">
        <f>+SUM(S8:V8)</f>
        <v>13255.432000000001</v>
      </c>
      <c r="BI8" s="317">
        <f>+SUM(W8:Z8)</f>
        <v>23692.5</v>
      </c>
      <c r="BJ8" s="317">
        <f>+SUM(AA8:AD8)</f>
        <v>26153.199999999997</v>
      </c>
      <c r="BK8" s="317">
        <f>+SUM(AE8:AH8)</f>
        <v>23193.899999999998</v>
      </c>
      <c r="BL8" s="317">
        <f>+SUM(AI8:AL8)</f>
        <v>18985.910711864402</v>
      </c>
      <c r="BM8" s="2509">
        <f>+SUM(AM8:AP8)</f>
        <v>15324.367958589632</v>
      </c>
      <c r="BN8" s="317">
        <f>+SUM(AQ8:AT8)</f>
        <v>14733.486726108351</v>
      </c>
      <c r="BO8" s="317">
        <f>+SUM(AU8:AX8)</f>
        <v>14372.343931049436</v>
      </c>
      <c r="BP8" s="679">
        <f>+FAT!BR61</f>
        <v>15015.626996328429</v>
      </c>
      <c r="BQ8" s="679">
        <f>+FAT!BS61</f>
        <v>15597.335164195849</v>
      </c>
      <c r="BR8" s="679">
        <f>+FAT!BT61</f>
        <v>16196.419313901954</v>
      </c>
      <c r="BS8" s="679">
        <f>+FAT!BU61</f>
        <v>16773.833652946534</v>
      </c>
    </row>
    <row r="9" spans="1:71" s="1153" customFormat="1">
      <c r="A9" s="1151"/>
      <c r="B9" s="1148" t="s">
        <v>463</v>
      </c>
      <c r="C9" s="1149"/>
      <c r="D9" s="1149"/>
      <c r="E9" s="1149"/>
      <c r="F9" s="1149"/>
      <c r="G9" s="1149"/>
      <c r="H9" s="1149"/>
      <c r="I9" s="1149"/>
      <c r="J9" s="1149"/>
      <c r="K9" s="1149"/>
      <c r="L9" s="1149"/>
      <c r="M9" s="1149"/>
      <c r="N9" s="1149"/>
      <c r="O9" s="1149"/>
      <c r="P9" s="1149"/>
      <c r="Q9" s="1149"/>
      <c r="R9" s="1149"/>
      <c r="S9" s="1149"/>
      <c r="T9" s="1149">
        <f>+T8/T$5</f>
        <v>0.71661649101024794</v>
      </c>
      <c r="U9" s="1149">
        <f t="shared" ref="U9:AC9" si="7">+U8/U$5</f>
        <v>0.72160170418561798</v>
      </c>
      <c r="V9" s="1149">
        <f t="shared" si="7"/>
        <v>0.64256046403231659</v>
      </c>
      <c r="W9" s="1149">
        <f t="shared" si="7"/>
        <v>0.6170923117850492</v>
      </c>
      <c r="X9" s="1149">
        <f t="shared" si="7"/>
        <v>0.66003062787136302</v>
      </c>
      <c r="Y9" s="1149">
        <f t="shared" ref="Y9:Z9" si="8">+Y8/Y$5</f>
        <v>0.64534766543500166</v>
      </c>
      <c r="Z9" s="1149">
        <f t="shared" si="8"/>
        <v>0.64325306527301984</v>
      </c>
      <c r="AA9" s="1149">
        <f t="shared" ref="AA9:AB9" si="9">+AA8/AA$5</f>
        <v>0.64840824960338439</v>
      </c>
      <c r="AB9" s="1149">
        <f t="shared" si="9"/>
        <v>0.65152565880721214</v>
      </c>
      <c r="AC9" s="1149">
        <f t="shared" si="7"/>
        <v>0.65305994219411068</v>
      </c>
      <c r="AD9" s="1149">
        <f t="shared" ref="AD9" si="10">+AD8/AD$5</f>
        <v>0.65150474096468336</v>
      </c>
      <c r="AE9" s="1149">
        <f t="shared" ref="AE9:AH9" si="11">+AE8/AE$5</f>
        <v>0.64310033562332647</v>
      </c>
      <c r="AF9" s="1149">
        <f t="shared" si="11"/>
        <v>0.63035484464055891</v>
      </c>
      <c r="AG9" s="1149">
        <f t="shared" ref="AG9" si="12">+AG8/AG$5</f>
        <v>0.641280806779435</v>
      </c>
      <c r="AH9" s="1149">
        <f t="shared" si="11"/>
        <v>0.6378082349997114</v>
      </c>
      <c r="AI9" s="1149">
        <f t="shared" ref="AI9" si="13">+AI8/AI$5</f>
        <v>0.65920330045627162</v>
      </c>
      <c r="AJ9" s="1149">
        <f t="shared" ref="AJ9:AK9" si="14">+AJ8/AJ$5</f>
        <v>0.65421238127402404</v>
      </c>
      <c r="AK9" s="1149">
        <f t="shared" si="14"/>
        <v>0.65266697537839913</v>
      </c>
      <c r="AL9" s="1149">
        <f t="shared" ref="AL9" si="15">+AL8/AL$5</f>
        <v>0.63032630719448401</v>
      </c>
      <c r="AM9" s="2511">
        <f t="shared" ref="AM9:AP9" si="16">+AM8/AM$5</f>
        <v>0.66215861918287067</v>
      </c>
      <c r="AN9" s="1149">
        <f t="shared" si="16"/>
        <v>0.65483531098329795</v>
      </c>
      <c r="AO9" s="1149">
        <f t="shared" si="16"/>
        <v>0.67318464496158215</v>
      </c>
      <c r="AP9" s="1149">
        <f t="shared" si="16"/>
        <v>0.63178010323526912</v>
      </c>
      <c r="AQ9" s="1149">
        <f t="shared" ref="AQ9:AS9" si="17">+AQ8/AQ$5</f>
        <v>0.67415042127307157</v>
      </c>
      <c r="AR9" s="1149">
        <f t="shared" si="17"/>
        <v>0.66432816401167505</v>
      </c>
      <c r="AS9" s="1149">
        <f t="shared" si="17"/>
        <v>0.67231420870234881</v>
      </c>
      <c r="AT9" s="1149">
        <f t="shared" ref="AT9" si="18">+AT8/AT$5</f>
        <v>0.6452446310350396</v>
      </c>
      <c r="AU9" s="1149">
        <f t="shared" ref="AU9:AX9" si="19">+AU8/AU$5</f>
        <v>0.67415042127307157</v>
      </c>
      <c r="AV9" s="1149">
        <f t="shared" si="19"/>
        <v>0.66432816401167505</v>
      </c>
      <c r="AW9" s="1149">
        <f t="shared" si="19"/>
        <v>0.67231420870234881</v>
      </c>
      <c r="AX9" s="1149">
        <f t="shared" si="19"/>
        <v>0.6452446310350396</v>
      </c>
      <c r="AY9" s="1151"/>
      <c r="AZ9" s="1149">
        <v>0.6573142087023488</v>
      </c>
      <c r="BA9" s="1152">
        <f>+AT9-AZ9</f>
        <v>-1.2069577667309206E-2</v>
      </c>
      <c r="BB9" s="1151"/>
      <c r="BC9" s="1151"/>
      <c r="BD9" s="1149"/>
      <c r="BE9" s="1149">
        <f t="shared" ref="BE9:BP9" si="20">+BE8/BE$5</f>
        <v>0.69075947834894946</v>
      </c>
      <c r="BF9" s="1149">
        <f t="shared" si="20"/>
        <v>0.70453756171949122</v>
      </c>
      <c r="BG9" s="1149">
        <f t="shared" si="20"/>
        <v>0.7185289594384372</v>
      </c>
      <c r="BH9" s="1149">
        <f t="shared" si="20"/>
        <v>0.68161277439033641</v>
      </c>
      <c r="BI9" s="1149">
        <f t="shared" si="20"/>
        <v>0.64169232894298511</v>
      </c>
      <c r="BJ9" s="1149">
        <f t="shared" si="20"/>
        <v>0.65115051562818993</v>
      </c>
      <c r="BK9" s="1149">
        <f t="shared" ref="BK9:BL9" si="21">+BK8/BK$5</f>
        <v>0.63808556997127863</v>
      </c>
      <c r="BL9" s="1149">
        <f t="shared" si="21"/>
        <v>0.64965964882054461</v>
      </c>
      <c r="BM9" s="2511">
        <f t="shared" ref="BM9:BN9" si="22">+BM8/BM$5</f>
        <v>0.65396864062611682</v>
      </c>
      <c r="BN9" s="1149">
        <f t="shared" si="22"/>
        <v>0.66314942901787499</v>
      </c>
      <c r="BO9" s="1149">
        <f t="shared" ref="BO9" si="23">+BO8/BO$5</f>
        <v>0.66271911199040501</v>
      </c>
      <c r="BP9" s="1149">
        <f t="shared" si="20"/>
        <v>0.66271911199040501</v>
      </c>
      <c r="BQ9" s="1149">
        <f t="shared" ref="BQ9:BS9" si="24">+BQ8/BQ$5</f>
        <v>0.66271911199040501</v>
      </c>
      <c r="BR9" s="1149">
        <f t="shared" si="24"/>
        <v>0.66271911199040501</v>
      </c>
      <c r="BS9" s="1149">
        <f t="shared" si="24"/>
        <v>0.66271911199040501</v>
      </c>
    </row>
    <row r="10" spans="1:71" s="883" customFormat="1">
      <c r="A10" s="880"/>
      <c r="B10" s="1087"/>
      <c r="C10" s="881"/>
      <c r="D10" s="881"/>
      <c r="E10" s="881"/>
      <c r="F10" s="881"/>
      <c r="G10" s="881"/>
      <c r="H10" s="881"/>
      <c r="I10" s="881"/>
      <c r="J10" s="881"/>
      <c r="K10" s="881"/>
      <c r="L10" s="881"/>
      <c r="M10" s="881"/>
      <c r="N10" s="881"/>
      <c r="O10" s="881"/>
      <c r="P10" s="881"/>
      <c r="Q10" s="881"/>
      <c r="R10" s="881"/>
      <c r="S10" s="881"/>
      <c r="T10" s="881"/>
      <c r="U10" s="881"/>
      <c r="V10" s="881"/>
      <c r="W10" s="881"/>
      <c r="X10" s="881"/>
      <c r="Y10" s="881"/>
      <c r="Z10" s="881"/>
      <c r="AA10" s="881"/>
      <c r="AB10" s="881"/>
      <c r="AC10" s="881"/>
      <c r="AD10" s="881"/>
      <c r="AE10" s="881"/>
      <c r="AF10" s="881"/>
      <c r="AG10" s="881"/>
      <c r="AH10" s="881"/>
      <c r="AI10" s="881"/>
      <c r="AJ10" s="881"/>
      <c r="AK10" s="881"/>
      <c r="AL10" s="881"/>
      <c r="AM10" s="2512"/>
      <c r="AN10" s="881"/>
      <c r="AO10" s="881"/>
      <c r="AP10" s="881"/>
      <c r="AQ10" s="881"/>
      <c r="AR10" s="881"/>
      <c r="AS10" s="881"/>
      <c r="AT10" s="881"/>
      <c r="AU10" s="882"/>
      <c r="AV10" s="882"/>
      <c r="AW10" s="882"/>
      <c r="AX10" s="882"/>
      <c r="AY10" s="880"/>
      <c r="AZ10" s="882"/>
      <c r="BA10" s="1069"/>
      <c r="BB10" s="880"/>
      <c r="BC10" s="880"/>
      <c r="BD10" s="881"/>
      <c r="BE10" s="881"/>
      <c r="BF10" s="881"/>
      <c r="BG10" s="881"/>
      <c r="BH10" s="881"/>
      <c r="BI10" s="881"/>
      <c r="BJ10" s="881"/>
      <c r="BK10" s="881"/>
      <c r="BL10" s="881"/>
      <c r="BM10" s="2512"/>
      <c r="BN10" s="881"/>
      <c r="BO10" s="881"/>
      <c r="BP10" s="882"/>
      <c r="BQ10" s="882"/>
      <c r="BR10" s="882"/>
      <c r="BS10" s="882"/>
    </row>
    <row r="11" spans="1:71" s="105" customFormat="1">
      <c r="B11" s="138" t="s">
        <v>120</v>
      </c>
      <c r="C11" s="317">
        <f t="shared" ref="C11:AC11" si="25">+C13+C15+C19</f>
        <v>-917.9</v>
      </c>
      <c r="D11" s="317">
        <f t="shared" si="25"/>
        <v>-1035</v>
      </c>
      <c r="E11" s="317">
        <f t="shared" si="25"/>
        <v>-1040.5</v>
      </c>
      <c r="F11" s="317">
        <f t="shared" si="25"/>
        <v>-1233.1000000000001</v>
      </c>
      <c r="G11" s="317">
        <f t="shared" si="25"/>
        <v>-1014.7051431260143</v>
      </c>
      <c r="H11" s="317">
        <f t="shared" si="25"/>
        <v>-1107.0743746929215</v>
      </c>
      <c r="I11" s="317">
        <f t="shared" si="25"/>
        <v>-1084.3755038471131</v>
      </c>
      <c r="J11" s="317">
        <f t="shared" si="25"/>
        <v>-1176.7203507533343</v>
      </c>
      <c r="K11" s="317">
        <f t="shared" si="25"/>
        <v>-911.43670963382124</v>
      </c>
      <c r="L11" s="317">
        <f t="shared" si="25"/>
        <v>-1188.5083151109591</v>
      </c>
      <c r="M11" s="317">
        <f t="shared" si="25"/>
        <v>-1308.7872675129158</v>
      </c>
      <c r="N11" s="317">
        <f t="shared" si="25"/>
        <v>-2174.239434484145</v>
      </c>
      <c r="O11" s="317">
        <f t="shared" si="25"/>
        <v>-1761.0849683408087</v>
      </c>
      <c r="P11" s="317">
        <f t="shared" si="25"/>
        <v>-2015.3756638083919</v>
      </c>
      <c r="Q11" s="317">
        <f t="shared" si="25"/>
        <v>-2034.889743563813</v>
      </c>
      <c r="R11" s="317">
        <f t="shared" si="25"/>
        <v>-2528.0045054706093</v>
      </c>
      <c r="S11" s="317">
        <f t="shared" si="25"/>
        <v>-1921.2</v>
      </c>
      <c r="T11" s="317">
        <f t="shared" si="25"/>
        <v>-2154</v>
      </c>
      <c r="U11" s="317">
        <f t="shared" si="25"/>
        <v>-2241.1999999999998</v>
      </c>
      <c r="V11" s="317">
        <f t="shared" si="25"/>
        <v>-2743.5</v>
      </c>
      <c r="W11" s="317">
        <f t="shared" si="25"/>
        <v>-5119.8999999999996</v>
      </c>
      <c r="X11" s="317">
        <f t="shared" si="25"/>
        <v>-4663.7</v>
      </c>
      <c r="Y11" s="317">
        <f t="shared" ref="Y11:Z11" si="26">+Y13+Y15+Y19</f>
        <v>-5978.2</v>
      </c>
      <c r="Z11" s="317">
        <f t="shared" si="26"/>
        <v>-7140.9</v>
      </c>
      <c r="AA11" s="317">
        <f t="shared" ref="AA11:AB11" si="27">+AA13+AA15+AA19</f>
        <v>-5997.9000000000005</v>
      </c>
      <c r="AB11" s="317">
        <f t="shared" si="27"/>
        <v>-6269.8</v>
      </c>
      <c r="AC11" s="317">
        <f t="shared" si="25"/>
        <v>-5946.5999999999995</v>
      </c>
      <c r="AD11" s="317">
        <f t="shared" ref="AD11" si="28">+AD13+AD15+AD19</f>
        <v>-6820.5999999999995</v>
      </c>
      <c r="AE11" s="317">
        <f t="shared" ref="AE11:AH11" si="29">+AE13+AE15+AE19</f>
        <v>-5441.2000000000007</v>
      </c>
      <c r="AF11" s="317">
        <f t="shared" si="29"/>
        <v>-5624.5</v>
      </c>
      <c r="AG11" s="317">
        <f t="shared" ref="AG11" si="30">+AG13+AG15+AG19</f>
        <v>-5806.9</v>
      </c>
      <c r="AH11" s="317">
        <f t="shared" si="29"/>
        <v>-6779.7</v>
      </c>
      <c r="AI11" s="317">
        <f t="shared" ref="AI11" si="31">+AI13+AI15+AI19</f>
        <v>-4798.1000000000004</v>
      </c>
      <c r="AJ11" s="317">
        <f t="shared" ref="AJ11:AK11" si="32">+AJ13+AJ15+AJ19</f>
        <v>-5217.630000000001</v>
      </c>
      <c r="AK11" s="317">
        <f t="shared" si="32"/>
        <v>-4954.9110000000001</v>
      </c>
      <c r="AL11" s="317">
        <f>+AL13+AL15+AL19</f>
        <v>-4588.7</v>
      </c>
      <c r="AM11" s="2509">
        <f t="shared" ref="AM11:AP11" si="33">+AM13+AM15+AM19</f>
        <v>-2595.1999999999998</v>
      </c>
      <c r="AN11" s="317">
        <f t="shared" si="33"/>
        <v>-3323.4999999999995</v>
      </c>
      <c r="AO11" s="317">
        <f t="shared" si="33"/>
        <v>-3591.7160112746151</v>
      </c>
      <c r="AP11" s="317">
        <f t="shared" si="33"/>
        <v>-4912.3999999999996</v>
      </c>
      <c r="AQ11" s="317">
        <f t="shared" ref="AQ11:AS11" si="34">+AQ13+AQ15+AQ19</f>
        <v>-3035.0000000000005</v>
      </c>
      <c r="AR11" s="317">
        <f t="shared" si="34"/>
        <v>-3331.8</v>
      </c>
      <c r="AS11" s="317">
        <f t="shared" si="34"/>
        <v>-3267.1</v>
      </c>
      <c r="AT11" s="317">
        <f t="shared" ref="AT11" si="35">+AT13+AT15+AT19</f>
        <v>-3793</v>
      </c>
      <c r="AU11" s="679">
        <f t="shared" ref="AU11:AX11" si="36">+AU13+AU15+AU19</f>
        <v>-2715.9783910938422</v>
      </c>
      <c r="AV11" s="679">
        <f t="shared" si="36"/>
        <v>-3350.8459593295233</v>
      </c>
      <c r="AW11" s="679">
        <f t="shared" si="36"/>
        <v>-3075.7197106919753</v>
      </c>
      <c r="AX11" s="679">
        <f t="shared" si="36"/>
        <v>-3513.2291056592994</v>
      </c>
      <c r="AZ11" s="679">
        <v>-3834.2685846573872</v>
      </c>
      <c r="BA11" s="1068">
        <f>+AT11/AZ11-1</f>
        <v>-1.0763091772579836E-2</v>
      </c>
      <c r="BD11" s="317">
        <f>+SUM(C11:F11)</f>
        <v>-4226.5</v>
      </c>
      <c r="BE11" s="317">
        <f>+SUM(G11:J11)</f>
        <v>-4382.875372419383</v>
      </c>
      <c r="BF11" s="317">
        <f>+SUM(K11:N11)</f>
        <v>-5582.9717267418409</v>
      </c>
      <c r="BG11" s="317">
        <f>+SUM(O11:R11)</f>
        <v>-8339.3548811836226</v>
      </c>
      <c r="BH11" s="317">
        <f>+SUM(S11:V11)</f>
        <v>-9059.9</v>
      </c>
      <c r="BI11" s="317">
        <f t="shared" ref="BI11:BP11" si="37">+BI13+BI15+BI19</f>
        <v>-22902.7</v>
      </c>
      <c r="BJ11" s="317">
        <f t="shared" si="37"/>
        <v>-25034.899999999998</v>
      </c>
      <c r="BK11" s="317">
        <f t="shared" ref="BK11:BL11" si="38">+BK13+BK15+BK19</f>
        <v>-23652.3</v>
      </c>
      <c r="BL11" s="317">
        <f t="shared" si="38"/>
        <v>-19559.341</v>
      </c>
      <c r="BM11" s="2509">
        <f t="shared" ref="BM11:BN11" si="39">+BM13+BM15+BM19</f>
        <v>-14422.816011274615</v>
      </c>
      <c r="BN11" s="317">
        <f t="shared" si="39"/>
        <v>-13426.899999999998</v>
      </c>
      <c r="BO11" s="317">
        <f t="shared" ref="BO11" si="40">+BO13+BO15+BO19</f>
        <v>-12655.773166774641</v>
      </c>
      <c r="BP11" s="679">
        <f t="shared" si="37"/>
        <v>-13119.013986090806</v>
      </c>
      <c r="BQ11" s="679">
        <f t="shared" ref="BQ11:BS11" si="41">+BQ13+BQ15+BQ19</f>
        <v>-13643.651114358305</v>
      </c>
      <c r="BR11" s="679">
        <f t="shared" si="41"/>
        <v>-14132.478522549671</v>
      </c>
      <c r="BS11" s="679">
        <f t="shared" si="41"/>
        <v>-14610.249140606433</v>
      </c>
    </row>
    <row r="12" spans="1:71" s="105" customFormat="1">
      <c r="B12" s="1091" t="s">
        <v>283</v>
      </c>
      <c r="C12" s="317"/>
      <c r="D12" s="317"/>
      <c r="E12" s="317"/>
      <c r="F12" s="317"/>
      <c r="G12" s="317"/>
      <c r="H12" s="317"/>
      <c r="I12" s="317"/>
      <c r="J12" s="317"/>
      <c r="K12" s="317"/>
      <c r="L12" s="317"/>
      <c r="M12" s="317"/>
      <c r="N12" s="317"/>
      <c r="O12" s="317"/>
      <c r="P12" s="317"/>
      <c r="Q12" s="317"/>
      <c r="R12" s="317"/>
      <c r="S12" s="317"/>
      <c r="T12" s="1088">
        <f>+T11/T$5</f>
        <v>-0.63283905880320557</v>
      </c>
      <c r="U12" s="1088">
        <f t="shared" ref="U12" si="42">+U11/U$5</f>
        <v>-0.64517243364615107</v>
      </c>
      <c r="V12" s="1088">
        <f t="shared" ref="V12" si="43">+V11/V$5</f>
        <v>-0.28416800455746027</v>
      </c>
      <c r="W12" s="1088">
        <f t="shared" ref="W12" si="44">+W11/W$5</f>
        <v>-0.68101888800212818</v>
      </c>
      <c r="X12" s="1088">
        <f t="shared" ref="X12:Y12" si="45">+X11/X$5</f>
        <v>-0.66747291437076905</v>
      </c>
      <c r="Y12" s="1088">
        <f t="shared" si="45"/>
        <v>-0.57375113969000424</v>
      </c>
      <c r="Z12" s="1088">
        <f t="shared" ref="Z12" si="46">+Z11/Z$5</f>
        <v>-0.59520892200745168</v>
      </c>
      <c r="AA12" s="1088">
        <f t="shared" ref="AA12:AB12" si="47">+AA11/AA$5</f>
        <v>-0.63436277102062411</v>
      </c>
      <c r="AB12" s="1088">
        <f t="shared" si="47"/>
        <v>-0.65878619762114909</v>
      </c>
      <c r="AC12" s="1088">
        <f t="shared" ref="AC12:AD12" si="48">+AC11/AC$5</f>
        <v>-0.62273279437020901</v>
      </c>
      <c r="AD12" s="1088">
        <f t="shared" si="48"/>
        <v>-0.58580115432183588</v>
      </c>
      <c r="AE12" s="1088">
        <f t="shared" ref="AE12:AH12" si="49">+AE11/AE$5</f>
        <v>-0.6592756836659277</v>
      </c>
      <c r="AF12" s="1088">
        <f t="shared" si="49"/>
        <v>-0.64631595881595882</v>
      </c>
      <c r="AG12" s="1088">
        <f t="shared" ref="AG12" si="50">+AG11/AG$5</f>
        <v>-0.64494596665815151</v>
      </c>
      <c r="AH12" s="1088">
        <f t="shared" si="49"/>
        <v>-0.65253421625055341</v>
      </c>
      <c r="AI12" s="1088">
        <f t="shared" ref="AI12" si="51">+AI11/AI$5</f>
        <v>-0.65546023332695846</v>
      </c>
      <c r="AJ12" s="1088">
        <f t="shared" ref="AJ12:AK12" si="52">+AJ11/AJ$5</f>
        <v>-0.67120430213738036</v>
      </c>
      <c r="AK12" s="1088">
        <f t="shared" si="52"/>
        <v>-0.65913781628707591</v>
      </c>
      <c r="AL12" s="1088">
        <f t="shared" ref="AL12" si="53">+AL11/AL$5</f>
        <v>-0.69384885233011762</v>
      </c>
      <c r="AM12" s="2513">
        <f t="shared" ref="AM12:AP12" si="54">+AM11/AM$5</f>
        <v>-0.56700895783264127</v>
      </c>
      <c r="AN12" s="1088">
        <f t="shared" si="54"/>
        <v>-0.57403665129454029</v>
      </c>
      <c r="AO12" s="1088">
        <f t="shared" si="54"/>
        <v>-0.60106578339129346</v>
      </c>
      <c r="AP12" s="1088">
        <f t="shared" si="54"/>
        <v>-0.69280455814740638</v>
      </c>
      <c r="AQ12" s="1088">
        <f t="shared" ref="AQ12:AS12" si="55">+AQ11/AQ$5</f>
        <v>-0.59011720169461479</v>
      </c>
      <c r="AR12" s="1088">
        <f t="shared" si="55"/>
        <v>-0.5858212891655239</v>
      </c>
      <c r="AS12" s="1088">
        <f t="shared" si="55"/>
        <v>-0.62901424720831722</v>
      </c>
      <c r="AT12" s="1088">
        <f t="shared" ref="AT12" si="56">+AT11/AT$5</f>
        <v>-0.61246568706604232</v>
      </c>
      <c r="AU12" s="1089">
        <f t="shared" ref="AU12:AX12" si="57">+AU11/AU$5</f>
        <v>-0.58143244235563774</v>
      </c>
      <c r="AV12" s="1089">
        <f t="shared" si="57"/>
        <v>-0.59952182666448173</v>
      </c>
      <c r="AW12" s="1089">
        <f t="shared" si="57"/>
        <v>-0.60647766609092368</v>
      </c>
      <c r="AX12" s="1089">
        <f t="shared" si="57"/>
        <v>-0.55282030746273103</v>
      </c>
      <c r="AY12" s="1090"/>
      <c r="AZ12" s="1089">
        <v>-0.60420807605458826</v>
      </c>
      <c r="BA12" s="1152">
        <f>+AT12-AZ12</f>
        <v>-8.257611011454058E-3</v>
      </c>
      <c r="BD12" s="317"/>
      <c r="BE12" s="881">
        <f t="shared" ref="BE12:BS12" si="58">+BE11/BE$5</f>
        <v>-0.5539059182689533</v>
      </c>
      <c r="BF12" s="881">
        <f t="shared" si="58"/>
        <v>-0.56664109795530959</v>
      </c>
      <c r="BG12" s="881">
        <f t="shared" si="58"/>
        <v>-0.62396359619883024</v>
      </c>
      <c r="BH12" s="881">
        <f t="shared" si="58"/>
        <v>-0.46587267579804331</v>
      </c>
      <c r="BI12" s="881">
        <f t="shared" si="58"/>
        <v>-0.62030123043505359</v>
      </c>
      <c r="BJ12" s="881">
        <f t="shared" si="58"/>
        <v>-0.62330758927015328</v>
      </c>
      <c r="BK12" s="881">
        <f t="shared" si="58"/>
        <v>-0.65069657654088675</v>
      </c>
      <c r="BL12" s="881">
        <f t="shared" si="58"/>
        <v>-0.66928127905292722</v>
      </c>
      <c r="BM12" s="2512">
        <f t="shared" si="58"/>
        <v>-0.61549483844173669</v>
      </c>
      <c r="BN12" s="881">
        <f t="shared" si="58"/>
        <v>-0.60434038690256353</v>
      </c>
      <c r="BO12" s="881">
        <f t="shared" ref="BO12" si="59">+BO11/BO$5</f>
        <v>-0.58356679988136573</v>
      </c>
      <c r="BP12" s="881">
        <f t="shared" si="58"/>
        <v>-0.57901153919031711</v>
      </c>
      <c r="BQ12" s="881">
        <f t="shared" si="58"/>
        <v>-0.57970853710769821</v>
      </c>
      <c r="BR12" s="881">
        <f t="shared" si="58"/>
        <v>-0.57826754390388868</v>
      </c>
      <c r="BS12" s="881">
        <f t="shared" si="58"/>
        <v>-0.57723782986964467</v>
      </c>
    </row>
    <row r="13" spans="1:71">
      <c r="B13" s="102" t="s">
        <v>464</v>
      </c>
      <c r="C13" s="318">
        <f>+FAT!C70</f>
        <v>-648</v>
      </c>
      <c r="D13" s="318">
        <f>+FAT!D70</f>
        <v>-745.8</v>
      </c>
      <c r="E13" s="318">
        <f>+FAT!E70</f>
        <v>-762.9</v>
      </c>
      <c r="F13" s="318">
        <f>+FAT!F70</f>
        <v>-842.1</v>
      </c>
      <c r="G13" s="318">
        <f>+FAT!G70</f>
        <v>-694.86437614061208</v>
      </c>
      <c r="H13" s="318">
        <f>+FAT!H70</f>
        <v>-780.86445476264169</v>
      </c>
      <c r="I13" s="318">
        <f>+FAT!I70</f>
        <v>-770.98338864337666</v>
      </c>
      <c r="J13" s="318">
        <f>+FAT!J70</f>
        <v>-863.45686673107559</v>
      </c>
      <c r="K13" s="318">
        <f>+FAT!K70</f>
        <v>-736.02438187830364</v>
      </c>
      <c r="L13" s="318">
        <f>+FAT!L70</f>
        <v>-809.6534824381713</v>
      </c>
      <c r="M13" s="318">
        <f>+FAT!M70</f>
        <v>-985.065297830899</v>
      </c>
      <c r="N13" s="318">
        <f>+FAT!N70</f>
        <v>-1534.6059976337401</v>
      </c>
      <c r="O13" s="318">
        <f>+FAT!O70</f>
        <v>-1282.9864687119498</v>
      </c>
      <c r="P13" s="318">
        <f>+FAT!P70</f>
        <v>-1449.6160440882677</v>
      </c>
      <c r="Q13" s="318">
        <f>+FAT!Q70</f>
        <v>-1534.3646750588937</v>
      </c>
      <c r="R13" s="318">
        <f>+FAT!R70</f>
        <v>-1785.8738696003638</v>
      </c>
      <c r="S13" s="318">
        <f>+FAT!S70</f>
        <v>-1398.5</v>
      </c>
      <c r="T13" s="318">
        <f>+FAT!T70</f>
        <v>-1594.9</v>
      </c>
      <c r="U13" s="318">
        <f>+FAT!U70</f>
        <v>-1613.7</v>
      </c>
      <c r="V13" s="318">
        <f>+FAT!V70</f>
        <v>-1998</v>
      </c>
      <c r="W13" s="318">
        <f>+FAT!W70</f>
        <v>-3523.2</v>
      </c>
      <c r="X13" s="318">
        <f>+FAT!X70</f>
        <v>-3378.1</v>
      </c>
      <c r="Y13" s="318">
        <f>+FAT!Y70</f>
        <v>-4280.3</v>
      </c>
      <c r="Z13" s="318">
        <f>+FAT!Z70</f>
        <v>-5244.7</v>
      </c>
      <c r="AA13" s="318">
        <f>+FAT!AA70</f>
        <v>-4255</v>
      </c>
      <c r="AB13" s="318">
        <f>+FAT!AB70</f>
        <v>-4248.1000000000004</v>
      </c>
      <c r="AC13" s="318">
        <f>+FAT!AC70</f>
        <v>-4288.3999999999996</v>
      </c>
      <c r="AD13" s="318">
        <f>+FAT!AD70</f>
        <v>-5042.3</v>
      </c>
      <c r="AE13" s="318">
        <f>+FAT!AE70</f>
        <v>-3849.2</v>
      </c>
      <c r="AF13" s="318">
        <f>+FAT!AF70</f>
        <v>-3856.7000000000003</v>
      </c>
      <c r="AG13" s="318">
        <f>+FAT!AG70</f>
        <v>-4119.8999999999996</v>
      </c>
      <c r="AH13" s="318">
        <f>+FAT!AH70</f>
        <v>-4334.8</v>
      </c>
      <c r="AI13" s="318">
        <f>+FAT!AI70</f>
        <v>-3320.4</v>
      </c>
      <c r="AJ13" s="318">
        <f>+FAT!AJ70</f>
        <v>-3497.4</v>
      </c>
      <c r="AK13" s="318">
        <f>+FAT!AK70</f>
        <v>-3394.732</v>
      </c>
      <c r="AL13" s="318">
        <f>+FAT!AL70</f>
        <v>-3023.2</v>
      </c>
      <c r="AM13" s="2510">
        <f>+FAT!AM70</f>
        <v>-1954.1999999999998</v>
      </c>
      <c r="AN13" s="318">
        <f>+FAT!AN70</f>
        <v>-2447.1999999999998</v>
      </c>
      <c r="AO13" s="318">
        <f>+FAT!AO70</f>
        <v>-2623.8994396002008</v>
      </c>
      <c r="AP13" s="318">
        <f>+FAT!AP70</f>
        <v>-3188.2</v>
      </c>
      <c r="AQ13" s="318">
        <f>+FAT!AQ70</f>
        <v>-2244.4</v>
      </c>
      <c r="AR13" s="318">
        <f>+FAT!AR70</f>
        <v>-2344.4</v>
      </c>
      <c r="AS13" s="318">
        <f>+FAT!AS70</f>
        <v>-2308</v>
      </c>
      <c r="AT13" s="318">
        <f>+FAT!AT70</f>
        <v>-2513</v>
      </c>
      <c r="AU13" s="680">
        <f>+FAT!AU70</f>
        <v>-2031.9653910938423</v>
      </c>
      <c r="AV13" s="680">
        <f>+FAT!AV70</f>
        <v>-2431.3009593295233</v>
      </c>
      <c r="AW13" s="680">
        <f>+FAT!AW70</f>
        <v>-2206.0797106919754</v>
      </c>
      <c r="AX13" s="680">
        <f>+FAT!AX70</f>
        <v>-2764.4691056592997</v>
      </c>
      <c r="AZ13" s="680">
        <v>-2823.9435846573874</v>
      </c>
      <c r="BA13" s="1068">
        <f>+AT13/AZ13-1</f>
        <v>-0.11010970132220699</v>
      </c>
      <c r="BB13" s="1165"/>
      <c r="BC13" s="1165"/>
      <c r="BD13" s="318">
        <f>+SUM(C13:F13)</f>
        <v>-2998.7999999999997</v>
      </c>
      <c r="BE13" s="318">
        <f>+SUM(G13:J13)</f>
        <v>-3110.1690862777059</v>
      </c>
      <c r="BF13" s="318">
        <f>+SUM(K13:N13)</f>
        <v>-4065.3491597811139</v>
      </c>
      <c r="BG13" s="318">
        <f>+SUM(O13:R13)</f>
        <v>-6052.8410574594745</v>
      </c>
      <c r="BH13" s="318">
        <f>+SUM(S13:V13)</f>
        <v>-6605.1</v>
      </c>
      <c r="BI13" s="318">
        <f>+SUM(W13:Z13)</f>
        <v>-16426.3</v>
      </c>
      <c r="BJ13" s="318">
        <f>+SUM(AA13:AD13)</f>
        <v>-17833.8</v>
      </c>
      <c r="BK13" s="318">
        <f>+SUM(AE13:AH13)</f>
        <v>-16160.599999999999</v>
      </c>
      <c r="BL13" s="318">
        <f>+SUM(AI13:AL13)</f>
        <v>-13235.732</v>
      </c>
      <c r="BM13" s="2510">
        <f>+SUM(AM13:AP13)</f>
        <v>-10213.4994396002</v>
      </c>
      <c r="BN13" s="318">
        <f>+SUM(AQ13:AT13)</f>
        <v>-9409.7999999999993</v>
      </c>
      <c r="BO13" s="318">
        <f>+SUM(AU13:AX13)</f>
        <v>-9433.8151667746406</v>
      </c>
      <c r="BP13" s="680">
        <f>+FAT!BR70</f>
        <v>-9742.7695860908061</v>
      </c>
      <c r="BQ13" s="680">
        <f>+FAT!BS70</f>
        <v>-10120.206282358306</v>
      </c>
      <c r="BR13" s="680">
        <f>+FAT!BT70</f>
        <v>-10508.917245589671</v>
      </c>
      <c r="BS13" s="680">
        <f>+FAT!BU70</f>
        <v>-10883.567925337633</v>
      </c>
    </row>
    <row r="14" spans="1:71" s="105" customFormat="1" hidden="1">
      <c r="B14" s="138"/>
      <c r="C14" s="317"/>
      <c r="D14" s="317"/>
      <c r="E14" s="317"/>
      <c r="F14" s="317"/>
      <c r="G14" s="317"/>
      <c r="H14" s="317"/>
      <c r="I14" s="317"/>
      <c r="J14" s="317"/>
      <c r="K14" s="317"/>
      <c r="L14" s="317"/>
      <c r="M14" s="317"/>
      <c r="N14" s="317"/>
      <c r="O14" s="317"/>
      <c r="P14" s="317"/>
      <c r="Q14" s="317"/>
      <c r="R14" s="317"/>
      <c r="S14" s="317"/>
      <c r="T14" s="317"/>
      <c r="U14" s="317"/>
      <c r="V14" s="317"/>
      <c r="W14" s="317"/>
      <c r="X14" s="317"/>
      <c r="Y14" s="317"/>
      <c r="Z14" s="317"/>
      <c r="AA14" s="317"/>
      <c r="AB14" s="317"/>
      <c r="AC14" s="317"/>
      <c r="AD14" s="317"/>
      <c r="AE14" s="317"/>
      <c r="AF14" s="317"/>
      <c r="AG14" s="317"/>
      <c r="AH14" s="317"/>
      <c r="AI14" s="317"/>
      <c r="AJ14" s="317"/>
      <c r="AK14" s="317"/>
      <c r="AL14" s="317"/>
      <c r="AM14" s="2509"/>
      <c r="AN14" s="317"/>
      <c r="AO14" s="317"/>
      <c r="AP14" s="317"/>
      <c r="AQ14" s="317"/>
      <c r="AR14" s="317"/>
      <c r="AS14" s="317"/>
      <c r="AT14" s="317"/>
      <c r="AU14" s="679"/>
      <c r="AV14" s="679"/>
      <c r="AW14" s="679"/>
      <c r="AX14" s="679"/>
      <c r="AZ14" s="679"/>
      <c r="BA14" s="1070"/>
      <c r="BD14" s="317"/>
      <c r="BE14" s="881">
        <f t="shared" ref="BE14:BJ14" si="60">+BE13/BE$5</f>
        <v>-0.3930618412166707</v>
      </c>
      <c r="BF14" s="881">
        <f t="shared" si="60"/>
        <v>-0.41261070702473662</v>
      </c>
      <c r="BG14" s="881">
        <f t="shared" si="60"/>
        <v>-0.45288304997715861</v>
      </c>
      <c r="BH14" s="881">
        <f t="shared" si="60"/>
        <v>-0.33964344097767701</v>
      </c>
      <c r="BI14" s="881">
        <f t="shared" si="60"/>
        <v>-0.44489313930214863</v>
      </c>
      <c r="BJ14" s="881">
        <f t="shared" si="60"/>
        <v>-0.44401786647943714</v>
      </c>
      <c r="BK14" s="881">
        <f t="shared" ref="BK14:BL14" si="61">+BK13/BK$5</f>
        <v>-0.44459300342235869</v>
      </c>
      <c r="BL14" s="881">
        <f t="shared" si="61"/>
        <v>-0.45290010753234267</v>
      </c>
      <c r="BM14" s="2512">
        <f t="shared" ref="BM14:BN14" si="62">+BM13/BM$5</f>
        <v>-0.43586191369198068</v>
      </c>
      <c r="BN14" s="881">
        <f t="shared" si="62"/>
        <v>-0.42353202695154818</v>
      </c>
      <c r="BO14" s="881">
        <f t="shared" ref="BO14" si="63">+BO13/BO$5</f>
        <v>-0.435</v>
      </c>
      <c r="BP14" s="679"/>
      <c r="BQ14" s="679"/>
      <c r="BR14" s="679"/>
      <c r="BS14" s="679"/>
    </row>
    <row r="15" spans="1:71">
      <c r="B15" s="102" t="s">
        <v>465</v>
      </c>
      <c r="C15" s="318">
        <f>+FAT!C74</f>
        <v>-278.39999999999998</v>
      </c>
      <c r="D15" s="318">
        <f>+FAT!D74</f>
        <v>-299.10000000000002</v>
      </c>
      <c r="E15" s="318">
        <f>+FAT!E74</f>
        <v>-314.2</v>
      </c>
      <c r="F15" s="318">
        <f>+FAT!F74</f>
        <v>-401.8</v>
      </c>
      <c r="G15" s="318">
        <f>+FAT!G74</f>
        <v>-327.58135152010129</v>
      </c>
      <c r="H15" s="318">
        <f>+FAT!H74</f>
        <v>-321.79427063546893</v>
      </c>
      <c r="I15" s="318">
        <f>+FAT!I74</f>
        <v>-320.89211520373647</v>
      </c>
      <c r="J15" s="318">
        <f>+FAT!J74</f>
        <v>-356.8251722608623</v>
      </c>
      <c r="K15" s="318">
        <f>+FAT!K74</f>
        <v>-355.47475595700053</v>
      </c>
      <c r="L15" s="318">
        <f>+FAT!L74</f>
        <v>-356.20540185957947</v>
      </c>
      <c r="M15" s="318">
        <f>+FAT!M74</f>
        <v>-384.02427837637407</v>
      </c>
      <c r="N15" s="318">
        <f>+FAT!N74</f>
        <v>-562.12459856902831</v>
      </c>
      <c r="O15" s="318">
        <f>+FAT!O74</f>
        <v>-448.80932792248024</v>
      </c>
      <c r="P15" s="318">
        <f>+FAT!P74</f>
        <v>-503.51076776960696</v>
      </c>
      <c r="Q15" s="318">
        <f>+FAT!Q74</f>
        <v>-488.96383474395276</v>
      </c>
      <c r="R15" s="318">
        <f>+FAT!R74</f>
        <v>-703.59362907435457</v>
      </c>
      <c r="S15" s="318">
        <f>+FAT!S74</f>
        <v>-498.4</v>
      </c>
      <c r="T15" s="318">
        <f>+FAT!T74</f>
        <v>-531.4</v>
      </c>
      <c r="U15" s="318">
        <f>+FAT!U74</f>
        <v>-569.29999999999995</v>
      </c>
      <c r="V15" s="318">
        <f>+FAT!V74</f>
        <v>-652.5</v>
      </c>
      <c r="W15" s="318">
        <f>+FAT!W74</f>
        <v>-1228</v>
      </c>
      <c r="X15" s="318">
        <f>+FAT!X74</f>
        <v>-1266.2</v>
      </c>
      <c r="Y15" s="318">
        <f>+FAT!Y74</f>
        <v>-1469.2</v>
      </c>
      <c r="Z15" s="318">
        <f>+FAT!Z74</f>
        <v>-1619.1</v>
      </c>
      <c r="AA15" s="318">
        <f>+FAT!AA74</f>
        <v>-1506.6</v>
      </c>
      <c r="AB15" s="318">
        <f>+FAT!AB74</f>
        <v>-1671.4</v>
      </c>
      <c r="AC15" s="318">
        <f>+FAT!AC74</f>
        <v>-1655.4</v>
      </c>
      <c r="AD15" s="318">
        <f>+FAT!AD74</f>
        <v>-1566.1</v>
      </c>
      <c r="AE15" s="318">
        <f>+FAT!AE74</f>
        <v>-1423.4</v>
      </c>
      <c r="AF15" s="318">
        <f>+FAT!AF74</f>
        <v>-1491.1</v>
      </c>
      <c r="AG15" s="318">
        <f>+FAT!AG74</f>
        <v>-1474.7</v>
      </c>
      <c r="AH15" s="318">
        <f>+FAT!AH74</f>
        <v>-1771.7</v>
      </c>
      <c r="AI15" s="318">
        <f>+FAT!AI74</f>
        <v>-1310.9</v>
      </c>
      <c r="AJ15" s="318">
        <f>+FAT!AJ74</f>
        <v>-1317.3000000000002</v>
      </c>
      <c r="AK15" s="318">
        <f>+FAT!AK74</f>
        <v>-1200.7329999999999</v>
      </c>
      <c r="AL15" s="318">
        <f>+FAT!AL74</f>
        <v>-699.1</v>
      </c>
      <c r="AM15" s="2510">
        <f>+FAT!AM74</f>
        <v>-629.1</v>
      </c>
      <c r="AN15" s="318">
        <f>+FAT!AN74</f>
        <v>-748.1</v>
      </c>
      <c r="AO15" s="318">
        <f>+FAT!AO74</f>
        <v>-733.35786389161535</v>
      </c>
      <c r="AP15" s="318">
        <f>+FAT!AP74</f>
        <v>-863.5</v>
      </c>
      <c r="AQ15" s="318">
        <f>+FAT!AQ74</f>
        <v>-653.70000000000005</v>
      </c>
      <c r="AR15" s="318">
        <f>+FAT!AR74</f>
        <v>-834.5</v>
      </c>
      <c r="AS15" s="318">
        <f>+FAT!AS74</f>
        <v>-831.09999999999991</v>
      </c>
      <c r="AT15" s="318">
        <f>+FAT!AT74</f>
        <v>-766</v>
      </c>
      <c r="AU15" s="680">
        <f>+FAT!AU74</f>
        <v>-654.84800000000007</v>
      </c>
      <c r="AV15" s="680">
        <f>+FAT!AV74</f>
        <v>-842.88</v>
      </c>
      <c r="AW15" s="680">
        <f>+FAT!AW74</f>
        <v>-839.24</v>
      </c>
      <c r="AX15" s="680">
        <f>+FAT!AX74</f>
        <v>-748.76</v>
      </c>
      <c r="AZ15" s="680">
        <v>-820.32499999999993</v>
      </c>
      <c r="BA15" s="1068">
        <f>+AT15/AZ15-1</f>
        <v>-6.6223752780909972E-2</v>
      </c>
      <c r="BD15" s="318">
        <f>+SUM(C15:F15)</f>
        <v>-1293.5</v>
      </c>
      <c r="BE15" s="318">
        <f>+SUM(G15:J15)</f>
        <v>-1327.0929096201689</v>
      </c>
      <c r="BF15" s="318">
        <f>+SUM(K15:N15)</f>
        <v>-1657.8290347619823</v>
      </c>
      <c r="BG15" s="318">
        <f>+SUM(O15:R15)</f>
        <v>-2144.8775595103943</v>
      </c>
      <c r="BH15" s="318">
        <f>+SUM(S15:V15)</f>
        <v>-2251.6</v>
      </c>
      <c r="BI15" s="318">
        <f>+SUM(W15:Z15)</f>
        <v>-5582.5</v>
      </c>
      <c r="BJ15" s="318">
        <f>+SUM(AA15:AD15)</f>
        <v>-6399.5</v>
      </c>
      <c r="BK15" s="318">
        <f>+SUM(AE15:AH15)</f>
        <v>-6160.9</v>
      </c>
      <c r="BL15" s="318">
        <f>+SUM(AI15:AL15)</f>
        <v>-4528.0330000000004</v>
      </c>
      <c r="BM15" s="2510">
        <f>+SUM(AM15:AP15)</f>
        <v>-2974.0578638916154</v>
      </c>
      <c r="BN15" s="318">
        <f>+SUM(AQ15:AT15)</f>
        <v>-3085.3</v>
      </c>
      <c r="BO15" s="318">
        <f>+SUM(AU15:AX15)</f>
        <v>-3085.7280000000001</v>
      </c>
      <c r="BP15" s="680">
        <f>+FAT!BR74</f>
        <v>-3240.0144</v>
      </c>
      <c r="BQ15" s="680">
        <f>+FAT!BS74</f>
        <v>-3337.2148320000001</v>
      </c>
      <c r="BR15" s="680">
        <f>+FAT!BT74</f>
        <v>-3437.3312769600002</v>
      </c>
      <c r="BS15" s="680">
        <f>+FAT!BU74</f>
        <v>-3540.4512152688003</v>
      </c>
    </row>
    <row r="16" spans="1:71" s="105" customFormat="1" hidden="1">
      <c r="B16" s="138"/>
      <c r="C16" s="317"/>
      <c r="D16" s="317"/>
      <c r="E16" s="317"/>
      <c r="F16" s="317"/>
      <c r="G16" s="317"/>
      <c r="H16" s="317"/>
      <c r="I16" s="317"/>
      <c r="J16" s="317"/>
      <c r="K16" s="317"/>
      <c r="L16" s="317"/>
      <c r="M16" s="317"/>
      <c r="N16" s="317"/>
      <c r="O16" s="317"/>
      <c r="P16" s="317"/>
      <c r="Q16" s="317"/>
      <c r="R16" s="317"/>
      <c r="S16" s="317"/>
      <c r="T16" s="317"/>
      <c r="U16" s="317"/>
      <c r="V16" s="317"/>
      <c r="W16" s="317"/>
      <c r="X16" s="317"/>
      <c r="Y16" s="317"/>
      <c r="Z16" s="317"/>
      <c r="AA16" s="317"/>
      <c r="AB16" s="317"/>
      <c r="AC16" s="317"/>
      <c r="AD16" s="317"/>
      <c r="AE16" s="317"/>
      <c r="AF16" s="317"/>
      <c r="AG16" s="317"/>
      <c r="AH16" s="317"/>
      <c r="AI16" s="317"/>
      <c r="AJ16" s="317"/>
      <c r="AK16" s="317"/>
      <c r="AL16" s="317"/>
      <c r="AM16" s="2509"/>
      <c r="AN16" s="317"/>
      <c r="AO16" s="317"/>
      <c r="AP16" s="317"/>
      <c r="AQ16" s="317"/>
      <c r="AR16" s="317"/>
      <c r="AS16" s="317"/>
      <c r="AT16" s="317"/>
      <c r="AU16" s="679"/>
      <c r="AV16" s="679"/>
      <c r="AW16" s="679"/>
      <c r="AX16" s="679"/>
      <c r="AZ16" s="679"/>
      <c r="BA16" s="1070"/>
      <c r="BD16" s="317"/>
      <c r="BE16" s="881">
        <f t="shared" ref="BE16:BJ16" si="64">+BE15/BE$5</f>
        <v>-0.1677174353067685</v>
      </c>
      <c r="BF16" s="881">
        <f t="shared" si="64"/>
        <v>-0.16826058064742169</v>
      </c>
      <c r="BG16" s="881">
        <f t="shared" si="64"/>
        <v>-0.16048309905337962</v>
      </c>
      <c r="BH16" s="881">
        <f t="shared" si="64"/>
        <v>-0.11578040782203713</v>
      </c>
      <c r="BI16" s="881">
        <f t="shared" si="64"/>
        <v>-0.15119752775453052</v>
      </c>
      <c r="BJ16" s="881">
        <f t="shared" si="64"/>
        <v>-0.15933184943955622</v>
      </c>
      <c r="BK16" s="881">
        <f t="shared" ref="BK16:BL16" si="65">+BK15/BK$5</f>
        <v>-0.16949203833922066</v>
      </c>
      <c r="BL16" s="881">
        <f t="shared" si="65"/>
        <v>-0.15494017502092036</v>
      </c>
      <c r="BM16" s="2512">
        <f t="shared" ref="BM16:BN16" si="66">+BM15/BM$5</f>
        <v>-0.12691815960360259</v>
      </c>
      <c r="BN16" s="881">
        <f t="shared" si="66"/>
        <v>-0.13886834605981124</v>
      </c>
      <c r="BO16" s="881">
        <f t="shared" ref="BO16" si="67">+BO15/BO$5</f>
        <v>-0.14228513663565032</v>
      </c>
      <c r="BP16" s="679"/>
      <c r="BQ16" s="679"/>
      <c r="BR16" s="679"/>
      <c r="BS16" s="679"/>
    </row>
    <row r="17" spans="1:71">
      <c r="B17" s="102" t="s">
        <v>466</v>
      </c>
      <c r="C17" s="319">
        <f>FAT!C129</f>
        <v>-57.167097742365698</v>
      </c>
      <c r="D17" s="319">
        <f>FAT!D129</f>
        <v>-52.939777097536705</v>
      </c>
      <c r="E17" s="319">
        <f>FAT!E129</f>
        <v>-62.514845439946441</v>
      </c>
      <c r="F17" s="319">
        <f>FAT!F129</f>
        <v>-66.80224378582335</v>
      </c>
      <c r="G17" s="319">
        <f>FAT!G129</f>
        <v>-63.0733010656256</v>
      </c>
      <c r="H17" s="319">
        <f>FAT!H129</f>
        <v>-64.374656297065371</v>
      </c>
      <c r="I17" s="319">
        <f>FAT!I129</f>
        <v>-97.522503847113114</v>
      </c>
      <c r="J17" s="319">
        <f>FAT!J129</f>
        <v>-64.947814951765167</v>
      </c>
      <c r="K17" s="319">
        <f>FAT!K129</f>
        <v>-67.332450558351127</v>
      </c>
      <c r="L17" s="319">
        <f>FAT!L129</f>
        <v>-66.620919847934289</v>
      </c>
      <c r="M17" s="319">
        <f>FAT!M129</f>
        <v>-83.058378100304409</v>
      </c>
      <c r="N17" s="319">
        <f>FAT!N129</f>
        <v>-166.29376986785368</v>
      </c>
      <c r="O17" s="319">
        <f>FAT!O129</f>
        <v>-128.26159004370683</v>
      </c>
      <c r="P17" s="319">
        <f>FAT!P129</f>
        <v>-144.66389866871302</v>
      </c>
      <c r="Q17" s="319">
        <f>FAT!Q129</f>
        <v>-143.08423980051893</v>
      </c>
      <c r="R17" s="319">
        <f>FAT!R129</f>
        <v>-171.02724354056721</v>
      </c>
      <c r="S17" s="319">
        <f>FAT!S129</f>
        <v>-264.3</v>
      </c>
      <c r="T17" s="319">
        <f>FAT!T129</f>
        <v>-272.39999999999998</v>
      </c>
      <c r="U17" s="319">
        <f>FAT!U129</f>
        <v>-282.8</v>
      </c>
      <c r="V17" s="319">
        <f>FAT!V129</f>
        <v>-297.8</v>
      </c>
      <c r="W17" s="319">
        <f>FAT!W129</f>
        <v>-625.79999999999995</v>
      </c>
      <c r="X17" s="319">
        <f>FAT!X129</f>
        <v>-703.9</v>
      </c>
      <c r="Y17" s="319">
        <f>FAT!Y129</f>
        <v>-711.1</v>
      </c>
      <c r="Z17" s="319">
        <f>FAT!Z129</f>
        <v>-678</v>
      </c>
      <c r="AA17" s="319">
        <f>FAT!AA129</f>
        <v>-696.4</v>
      </c>
      <c r="AB17" s="319">
        <f>FAT!AB129</f>
        <v>-698.9</v>
      </c>
      <c r="AC17" s="319">
        <f>FAT!AC129</f>
        <v>-664.4</v>
      </c>
      <c r="AD17" s="319">
        <f>FAT!AD129</f>
        <v>-731.9</v>
      </c>
      <c r="AE17" s="319">
        <f>FAT!AE129</f>
        <v>-649.29999999999995</v>
      </c>
      <c r="AF17" s="319">
        <f>FAT!AF129</f>
        <v>-629.70000000000005</v>
      </c>
      <c r="AG17" s="319">
        <f>FAT!AG129</f>
        <v>-622.29999999999995</v>
      </c>
      <c r="AH17" s="319">
        <f>FAT!AH129</f>
        <v>-690.6</v>
      </c>
      <c r="AI17" s="319">
        <f>FAT!AI129</f>
        <v>-603.5</v>
      </c>
      <c r="AJ17" s="319">
        <f>FAT!AJ129</f>
        <v>-587.79999999999995</v>
      </c>
      <c r="AK17" s="319">
        <f>FAT!AK129</f>
        <v>-539.18590399999994</v>
      </c>
      <c r="AL17" s="319">
        <f>FAT!AL129</f>
        <v>-364.4</v>
      </c>
      <c r="AM17" s="2514">
        <f>FAT!AM129</f>
        <v>-222.10000000000002</v>
      </c>
      <c r="AN17" s="319">
        <f>FAT!AN129</f>
        <v>-237.4</v>
      </c>
      <c r="AO17" s="319">
        <f>FAT!AO129</f>
        <v>-227.9</v>
      </c>
      <c r="AP17" s="319">
        <f>FAT!AP129</f>
        <v>-261.59999999999997</v>
      </c>
      <c r="AQ17" s="319">
        <f>FAT!AQ129</f>
        <v>-218.49999999999997</v>
      </c>
      <c r="AR17" s="319">
        <f>FAT!AR129</f>
        <v>-210.6</v>
      </c>
      <c r="AS17" s="319">
        <f>FAT!AS129</f>
        <v>-239.2</v>
      </c>
      <c r="AT17" s="319">
        <f>FAT!AT129</f>
        <v>-241</v>
      </c>
      <c r="AU17" s="680">
        <f>FAT!AU129</f>
        <v>-178.24633344875491</v>
      </c>
      <c r="AV17" s="680">
        <f>FAT!AV129</f>
        <v>-181.45200087421478</v>
      </c>
      <c r="AW17" s="680">
        <f>FAT!AW129</f>
        <v>-311.15469204673326</v>
      </c>
      <c r="AX17" s="680">
        <f>FAT!AX129</f>
        <v>-217.99477120996403</v>
      </c>
      <c r="AZ17" s="680">
        <v>-239.2</v>
      </c>
      <c r="BA17" s="1068"/>
      <c r="BD17" s="319">
        <f>+SUM(C17:F17)</f>
        <v>-239.42396406567218</v>
      </c>
      <c r="BE17" s="319">
        <f>+SUM(G17:J17)</f>
        <v>-289.91827616156922</v>
      </c>
      <c r="BF17" s="319">
        <f>+SUM(K17:N17)</f>
        <v>-383.30551837444352</v>
      </c>
      <c r="BG17" s="319">
        <f>+SUM(O17:R17)</f>
        <v>-587.03697205350591</v>
      </c>
      <c r="BH17" s="319">
        <f>+SUM(S17:V17)</f>
        <v>-1117.3</v>
      </c>
      <c r="BI17" s="319">
        <f>+SUM(W17:Z17)</f>
        <v>-2718.7999999999997</v>
      </c>
      <c r="BJ17" s="319">
        <f>+SUM(AA17:AD17)</f>
        <v>-2791.6</v>
      </c>
      <c r="BK17" s="319">
        <f>+SUM(AE17:AH17)</f>
        <v>-2591.9</v>
      </c>
      <c r="BL17" s="319">
        <f>+SUM(AI17:AL17)</f>
        <v>-2094.8859039999998</v>
      </c>
      <c r="BM17" s="2514">
        <f>+SUM(AM17:AP17)</f>
        <v>-949</v>
      </c>
      <c r="BN17" s="319">
        <f>+SUM(AQ17:AT17)</f>
        <v>-909.3</v>
      </c>
      <c r="BO17" s="319">
        <f>+SUM(AU17:AX17)</f>
        <v>-888.84779757966703</v>
      </c>
      <c r="BP17" s="680">
        <f>FAT!BR129</f>
        <v>-787.82603698856678</v>
      </c>
      <c r="BQ17" s="680">
        <f>FAT!BS129</f>
        <v>-743.1902933518445</v>
      </c>
      <c r="BR17" s="680">
        <f>FAT!BT129</f>
        <v>-722.63140051103619</v>
      </c>
      <c r="BS17" s="680">
        <f>FAT!BU129</f>
        <v>-712.53625208724384</v>
      </c>
    </row>
    <row r="18" spans="1:71" s="105" customFormat="1" hidden="1">
      <c r="B18" s="138"/>
      <c r="C18" s="317"/>
      <c r="D18" s="317"/>
      <c r="E18" s="317"/>
      <c r="F18" s="317"/>
      <c r="G18" s="317"/>
      <c r="H18" s="317"/>
      <c r="I18" s="317"/>
      <c r="J18" s="317"/>
      <c r="K18" s="317"/>
      <c r="L18" s="317"/>
      <c r="M18" s="317"/>
      <c r="N18" s="317"/>
      <c r="O18" s="317"/>
      <c r="P18" s="317"/>
      <c r="Q18" s="317"/>
      <c r="R18" s="317"/>
      <c r="S18" s="317"/>
      <c r="T18" s="317"/>
      <c r="U18" s="317"/>
      <c r="V18" s="317"/>
      <c r="W18" s="317"/>
      <c r="X18" s="317"/>
      <c r="Y18" s="317"/>
      <c r="Z18" s="317"/>
      <c r="AA18" s="317"/>
      <c r="AB18" s="317"/>
      <c r="AC18" s="317"/>
      <c r="AD18" s="317"/>
      <c r="AE18" s="317"/>
      <c r="AF18" s="317"/>
      <c r="AG18" s="317"/>
      <c r="AH18" s="317"/>
      <c r="AI18" s="317"/>
      <c r="AJ18" s="317"/>
      <c r="AK18" s="317"/>
      <c r="AL18" s="317"/>
      <c r="AM18" s="2509"/>
      <c r="AN18" s="317"/>
      <c r="AO18" s="317"/>
      <c r="AP18" s="317"/>
      <c r="AQ18" s="317"/>
      <c r="AR18" s="317"/>
      <c r="AS18" s="317"/>
      <c r="AT18" s="317"/>
      <c r="AU18" s="679"/>
      <c r="AV18" s="679"/>
      <c r="AW18" s="679"/>
      <c r="AX18" s="679"/>
      <c r="AZ18" s="679"/>
      <c r="BA18" s="1070"/>
      <c r="BD18" s="317"/>
      <c r="BE18" s="881">
        <f t="shared" ref="BE18:BJ18" si="68">+BE17/BE$5</f>
        <v>-3.663974795878816E-2</v>
      </c>
      <c r="BF18" s="881">
        <f t="shared" si="68"/>
        <v>-3.8903413883268449E-2</v>
      </c>
      <c r="BG18" s="881">
        <f t="shared" si="68"/>
        <v>-4.392302586986075E-2</v>
      </c>
      <c r="BH18" s="881">
        <f t="shared" si="68"/>
        <v>-5.7453122072997909E-2</v>
      </c>
      <c r="BI18" s="881">
        <f t="shared" si="68"/>
        <v>-7.3636513830545022E-2</v>
      </c>
      <c r="BJ18" s="881">
        <f t="shared" si="68"/>
        <v>-6.9503991076719299E-2</v>
      </c>
      <c r="BK18" s="881">
        <f t="shared" ref="BK18:BL18" si="69">+BK17/BK$5</f>
        <v>-7.1305558306647754E-2</v>
      </c>
      <c r="BL18" s="881">
        <f t="shared" si="69"/>
        <v>-7.1682778949406709E-2</v>
      </c>
      <c r="BM18" s="2512">
        <f t="shared" ref="BM18:BN18" si="70">+BM17/BM$5</f>
        <v>-4.049865166584677E-2</v>
      </c>
      <c r="BN18" s="881">
        <f t="shared" si="70"/>
        <v>-4.0927296234462236E-2</v>
      </c>
      <c r="BO18" s="881">
        <f t="shared" ref="BO18" si="71">+BO17/BO$5</f>
        <v>-4.0985411004119537E-2</v>
      </c>
      <c r="BP18" s="679"/>
      <c r="BQ18" s="679"/>
      <c r="BR18" s="679"/>
      <c r="BS18" s="679"/>
    </row>
    <row r="19" spans="1:71">
      <c r="B19" s="102" t="s">
        <v>467</v>
      </c>
      <c r="C19" s="318">
        <f>+FAT!C79+FAT!C80+FAT!C81+FAT!C83</f>
        <v>8.5</v>
      </c>
      <c r="D19" s="318">
        <f>+FAT!D79+FAT!D80+FAT!D81+FAT!D83</f>
        <v>9.9</v>
      </c>
      <c r="E19" s="318">
        <f>+FAT!E79+FAT!E80+FAT!E81+FAT!E83</f>
        <v>36.6</v>
      </c>
      <c r="F19" s="318">
        <f>+FAT!F79+FAT!F80+FAT!F81+FAT!F83</f>
        <v>10.8</v>
      </c>
      <c r="G19" s="318">
        <f>+FAT!G79+FAT!G80+FAT!G81+FAT!G83</f>
        <v>7.7405845346991047</v>
      </c>
      <c r="H19" s="318">
        <f>+FAT!H79+FAT!H80+FAT!H81+FAT!H83</f>
        <v>-4.4156492948109216</v>
      </c>
      <c r="I19" s="318">
        <f>+FAT!I79+FAT!I80+FAT!I81+FAT!I83</f>
        <v>7.5</v>
      </c>
      <c r="J19" s="318">
        <f>+FAT!J79+FAT!J80+FAT!J81+FAT!J83</f>
        <v>43.561688238603764</v>
      </c>
      <c r="K19" s="318">
        <f>+FAT!K79+FAT!K80+FAT!K81+FAT!K83</f>
        <v>180.06242820148304</v>
      </c>
      <c r="L19" s="318">
        <f>+FAT!L79+FAT!L80+FAT!L81+FAT!L83</f>
        <v>-22.649430813208348</v>
      </c>
      <c r="M19" s="318">
        <f>+FAT!M79+FAT!M80+FAT!M81+FAT!M83</f>
        <v>60.302308694357258</v>
      </c>
      <c r="N19" s="318">
        <f>+FAT!N79+FAT!N80+FAT!N81+FAT!N83</f>
        <v>-77.508838281376541</v>
      </c>
      <c r="O19" s="318">
        <f>+FAT!O79+FAT!O80+FAT!O81+FAT!O83</f>
        <v>-29.289171706378802</v>
      </c>
      <c r="P19" s="318">
        <f>+FAT!P79+FAT!P80+FAT!P81+FAT!P83</f>
        <v>-62.248851950517228</v>
      </c>
      <c r="Q19" s="318">
        <f>+FAT!Q79+FAT!Q80+FAT!Q81+FAT!Q83</f>
        <v>-11.561233760966523</v>
      </c>
      <c r="R19" s="318">
        <f>+FAT!R79+FAT!R80+FAT!R81+FAT!R83</f>
        <v>-38.537006795890868</v>
      </c>
      <c r="S19" s="318">
        <f>+FAT!S79+FAT!S80+FAT!S81+FAT!S83</f>
        <v>-24.3</v>
      </c>
      <c r="T19" s="318">
        <f>+FAT!T79+FAT!T80+FAT!T81+FAT!T83</f>
        <v>-27.700000000000003</v>
      </c>
      <c r="U19" s="318">
        <f>+FAT!U79+FAT!U80+FAT!U81+FAT!U83</f>
        <v>-58.199999999999996</v>
      </c>
      <c r="V19" s="318">
        <f>+FAT!V79+FAT!V80+FAT!V81+FAT!V83</f>
        <v>-93</v>
      </c>
      <c r="W19" s="318">
        <f>+FAT!W79+FAT!W80+FAT!W81+FAT!W83</f>
        <v>-368.70000000000005</v>
      </c>
      <c r="X19" s="318">
        <f>+FAT!X79+FAT!X80+FAT!X81+FAT!X83</f>
        <v>-19.399999999999999</v>
      </c>
      <c r="Y19" s="318">
        <f>+FAT!Y79+FAT!Y80+FAT!Y81+FAT!Y83</f>
        <v>-228.7</v>
      </c>
      <c r="Z19" s="318">
        <f>+FAT!Z79+FAT!Z80+FAT!Z81+FAT!Z83</f>
        <v>-277.10000000000002</v>
      </c>
      <c r="AA19" s="318">
        <f>+FAT!AA79+FAT!AA80+FAT!AA81+FAT!AA83</f>
        <v>-236.3</v>
      </c>
      <c r="AB19" s="318">
        <f>+FAT!AB79+FAT!AB80+FAT!AB81+FAT!AB83</f>
        <v>-350.3</v>
      </c>
      <c r="AC19" s="318">
        <f>+FAT!AC79+FAT!AC80+FAT!AC81+FAT!AC83</f>
        <v>-2.8000000000000114</v>
      </c>
      <c r="AD19" s="318">
        <f>+FAT!AD79+FAT!AD80+FAT!AD81+FAT!AD83</f>
        <v>-212.2</v>
      </c>
      <c r="AE19" s="318">
        <f>+FAT!AE79+FAT!AE80+FAT!AE81+FAT!AE83</f>
        <v>-168.6</v>
      </c>
      <c r="AF19" s="318">
        <f>+FAT!AF79+FAT!AF80+FAT!AF81+FAT!AF83</f>
        <v>-276.70000000000005</v>
      </c>
      <c r="AG19" s="318">
        <f>+FAT!AG79+FAT!AG80+FAT!AG81+FAT!AG83</f>
        <v>-212.3</v>
      </c>
      <c r="AH19" s="318">
        <f>+FAT!AH79+FAT!AH80+FAT!AH81+FAT!AH83</f>
        <v>-673.2</v>
      </c>
      <c r="AI19" s="318">
        <f>+FAT!AI79+FAT!AI80+FAT!AI81+FAT!AI83</f>
        <v>-166.8</v>
      </c>
      <c r="AJ19" s="318">
        <f>+FAT!AJ79+FAT!AJ80+FAT!AJ81+FAT!AJ83</f>
        <v>-402.92999999999995</v>
      </c>
      <c r="AK19" s="318">
        <f>+FAT!AK79+FAT!AK80+FAT!AK81+FAT!AK83</f>
        <v>-359.44599999999997</v>
      </c>
      <c r="AL19" s="318">
        <f>+FAT!AL79+FAT!AL80+FAT!AL81+FAT!AL83</f>
        <v>-866.39999999999986</v>
      </c>
      <c r="AM19" s="2510">
        <f>+FAT!AM79+FAT!AM80+FAT!AM81+FAT!AM83</f>
        <v>-11.90000000000002</v>
      </c>
      <c r="AN19" s="318">
        <f>+FAT!AN79+FAT!AN80+FAT!AN81+FAT!AN83</f>
        <v>-128.19999999999999</v>
      </c>
      <c r="AO19" s="318">
        <f>+FAT!AO79+FAT!AO80+FAT!AO81+FAT!AO83</f>
        <v>-234.45870778279908</v>
      </c>
      <c r="AP19" s="318">
        <f>+FAT!AP79+FAT!AP80+FAT!AP81+FAT!AP83</f>
        <v>-860.7</v>
      </c>
      <c r="AQ19" s="318">
        <f>+FAT!AQ79+FAT!AQ80+FAT!AQ81+FAT!AQ83</f>
        <v>-136.90000000000003</v>
      </c>
      <c r="AR19" s="318">
        <f>+FAT!AR79+FAT!AR80+FAT!AR81+FAT!AR83</f>
        <v>-152.89999999999998</v>
      </c>
      <c r="AS19" s="318">
        <f>+FAT!AS79+FAT!AS80+FAT!AS81+FAT!AS83</f>
        <v>-128</v>
      </c>
      <c r="AT19" s="318">
        <f>+FAT!AT79+FAT!AT80+FAT!AT81+FAT!AT83</f>
        <v>-514</v>
      </c>
      <c r="AU19" s="680">
        <f>+FAT!AU79+FAT!AU80+FAT!AU81+FAT!AU83</f>
        <v>-29.165000000000013</v>
      </c>
      <c r="AV19" s="680">
        <f>+FAT!AV79+FAT!AV80+FAT!AV81+FAT!AV83</f>
        <v>-76.664999999999992</v>
      </c>
      <c r="AW19" s="680">
        <f>+FAT!AW79+FAT!AW80+FAT!AW81+FAT!AW83</f>
        <v>-30.4</v>
      </c>
      <c r="AX19" s="680">
        <f>+FAT!AX79+FAT!AX80+FAT!AX81+FAT!AX83</f>
        <v>0</v>
      </c>
      <c r="AZ19" s="680">
        <v>-190</v>
      </c>
      <c r="BA19" s="1068">
        <f>+AT19/AZ19-1</f>
        <v>1.7052631578947368</v>
      </c>
      <c r="BD19" s="318">
        <f>+SUM(C19:F19)</f>
        <v>65.8</v>
      </c>
      <c r="BE19" s="318">
        <f>+SUM(G19:J19)</f>
        <v>54.386623478491948</v>
      </c>
      <c r="BF19" s="318">
        <f>+SUM(K19:N19)</f>
        <v>140.20646780125543</v>
      </c>
      <c r="BG19" s="318">
        <f>+SUM(O19:R19)</f>
        <v>-141.63626421375344</v>
      </c>
      <c r="BH19" s="318">
        <f>+SUM(S19:V19)</f>
        <v>-203.2</v>
      </c>
      <c r="BI19" s="318">
        <f>+SUM(W19:Z19)</f>
        <v>-893.9</v>
      </c>
      <c r="BJ19" s="318">
        <f>+SUM(AA19:AD19)</f>
        <v>-801.60000000000014</v>
      </c>
      <c r="BK19" s="318">
        <f>+SUM(AE19:AH19)</f>
        <v>-1330.8000000000002</v>
      </c>
      <c r="BL19" s="318">
        <f>+SUM(AI19:AL19)</f>
        <v>-1795.5759999999998</v>
      </c>
      <c r="BM19" s="2510">
        <f>+SUM(AM19:AP19)</f>
        <v>-1235.2587077827991</v>
      </c>
      <c r="BN19" s="318">
        <f>+SUM(AQ19:AT19)</f>
        <v>-931.8</v>
      </c>
      <c r="BO19" s="318">
        <f>+SUM(AU19:AX19)</f>
        <v>-136.23000000000002</v>
      </c>
      <c r="BP19" s="680">
        <f>+FAT!BR79+FAT!BR80+FAT!BR81+FAT!BR83</f>
        <v>-136.23000000000002</v>
      </c>
      <c r="BQ19" s="680">
        <f>+FAT!BS79+FAT!BS80+FAT!BS81+FAT!BS83</f>
        <v>-186.23000000000002</v>
      </c>
      <c r="BR19" s="680">
        <f>+FAT!BT79+FAT!BT80+FAT!BT81+FAT!BT83</f>
        <v>-186.23000000000002</v>
      </c>
      <c r="BS19" s="680">
        <f>+FAT!BU79+FAT!BU80+FAT!BU81+FAT!BU83</f>
        <v>-186.23000000000002</v>
      </c>
    </row>
    <row r="20" spans="1:71" s="105" customFormat="1">
      <c r="B20" s="138"/>
      <c r="C20" s="317"/>
      <c r="D20" s="317"/>
      <c r="E20" s="317"/>
      <c r="F20" s="317"/>
      <c r="G20" s="317"/>
      <c r="H20" s="317"/>
      <c r="I20" s="317"/>
      <c r="J20" s="317"/>
      <c r="K20" s="317"/>
      <c r="L20" s="317"/>
      <c r="M20" s="317"/>
      <c r="N20" s="317"/>
      <c r="O20" s="317"/>
      <c r="P20" s="317"/>
      <c r="Q20" s="317"/>
      <c r="R20" s="317"/>
      <c r="S20" s="317"/>
      <c r="T20" s="317"/>
      <c r="U20" s="317"/>
      <c r="V20" s="317"/>
      <c r="W20" s="317"/>
      <c r="X20" s="317"/>
      <c r="Y20" s="317"/>
      <c r="Z20" s="317"/>
      <c r="AA20" s="317"/>
      <c r="AB20" s="317"/>
      <c r="AC20" s="317"/>
      <c r="AD20" s="317"/>
      <c r="AE20" s="317"/>
      <c r="AF20" s="317"/>
      <c r="AG20" s="317"/>
      <c r="AH20" s="317"/>
      <c r="AI20" s="317"/>
      <c r="AJ20" s="317"/>
      <c r="AK20" s="317"/>
      <c r="AL20" s="317"/>
      <c r="AM20" s="2509"/>
      <c r="AN20" s="317"/>
      <c r="AO20" s="317"/>
      <c r="AP20" s="317"/>
      <c r="AQ20" s="317"/>
      <c r="AR20" s="317"/>
      <c r="AS20" s="317"/>
      <c r="AT20" s="317"/>
      <c r="AU20" s="679"/>
      <c r="AV20" s="679"/>
      <c r="AW20" s="679"/>
      <c r="AX20" s="679"/>
      <c r="AZ20" s="679"/>
      <c r="BA20" s="1070"/>
      <c r="BD20" s="317"/>
      <c r="BE20" s="881">
        <f t="shared" ref="BE20" si="72">+BE19/BE$5</f>
        <v>6.873358254485938E-3</v>
      </c>
      <c r="BF20" s="881"/>
      <c r="BG20" s="881"/>
      <c r="BH20" s="881"/>
      <c r="BI20" s="881"/>
      <c r="BJ20" s="881"/>
      <c r="BK20" s="881"/>
      <c r="BL20" s="881"/>
      <c r="BM20" s="2512"/>
      <c r="BN20" s="881"/>
      <c r="BO20" s="881"/>
      <c r="BP20" s="679"/>
      <c r="BQ20" s="679"/>
      <c r="BR20" s="679"/>
      <c r="BS20" s="679"/>
    </row>
    <row r="21" spans="1:71" s="105" customFormat="1">
      <c r="B21" s="119" t="s">
        <v>126</v>
      </c>
      <c r="C21" s="321">
        <f t="shared" ref="C21:AC21" si="73">+C8+C11</f>
        <v>228.73290225763424</v>
      </c>
      <c r="D21" s="321">
        <f t="shared" si="73"/>
        <v>304.26022290246328</v>
      </c>
      <c r="E21" s="321">
        <f t="shared" si="73"/>
        <v>337.08515456005352</v>
      </c>
      <c r="F21" s="321">
        <f t="shared" si="73"/>
        <v>386.39775621417652</v>
      </c>
      <c r="G21" s="321">
        <f t="shared" si="73"/>
        <v>153.92365825708339</v>
      </c>
      <c r="H21" s="321">
        <f t="shared" si="73"/>
        <v>280.35115570353491</v>
      </c>
      <c r="I21" s="321">
        <f t="shared" si="73"/>
        <v>251.42449615288683</v>
      </c>
      <c r="J21" s="321">
        <f t="shared" si="73"/>
        <v>397.17790480602935</v>
      </c>
      <c r="K21" s="321">
        <f t="shared" si="73"/>
        <v>297.2322830107255</v>
      </c>
      <c r="L21" s="321">
        <f t="shared" si="73"/>
        <v>232.00735198984762</v>
      </c>
      <c r="M21" s="321">
        <f t="shared" si="73"/>
        <v>367.31530510087146</v>
      </c>
      <c r="N21" s="321">
        <f t="shared" si="73"/>
        <v>462.10411444144756</v>
      </c>
      <c r="O21" s="321">
        <f t="shared" si="73"/>
        <v>190.59521126774143</v>
      </c>
      <c r="P21" s="321">
        <f t="shared" si="73"/>
        <v>189.77782517489095</v>
      </c>
      <c r="Q21" s="321">
        <f t="shared" si="73"/>
        <v>339.92475060436641</v>
      </c>
      <c r="R21" s="321">
        <f t="shared" si="73"/>
        <v>543.58063202638141</v>
      </c>
      <c r="S21" s="321">
        <f t="shared" si="73"/>
        <v>184.77800000000002</v>
      </c>
      <c r="T21" s="317">
        <f t="shared" si="73"/>
        <v>285.154</v>
      </c>
      <c r="U21" s="317">
        <f t="shared" si="73"/>
        <v>265.5</v>
      </c>
      <c r="V21" s="317">
        <f t="shared" si="73"/>
        <v>3460.1000000000004</v>
      </c>
      <c r="W21" s="317">
        <f t="shared" si="73"/>
        <v>-480.59999999999945</v>
      </c>
      <c r="X21" s="317">
        <f t="shared" si="73"/>
        <v>-52</v>
      </c>
      <c r="Y21" s="317">
        <f t="shared" ref="Y21:Z21" si="74">+Y8+Y11</f>
        <v>746.00000000000091</v>
      </c>
      <c r="Z21" s="317">
        <f t="shared" si="74"/>
        <v>576.40000000000055</v>
      </c>
      <c r="AA21" s="317">
        <f t="shared" ref="AA21:AB21" si="75">+AA8+AA11</f>
        <v>132.79999999999927</v>
      </c>
      <c r="AB21" s="317">
        <f t="shared" si="75"/>
        <v>-69.100000000000364</v>
      </c>
      <c r="AC21" s="317">
        <f t="shared" si="73"/>
        <v>289.60000000000127</v>
      </c>
      <c r="AD21" s="317">
        <f t="shared" ref="AD21" si="76">+AD8+AD11</f>
        <v>765.00000000000091</v>
      </c>
      <c r="AE21" s="317">
        <f t="shared" ref="AE21:AH21" si="77">+AE8+AE11</f>
        <v>-133.50000000000091</v>
      </c>
      <c r="AF21" s="317">
        <f t="shared" si="77"/>
        <v>-138.90000000000055</v>
      </c>
      <c r="AG21" s="317">
        <f t="shared" ref="AG21" si="78">+AG8+AG11</f>
        <v>-33</v>
      </c>
      <c r="AH21" s="317">
        <f t="shared" si="77"/>
        <v>-152.99999999999909</v>
      </c>
      <c r="AI21" s="317">
        <f t="shared" ref="AI21" si="79">+AI8+AI11</f>
        <v>27.399999999998727</v>
      </c>
      <c r="AJ21" s="317">
        <f t="shared" ref="AJ21:AK21" si="80">+AJ8+AJ11</f>
        <v>-132.08728813559901</v>
      </c>
      <c r="AK21" s="317">
        <f t="shared" si="80"/>
        <v>-48.643000000000029</v>
      </c>
      <c r="AL21" s="317">
        <f t="shared" ref="AL21" si="81">+AL8+AL11</f>
        <v>-420.09999999999945</v>
      </c>
      <c r="AM21" s="2509">
        <f t="shared" ref="AM21:AO21" si="82">+AM8+AM11</f>
        <v>435.5</v>
      </c>
      <c r="AN21" s="317">
        <f t="shared" si="82"/>
        <v>467.80000000000064</v>
      </c>
      <c r="AO21" s="317">
        <f t="shared" si="82"/>
        <v>430.95194731501579</v>
      </c>
      <c r="AP21" s="317">
        <f t="shared" ref="AP21:AQ21" si="83">+AP8+AP11</f>
        <v>-432.69999999999982</v>
      </c>
      <c r="AQ21" s="317">
        <f t="shared" si="83"/>
        <v>432.18672610834983</v>
      </c>
      <c r="AR21" s="317">
        <f t="shared" ref="AR21:AS21" si="84">+AR8+AR11</f>
        <v>446.5</v>
      </c>
      <c r="AS21" s="317">
        <f t="shared" si="84"/>
        <v>224.90000000000009</v>
      </c>
      <c r="AT21" s="317">
        <f t="shared" ref="AT21" si="85">+AT8+AT11</f>
        <v>203</v>
      </c>
      <c r="AU21" s="679">
        <f t="shared" ref="AU21:AX21" si="86">+AU8+AU11</f>
        <v>433.1028144652737</v>
      </c>
      <c r="AV21" s="679">
        <f t="shared" si="86"/>
        <v>362.21542566175594</v>
      </c>
      <c r="AW21" s="679">
        <f t="shared" si="86"/>
        <v>333.88657672913268</v>
      </c>
      <c r="AX21" s="679">
        <f t="shared" si="86"/>
        <v>587.36594741863337</v>
      </c>
      <c r="AZ21" s="679">
        <v>337.00836538563499</v>
      </c>
      <c r="BA21" s="1068">
        <f>+AT21/AZ21-1</f>
        <v>-0.39764106517739017</v>
      </c>
      <c r="BD21" s="317">
        <f t="shared" ref="BD21:BP21" si="87">+BD8+BD11</f>
        <v>1256.4760359343272</v>
      </c>
      <c r="BE21" s="317">
        <f t="shared" si="87"/>
        <v>1082.8772149195347</v>
      </c>
      <c r="BF21" s="317">
        <f t="shared" si="87"/>
        <v>1358.6590545428917</v>
      </c>
      <c r="BG21" s="317">
        <f t="shared" si="87"/>
        <v>1263.8784190733804</v>
      </c>
      <c r="BH21" s="317">
        <f t="shared" si="87"/>
        <v>4195.5320000000011</v>
      </c>
      <c r="BI21" s="1206">
        <f t="shared" si="87"/>
        <v>789.79999999999927</v>
      </c>
      <c r="BJ21" s="1206">
        <f t="shared" si="87"/>
        <v>1118.2999999999993</v>
      </c>
      <c r="BK21" s="1206">
        <f t="shared" si="87"/>
        <v>-458.40000000000146</v>
      </c>
      <c r="BL21" s="1206">
        <f t="shared" si="87"/>
        <v>-573.43028813559795</v>
      </c>
      <c r="BM21" s="2601">
        <f t="shared" ref="BM21:BN21" si="88">+BM8+BM11</f>
        <v>901.55194731501615</v>
      </c>
      <c r="BN21" s="1206">
        <f t="shared" si="88"/>
        <v>1306.5867261083531</v>
      </c>
      <c r="BO21" s="1206">
        <f t="shared" ref="BO21" si="89">+BO8+BO11</f>
        <v>1716.5707642747948</v>
      </c>
      <c r="BP21" s="679">
        <f t="shared" si="87"/>
        <v>1896.6130102376228</v>
      </c>
      <c r="BQ21" s="679">
        <f t="shared" ref="BQ21:BS21" si="90">+BQ8+BQ11</f>
        <v>1953.6840498375441</v>
      </c>
      <c r="BR21" s="679">
        <f t="shared" si="90"/>
        <v>2063.9407913522828</v>
      </c>
      <c r="BS21" s="679">
        <f t="shared" si="90"/>
        <v>2163.5845123401014</v>
      </c>
    </row>
    <row r="22" spans="1:71" s="105" customFormat="1">
      <c r="B22" s="119"/>
      <c r="C22" s="321"/>
      <c r="D22" s="321"/>
      <c r="E22" s="321"/>
      <c r="F22" s="321"/>
      <c r="G22" s="321"/>
      <c r="H22" s="321"/>
      <c r="I22" s="321"/>
      <c r="J22" s="321"/>
      <c r="K22" s="321"/>
      <c r="L22" s="321"/>
      <c r="M22" s="321"/>
      <c r="N22" s="321"/>
      <c r="O22" s="321"/>
      <c r="P22" s="321"/>
      <c r="Q22" s="321"/>
      <c r="R22" s="321"/>
      <c r="S22" s="321"/>
      <c r="T22" s="317"/>
      <c r="U22" s="317"/>
      <c r="V22" s="317"/>
      <c r="W22" s="317"/>
      <c r="X22" s="317"/>
      <c r="Y22" s="317"/>
      <c r="Z22" s="317"/>
      <c r="AA22" s="317"/>
      <c r="AB22" s="317"/>
      <c r="AC22" s="317"/>
      <c r="AD22" s="317"/>
      <c r="AE22" s="317"/>
      <c r="AF22" s="317"/>
      <c r="AG22" s="317"/>
      <c r="AH22" s="317"/>
      <c r="AI22" s="317"/>
      <c r="AJ22" s="317"/>
      <c r="AK22" s="317"/>
      <c r="AL22" s="317"/>
      <c r="AM22" s="2509"/>
      <c r="AN22" s="317"/>
      <c r="AO22" s="317"/>
      <c r="AP22" s="317"/>
      <c r="AQ22" s="317"/>
      <c r="AR22" s="317"/>
      <c r="AS22" s="317"/>
      <c r="AT22" s="317"/>
      <c r="AU22" s="679"/>
      <c r="AV22" s="679"/>
      <c r="AW22" s="679"/>
      <c r="AX22" s="679"/>
      <c r="AZ22" s="679"/>
      <c r="BA22" s="1068"/>
      <c r="BD22" s="317"/>
      <c r="BE22" s="317"/>
      <c r="BF22" s="317"/>
      <c r="BG22" s="317"/>
      <c r="BH22" s="317"/>
      <c r="BI22" s="679"/>
      <c r="BJ22" s="679"/>
      <c r="BK22" s="679"/>
      <c r="BL22" s="679"/>
      <c r="BM22" s="2602"/>
      <c r="BN22" s="679"/>
      <c r="BO22" s="679"/>
      <c r="BP22" s="679"/>
      <c r="BQ22" s="679"/>
      <c r="BR22" s="679"/>
      <c r="BS22" s="679"/>
    </row>
    <row r="23" spans="1:71" s="1142" customFormat="1">
      <c r="B23" s="1143" t="s">
        <v>114</v>
      </c>
      <c r="C23" s="1144"/>
      <c r="D23" s="1144"/>
      <c r="E23" s="1144"/>
      <c r="F23" s="1144"/>
      <c r="G23" s="1144"/>
      <c r="H23" s="1144"/>
      <c r="I23" s="1144"/>
      <c r="J23" s="1144"/>
      <c r="K23" s="1144"/>
      <c r="L23" s="1144"/>
      <c r="M23" s="1144"/>
      <c r="N23" s="1144"/>
      <c r="O23" s="1144"/>
      <c r="P23" s="1144"/>
      <c r="Q23" s="1144"/>
      <c r="R23" s="1144"/>
      <c r="S23" s="1145">
        <f>+FAT!S115</f>
        <v>449.07799999999997</v>
      </c>
      <c r="T23" s="1145">
        <f>+FAT!T115</f>
        <v>557.55399999999963</v>
      </c>
      <c r="U23" s="1145">
        <f>+FAT!U115</f>
        <v>548.2999999999995</v>
      </c>
      <c r="V23" s="1145">
        <f>+FAT!V115</f>
        <v>3757.9000000000005</v>
      </c>
      <c r="W23" s="1145">
        <f>+FAT!W115</f>
        <v>145.19999999999982</v>
      </c>
      <c r="X23" s="1145">
        <f>+FAT!X115</f>
        <v>651.89999999999827</v>
      </c>
      <c r="Y23" s="1145">
        <f>+FAT!Y115</f>
        <v>1457.1000000000004</v>
      </c>
      <c r="Z23" s="1145">
        <f>+FAT!Z115</f>
        <v>1254.4000000000005</v>
      </c>
      <c r="AA23" s="1145">
        <f>+FAT!AA115</f>
        <v>829.19999999999891</v>
      </c>
      <c r="AB23" s="1145">
        <f>+FAT!AB115</f>
        <v>629.79999999999927</v>
      </c>
      <c r="AC23" s="1145">
        <f>+FAT!AC115</f>
        <v>954.00000000000091</v>
      </c>
      <c r="AD23" s="1145">
        <f>+FAT!AD115</f>
        <v>1496.9000000000005</v>
      </c>
      <c r="AE23" s="1145">
        <f>+FAT!AE115</f>
        <v>515.79999999999927</v>
      </c>
      <c r="AF23" s="1145">
        <f>+FAT!AF115</f>
        <v>490.79999999999927</v>
      </c>
      <c r="AG23" s="1145">
        <f>+FAT!AG115</f>
        <v>589.30000000000109</v>
      </c>
      <c r="AH23" s="1145">
        <f>+FAT!AH115</f>
        <v>537.60000000000127</v>
      </c>
      <c r="AI23" s="1145">
        <f>+FAT!AI115</f>
        <v>630.89999999999873</v>
      </c>
      <c r="AJ23" s="1145">
        <f>+FAT!AJ115</f>
        <v>455.71271186440117</v>
      </c>
      <c r="AK23" s="1145">
        <f>+FAT!AK115</f>
        <v>490.54290399999991</v>
      </c>
      <c r="AL23" s="1145">
        <f>+FAT!AL115</f>
        <v>-55.699999999999818</v>
      </c>
      <c r="AM23" s="2515">
        <f>+FAT!AM115</f>
        <v>657.6</v>
      </c>
      <c r="AN23" s="1145">
        <f>+FAT!AN115</f>
        <v>705.20000000000061</v>
      </c>
      <c r="AO23" s="1145">
        <f>+FAT!AO115</f>
        <v>658.85194731501576</v>
      </c>
      <c r="AP23" s="1145">
        <f>+FAT!AP115</f>
        <v>-171.09999999999985</v>
      </c>
      <c r="AQ23" s="1145">
        <f>+FAT!AQ115</f>
        <v>650.68672610834983</v>
      </c>
      <c r="AR23" s="1145">
        <f>+FAT!AR115</f>
        <v>657.10000000000048</v>
      </c>
      <c r="AS23" s="1145">
        <f>+FAT!AS115</f>
        <v>464.10000000000008</v>
      </c>
      <c r="AT23" s="1145">
        <f>+FAT!AT115</f>
        <v>444</v>
      </c>
      <c r="AU23" s="1145">
        <f>+FAT!AU115</f>
        <v>611.34914791402866</v>
      </c>
      <c r="AV23" s="1145">
        <f>+FAT!AV115</f>
        <v>543.66742653597066</v>
      </c>
      <c r="AW23" s="1145">
        <f>+FAT!AW115</f>
        <v>645.041268775866</v>
      </c>
      <c r="AX23" s="1145">
        <f>+FAT!AX115</f>
        <v>805.3607186285974</v>
      </c>
      <c r="AY23" s="1145"/>
      <c r="AZ23" s="1145">
        <v>576.20836538563503</v>
      </c>
      <c r="BA23" s="1146">
        <f>+AT23/AZ23-1</f>
        <v>-0.22944541129171714</v>
      </c>
      <c r="BD23" s="1145"/>
      <c r="BE23" s="1145"/>
      <c r="BF23" s="1145">
        <f>+FAT!BG115</f>
        <v>1741.964572917336</v>
      </c>
      <c r="BG23" s="1145">
        <f>+FAT!BH115</f>
        <v>1850.9153911268859</v>
      </c>
      <c r="BH23" s="1145">
        <f>+FAT!BJ115</f>
        <v>5312.8320000000003</v>
      </c>
      <c r="BI23" s="1145">
        <f>+FAT!BK115</f>
        <v>3508.5999999999985</v>
      </c>
      <c r="BJ23" s="1145">
        <f>+FAT!BL115</f>
        <v>3909.8999999999942</v>
      </c>
      <c r="BK23" s="1145">
        <f>+FAT!BM115</f>
        <v>2133.5</v>
      </c>
      <c r="BL23" s="1145">
        <f>+FAT!BN115</f>
        <v>1521.4556158644009</v>
      </c>
      <c r="BM23" s="2515">
        <f>+FAT!BO115</f>
        <v>1850.551947315018</v>
      </c>
      <c r="BN23" s="1145">
        <f>+FAT!BP115</f>
        <v>2215.8867261083515</v>
      </c>
      <c r="BO23" s="1145">
        <f>+FAT!BQ115</f>
        <v>2605.4185618544616</v>
      </c>
      <c r="BP23" s="1145">
        <f>+FAT!BR115</f>
        <v>2684.4390472261894</v>
      </c>
      <c r="BQ23" s="1145">
        <f>+FAT!BS115</f>
        <v>2696.8743431893886</v>
      </c>
      <c r="BR23" s="1145">
        <f>+FAT!BT115</f>
        <v>2786.5721918633189</v>
      </c>
      <c r="BS23" s="1145">
        <f>+FAT!BU115</f>
        <v>2876.1207644273454</v>
      </c>
    </row>
    <row r="24" spans="1:71" s="1149" customFormat="1">
      <c r="A24" s="1147"/>
      <c r="B24" s="1148" t="s">
        <v>463</v>
      </c>
      <c r="T24" s="1149">
        <f>+T23/T$5</f>
        <v>0.16380777557658416</v>
      </c>
      <c r="U24" s="1149">
        <f t="shared" ref="U24" si="91">+U23/U$5</f>
        <v>0.15783867810466909</v>
      </c>
      <c r="V24" s="1149">
        <f t="shared" ref="V24" si="92">+V23/V$5</f>
        <v>0.38923817908747221</v>
      </c>
      <c r="W24" s="1149">
        <f t="shared" ref="W24" si="93">+W23/W$5</f>
        <v>1.9313647246608116E-2</v>
      </c>
      <c r="X24" s="1149">
        <f t="shared" ref="X24:Y24" si="94">+X23/X$5</f>
        <v>9.3300510941592127E-2</v>
      </c>
      <c r="Y24" s="1149">
        <f t="shared" si="94"/>
        <v>0.13984356255098615</v>
      </c>
      <c r="Z24" s="1149">
        <f t="shared" ref="Z24" si="95">+Z23/Z$5</f>
        <v>0.10455685862652435</v>
      </c>
      <c r="AA24" s="1149">
        <f t="shared" ref="AA24:AB24" si="96">+AA23/AA$5</f>
        <v>8.7699629825489039E-2</v>
      </c>
      <c r="AB24" s="1149">
        <f t="shared" si="96"/>
        <v>6.6174925398226281E-2</v>
      </c>
      <c r="AC24" s="1149">
        <f t="shared" ref="AC24:AD24" si="97">+AC23/AC$5</f>
        <v>9.9903656850835784E-2</v>
      </c>
      <c r="AD24" s="1149">
        <f t="shared" si="97"/>
        <v>0.12856431221657283</v>
      </c>
      <c r="AE24" s="1149">
        <f t="shared" ref="AE24:AH24" si="98">+AE23/AE$5</f>
        <v>6.2496213635757733E-2</v>
      </c>
      <c r="AF24" s="1149">
        <f t="shared" si="98"/>
        <v>5.6398234969663459E-2</v>
      </c>
      <c r="AG24" s="1149">
        <f t="shared" ref="AG24" si="99">+AG23/AG$5</f>
        <v>6.5450870197807681E-2</v>
      </c>
      <c r="AH24" s="1149">
        <f t="shared" si="98"/>
        <v>5.1743055689233798E-2</v>
      </c>
      <c r="AI24" s="1149">
        <f t="shared" ref="AI24" si="100">+AI23/AI$5</f>
        <v>8.6186169776781896E-2</v>
      </c>
      <c r="AJ24" s="1149">
        <f t="shared" ref="AJ24:AK24" si="101">+AJ23/AJ$5</f>
        <v>5.8623615078508516E-2</v>
      </c>
      <c r="AK24" s="1149">
        <f t="shared" si="101"/>
        <v>6.5255537089905474E-2</v>
      </c>
      <c r="AL24" s="1149">
        <f t="shared" ref="AL24" si="102">+AL23/AL$5</f>
        <v>-8.422294130099468E-3</v>
      </c>
      <c r="AM24" s="2511">
        <f t="shared" ref="AM24:AO24" si="103">+AM23/AM$5</f>
        <v>0.14367489622023158</v>
      </c>
      <c r="AN24" s="1149">
        <f t="shared" si="103"/>
        <v>0.12180251135637436</v>
      </c>
      <c r="AO24" s="1149">
        <f t="shared" si="103"/>
        <v>0.11025742586793308</v>
      </c>
      <c r="AP24" s="1149">
        <f t="shared" ref="AP24:AQ24" si="104">+AP23/AP$5</f>
        <v>-2.4130539023495875E-2</v>
      </c>
      <c r="AQ24" s="1149">
        <f t="shared" si="104"/>
        <v>0.1265177693544941</v>
      </c>
      <c r="AR24" s="1149">
        <f t="shared" ref="AR24:AS24" si="105">+AR23/AR$5</f>
        <v>0.11553609733797526</v>
      </c>
      <c r="AS24" s="1149">
        <f t="shared" si="105"/>
        <v>8.9353099730458241E-2</v>
      </c>
      <c r="AT24" s="1149">
        <f t="shared" ref="AT24" si="106">+AT23/AT$5</f>
        <v>7.1693847892782173E-2</v>
      </c>
      <c r="AU24" s="1149">
        <f t="shared" ref="AU24:AX24" si="107">+AU23/AU$5</f>
        <v>0.13087667757935778</v>
      </c>
      <c r="AV24" s="1149">
        <f t="shared" si="107"/>
        <v>9.7271104852591037E-2</v>
      </c>
      <c r="AW24" s="1149">
        <f t="shared" si="107"/>
        <v>0.12719075859207682</v>
      </c>
      <c r="AX24" s="1149">
        <f t="shared" si="107"/>
        <v>0.12672665137991804</v>
      </c>
      <c r="AY24" s="1147"/>
      <c r="AZ24" s="1149">
        <v>9.079952021340279E-2</v>
      </c>
      <c r="BA24" s="1150">
        <f>+AT24-AZ24</f>
        <v>-1.9105672320620617E-2</v>
      </c>
      <c r="BB24" s="1147"/>
      <c r="BC24" s="1147"/>
      <c r="BE24" s="1149">
        <f t="shared" ref="BE24:BP24" si="108">+BE23/BE$5</f>
        <v>0</v>
      </c>
      <c r="BF24" s="1149">
        <f t="shared" si="108"/>
        <v>0.1767998776474502</v>
      </c>
      <c r="BG24" s="1149">
        <f t="shared" si="108"/>
        <v>0.13848838910946767</v>
      </c>
      <c r="BH24" s="1149">
        <f t="shared" si="108"/>
        <v>0.273193220665291</v>
      </c>
      <c r="BI24" s="1149">
        <f t="shared" si="108"/>
        <v>9.5027612338476591E-2</v>
      </c>
      <c r="BJ24" s="1149">
        <f t="shared" si="108"/>
        <v>9.7346917434755834E-2</v>
      </c>
      <c r="BK24" s="1149">
        <f t="shared" ref="BK24:BL24" si="109">+BK23/BK$5</f>
        <v>5.8694551737039607E-2</v>
      </c>
      <c r="BL24" s="1149">
        <f t="shared" si="109"/>
        <v>5.2061148717024025E-2</v>
      </c>
      <c r="BM24" s="2511">
        <f t="shared" ref="BM24:BN24" si="110">+BM23/BM$5</f>
        <v>7.8972453850226901E-2</v>
      </c>
      <c r="BN24" s="1149">
        <f t="shared" si="110"/>
        <v>9.9736338349773662E-2</v>
      </c>
      <c r="BO24" s="1149">
        <f t="shared" ref="BO24" si="111">+BO23/BO$5</f>
        <v>0.12013772311315891</v>
      </c>
      <c r="BP24" s="1149">
        <f t="shared" si="108"/>
        <v>0.11847850655887439</v>
      </c>
      <c r="BQ24" s="1149">
        <f t="shared" ref="BQ24:BS24" si="112">+BQ23/BQ$5</f>
        <v>0.11458817490637188</v>
      </c>
      <c r="BR24" s="1149">
        <f t="shared" si="112"/>
        <v>0.114019933214727</v>
      </c>
      <c r="BS24" s="1149">
        <f t="shared" si="112"/>
        <v>0.11363294989178765</v>
      </c>
    </row>
    <row r="25" spans="1:71" s="883" customFormat="1">
      <c r="A25" s="880"/>
      <c r="B25" s="1087"/>
      <c r="C25" s="881"/>
      <c r="D25" s="881"/>
      <c r="E25" s="881"/>
      <c r="F25" s="881"/>
      <c r="G25" s="881"/>
      <c r="H25" s="881"/>
      <c r="I25" s="881"/>
      <c r="J25" s="881"/>
      <c r="K25" s="881"/>
      <c r="L25" s="881"/>
      <c r="M25" s="881"/>
      <c r="N25" s="881"/>
      <c r="O25" s="881"/>
      <c r="P25" s="881"/>
      <c r="Q25" s="881"/>
      <c r="R25" s="881"/>
      <c r="S25" s="881"/>
      <c r="T25" s="881"/>
      <c r="U25" s="881"/>
      <c r="V25" s="881"/>
      <c r="W25" s="881"/>
      <c r="X25" s="881"/>
      <c r="Y25" s="881"/>
      <c r="Z25" s="881"/>
      <c r="AA25" s="881"/>
      <c r="AB25" s="881"/>
      <c r="AC25" s="881"/>
      <c r="AD25" s="881"/>
      <c r="AE25" s="881"/>
      <c r="AF25" s="881"/>
      <c r="AG25" s="881"/>
      <c r="AH25" s="881"/>
      <c r="AI25" s="881"/>
      <c r="AJ25" s="881"/>
      <c r="AK25" s="881"/>
      <c r="AL25" s="881"/>
      <c r="AM25" s="2512"/>
      <c r="AN25" s="881"/>
      <c r="AO25" s="881"/>
      <c r="AP25" s="881"/>
      <c r="AQ25" s="881"/>
      <c r="AR25" s="881"/>
      <c r="AS25" s="881"/>
      <c r="AT25" s="882"/>
      <c r="AU25" s="882"/>
      <c r="AV25" s="882"/>
      <c r="AW25" s="882"/>
      <c r="AX25" s="882"/>
      <c r="AY25" s="880"/>
      <c r="AZ25" s="882"/>
      <c r="BA25" s="1069"/>
      <c r="BB25" s="880"/>
      <c r="BC25" s="880"/>
      <c r="BD25" s="881"/>
      <c r="BE25" s="881"/>
      <c r="BF25" s="881"/>
      <c r="BG25" s="881"/>
      <c r="BH25" s="881"/>
      <c r="BI25" s="881"/>
      <c r="BJ25" s="881"/>
      <c r="BK25" s="881"/>
      <c r="BL25" s="881"/>
      <c r="BM25" s="2512"/>
      <c r="BN25" s="881"/>
      <c r="BO25" s="881"/>
      <c r="BP25" s="882"/>
      <c r="BQ25" s="882"/>
      <c r="BR25" s="882"/>
      <c r="BS25" s="882"/>
    </row>
    <row r="26" spans="1:71" s="105" customFormat="1">
      <c r="B26" s="119" t="s">
        <v>127</v>
      </c>
      <c r="C26" s="321">
        <f t="shared" ref="C26:S26" si="113">+C27+C28</f>
        <v>-54.699999999999932</v>
      </c>
      <c r="D26" s="321">
        <f t="shared" si="113"/>
        <v>-129.10000000000002</v>
      </c>
      <c r="E26" s="321">
        <f t="shared" si="113"/>
        <v>-131.5</v>
      </c>
      <c r="F26" s="321">
        <f t="shared" si="113"/>
        <v>-66.200000000000017</v>
      </c>
      <c r="G26" s="321">
        <f t="shared" si="113"/>
        <v>-217.79999999999995</v>
      </c>
      <c r="H26" s="321">
        <f t="shared" si="113"/>
        <v>-178.89999999999998</v>
      </c>
      <c r="I26" s="321">
        <f t="shared" si="113"/>
        <v>-128.30000000000001</v>
      </c>
      <c r="J26" s="321">
        <f t="shared" si="113"/>
        <v>-130.90000000000009</v>
      </c>
      <c r="K26" s="321">
        <f t="shared" si="113"/>
        <v>-12.599999999999966</v>
      </c>
      <c r="L26" s="321">
        <f t="shared" si="113"/>
        <v>14.200000000000003</v>
      </c>
      <c r="M26" s="321">
        <f t="shared" si="113"/>
        <v>-275.5</v>
      </c>
      <c r="N26" s="321">
        <f t="shared" si="113"/>
        <v>-113.5</v>
      </c>
      <c r="O26" s="321">
        <f t="shared" si="113"/>
        <v>-156.24699999999996</v>
      </c>
      <c r="P26" s="321">
        <f t="shared" si="113"/>
        <v>-144.98599999999999</v>
      </c>
      <c r="Q26" s="321">
        <f t="shared" si="113"/>
        <v>-164.00000000000006</v>
      </c>
      <c r="R26" s="321">
        <f t="shared" si="113"/>
        <v>-118.06699999999989</v>
      </c>
      <c r="S26" s="321">
        <f t="shared" si="113"/>
        <v>-165.25500000000011</v>
      </c>
      <c r="T26" s="317">
        <f>+T27+T28</f>
        <v>-204.40199999999993</v>
      </c>
      <c r="U26" s="317">
        <f>+U27+U28</f>
        <v>-195.5</v>
      </c>
      <c r="V26" s="317">
        <f>+V27+V28</f>
        <v>-274.9358000000002</v>
      </c>
      <c r="W26" s="317">
        <f t="shared" ref="W26:X26" si="114">+W27+W28</f>
        <v>-227.60000000000036</v>
      </c>
      <c r="X26" s="317">
        <f t="shared" si="114"/>
        <v>-268.60000000000002</v>
      </c>
      <c r="Y26" s="317">
        <f t="shared" ref="Y26:Z26" si="115">+Y27+Y28</f>
        <v>-290.29999999999995</v>
      </c>
      <c r="Z26" s="317">
        <f t="shared" si="115"/>
        <v>-248.89999999999986</v>
      </c>
      <c r="AA26" s="317">
        <f t="shared" ref="AA26:AE26" si="116">+AA27+AA28</f>
        <v>-228</v>
      </c>
      <c r="AB26" s="317">
        <f t="shared" si="116"/>
        <v>-205.5</v>
      </c>
      <c r="AC26" s="317" t="e">
        <f t="shared" si="116"/>
        <v>#REF!</v>
      </c>
      <c r="AD26" s="317">
        <f t="shared" si="116"/>
        <v>-300.60000000000002</v>
      </c>
      <c r="AE26" s="317">
        <f t="shared" si="116"/>
        <v>-386.60000000000014</v>
      </c>
      <c r="AF26" s="1316">
        <v>-426.8</v>
      </c>
      <c r="AG26" s="1316">
        <v>-563.9</v>
      </c>
      <c r="AH26" s="1316">
        <v>-523.6</v>
      </c>
      <c r="AI26" s="1316">
        <v>-476.3</v>
      </c>
      <c r="AJ26" s="1316">
        <v>-402.1</v>
      </c>
      <c r="AK26" s="1316">
        <v>-1064.904</v>
      </c>
      <c r="AL26" s="1316">
        <v>-629.9</v>
      </c>
      <c r="AM26" s="2516">
        <v>-84.359000000000009</v>
      </c>
      <c r="AN26" s="1316">
        <v>-390.77800000000002</v>
      </c>
      <c r="AO26" s="1316">
        <v>-170.387</v>
      </c>
      <c r="AP26" s="1316">
        <v>-65.900000000000006</v>
      </c>
      <c r="AQ26" s="1316">
        <v>-351.59999999999997</v>
      </c>
      <c r="AR26" s="1316">
        <v>23.799999999999955</v>
      </c>
      <c r="AS26" s="1316">
        <v>-430.6</v>
      </c>
      <c r="AT26" s="1316">
        <v>-128</v>
      </c>
      <c r="AU26" s="679">
        <f t="shared" ref="AU26:AX26" si="117">+SUM(AU27:AU30)</f>
        <v>-187.19806695626696</v>
      </c>
      <c r="AV26" s="679">
        <f t="shared" si="117"/>
        <v>-170.50333041233171</v>
      </c>
      <c r="AW26" s="679">
        <f t="shared" si="117"/>
        <v>-166.50511512529721</v>
      </c>
      <c r="AX26" s="679">
        <f t="shared" si="117"/>
        <v>-160.76395012364677</v>
      </c>
      <c r="AZ26" s="679">
        <v>-205.81194937748725</v>
      </c>
      <c r="BA26" s="1068">
        <f>+AT26/AZ26-1</f>
        <v>-0.37807304003894104</v>
      </c>
      <c r="BD26" s="317">
        <f>+SUM(C26:F26)</f>
        <v>-381.5</v>
      </c>
      <c r="BE26" s="317">
        <f>+SUM(G26:J26)</f>
        <v>-655.90000000000009</v>
      </c>
      <c r="BF26" s="317">
        <f>+SUM(K26:N26)</f>
        <v>-387.4</v>
      </c>
      <c r="BG26" s="317">
        <f>+SUM(O26:R26)</f>
        <v>-583.29999999999995</v>
      </c>
      <c r="BH26" s="317">
        <f>+SUM(S26:V26)</f>
        <v>-840.09280000000024</v>
      </c>
      <c r="BI26" s="317">
        <f>+SUM(W26:Z26)</f>
        <v>-1035.4000000000001</v>
      </c>
      <c r="BJ26" s="317" t="e">
        <f>+SUM(AA26:AD26)</f>
        <v>#REF!</v>
      </c>
      <c r="BK26" s="317">
        <f>+SUM(AE26:AH26)</f>
        <v>-1900.9</v>
      </c>
      <c r="BL26" s="317">
        <f>+SUM(AI26:AL26)</f>
        <v>-2573.2040000000002</v>
      </c>
      <c r="BM26" s="2509">
        <f>+SUM(AM26:AP26)</f>
        <v>-711.42400000000009</v>
      </c>
      <c r="BN26" s="317">
        <f>+SUM(AQ26:AT26)</f>
        <v>-886.40000000000009</v>
      </c>
      <c r="BO26" s="317">
        <f>+SUM(AU26:AX26)</f>
        <v>-684.97046261754258</v>
      </c>
      <c r="BP26" s="679">
        <f t="shared" ref="BP26:BS26" si="118">+SUM(BP27:BP30)</f>
        <v>-627.62757136615483</v>
      </c>
      <c r="BQ26" s="679">
        <f t="shared" si="118"/>
        <v>-537.65526106366951</v>
      </c>
      <c r="BR26" s="679">
        <f t="shared" si="118"/>
        <v>-424.17012217607476</v>
      </c>
      <c r="BS26" s="679">
        <f t="shared" si="118"/>
        <v>-343.41378589433134</v>
      </c>
    </row>
    <row r="27" spans="1:71">
      <c r="B27" s="102" t="s">
        <v>468</v>
      </c>
      <c r="C27" s="322">
        <v>565.1</v>
      </c>
      <c r="D27" s="322">
        <v>305.39999999999998</v>
      </c>
      <c r="E27" s="322">
        <v>776.8</v>
      </c>
      <c r="F27" s="322">
        <v>215.9</v>
      </c>
      <c r="G27" s="322">
        <v>404.5</v>
      </c>
      <c r="H27" s="322">
        <v>381.1</v>
      </c>
      <c r="I27" s="322">
        <v>106.6</v>
      </c>
      <c r="J27" s="322">
        <f>1073.3-I27-H27-G27</f>
        <v>181.09999999999991</v>
      </c>
      <c r="K27" s="322">
        <v>273.3</v>
      </c>
      <c r="L27" s="322">
        <v>126.8</v>
      </c>
      <c r="M27" s="322">
        <v>76</v>
      </c>
      <c r="N27" s="322">
        <f>604.4-M27-L27-K27</f>
        <v>128.29999999999995</v>
      </c>
      <c r="O27" s="322">
        <f>837.461-P27</f>
        <v>263.06899999999996</v>
      </c>
      <c r="P27" s="322">
        <v>574.39200000000005</v>
      </c>
      <c r="Q27" s="322">
        <v>484.2</v>
      </c>
      <c r="R27" s="322">
        <f>2056.4-Q27-P27-O27</f>
        <v>734.73900000000003</v>
      </c>
      <c r="S27" s="322">
        <f>792.159-T27</f>
        <v>378.10199999999998</v>
      </c>
      <c r="T27" s="322">
        <v>414.05700000000002</v>
      </c>
      <c r="U27" s="322">
        <v>481.5</v>
      </c>
      <c r="V27" s="322">
        <v>682.12099999999975</v>
      </c>
      <c r="W27" s="322">
        <f>2225.7-X27</f>
        <v>1560.1999999999998</v>
      </c>
      <c r="X27" s="322">
        <v>665.5</v>
      </c>
      <c r="Y27" s="322">
        <v>1328.8</v>
      </c>
      <c r="Z27" s="322">
        <v>1183.9000000000001</v>
      </c>
      <c r="AA27" s="322">
        <v>1038.9000000000001</v>
      </c>
      <c r="AB27" s="322">
        <v>1225.5</v>
      </c>
      <c r="AC27" s="322" t="e">
        <f t="shared" ref="AC27" si="119">+AC280</f>
        <v>#REF!</v>
      </c>
      <c r="AD27" s="322">
        <v>867.6</v>
      </c>
      <c r="AE27" s="322">
        <v>1354.3</v>
      </c>
      <c r="AF27" s="1317" t="e">
        <f t="shared" ref="AF27:AH27" si="120">+AF280</f>
        <v>#REF!</v>
      </c>
      <c r="AG27" s="1317" t="e">
        <f t="shared" si="120"/>
        <v>#REF!</v>
      </c>
      <c r="AH27" s="1317" t="e">
        <f t="shared" si="120"/>
        <v>#REF!</v>
      </c>
      <c r="AI27" s="1317">
        <v>1005.7</v>
      </c>
      <c r="AJ27" s="1317" t="e">
        <f t="shared" ref="AJ27" si="121">+AJ280</f>
        <v>#REF!</v>
      </c>
      <c r="AK27" s="1317" t="e">
        <f t="shared" ref="AK27" si="122">+AK280</f>
        <v>#REF!</v>
      </c>
      <c r="AL27" s="1317" t="e">
        <f>+AL280</f>
        <v>#REF!</v>
      </c>
      <c r="AM27" s="2603">
        <v>129.38</v>
      </c>
      <c r="AN27" s="322">
        <v>88.578000000000003</v>
      </c>
      <c r="AO27" s="322">
        <v>54.929000000000002</v>
      </c>
      <c r="AP27" s="322">
        <v>68.599999999999994</v>
      </c>
      <c r="AQ27" s="322">
        <v>41.4</v>
      </c>
      <c r="AR27" s="322">
        <v>22.5</v>
      </c>
      <c r="AS27" s="322">
        <v>37.327999999999996</v>
      </c>
      <c r="AT27" s="322">
        <v>32.293999999999997</v>
      </c>
      <c r="AU27" s="681">
        <f t="shared" ref="AU27:AX27" si="123">+AU280</f>
        <v>64.766194421146196</v>
      </c>
      <c r="AV27" s="681">
        <f t="shared" si="123"/>
        <v>64.67590062871804</v>
      </c>
      <c r="AW27" s="681">
        <f t="shared" si="123"/>
        <v>59.970723527193051</v>
      </c>
      <c r="AX27" s="681">
        <f t="shared" si="123"/>
        <v>57.127810352395457</v>
      </c>
      <c r="AZ27" s="681">
        <v>46.013331076221199</v>
      </c>
      <c r="BD27" s="322">
        <f>+SUM(C27:F27)</f>
        <v>1863.2</v>
      </c>
      <c r="BE27" s="322">
        <f>+SUM(G27:J27)</f>
        <v>1073.3</v>
      </c>
      <c r="BF27" s="322">
        <f>+SUM(K27:N27)</f>
        <v>604.4</v>
      </c>
      <c r="BG27" s="322">
        <f>+SUM(O27:R27)</f>
        <v>2056.4</v>
      </c>
      <c r="BH27" s="322">
        <f>+SUM(S27:V27)</f>
        <v>1955.7799999999997</v>
      </c>
      <c r="BI27" s="322">
        <f>+SUM(W27:Z27)</f>
        <v>4738.3999999999996</v>
      </c>
      <c r="BJ27" s="322" t="e">
        <f>+SUM(AA27:AD27)</f>
        <v>#REF!</v>
      </c>
      <c r="BK27" s="322" t="e">
        <f>+SUM(AE27:AH27)</f>
        <v>#REF!</v>
      </c>
      <c r="BL27" s="322" t="e">
        <f>+SUM(AI27:AL27)</f>
        <v>#REF!</v>
      </c>
      <c r="BM27" s="2517">
        <f>+SUM(AM27:AP27)</f>
        <v>341.48699999999997</v>
      </c>
      <c r="BN27" s="1317">
        <f>+SUM(AQ27:AT27)</f>
        <v>133.52199999999999</v>
      </c>
      <c r="BO27" s="1317">
        <f>+SUM(AU27:AX27)</f>
        <v>246.54062892945274</v>
      </c>
      <c r="BP27" s="681">
        <f t="shared" ref="BP27:BS27" si="124">+BP280</f>
        <v>218.49549765161308</v>
      </c>
      <c r="BQ27" s="681">
        <f t="shared" si="124"/>
        <v>188.86807852562626</v>
      </c>
      <c r="BR27" s="681">
        <f t="shared" si="124"/>
        <v>182.00865851225012</v>
      </c>
      <c r="BS27" s="681">
        <f t="shared" si="124"/>
        <v>212.26237203848726</v>
      </c>
    </row>
    <row r="28" spans="1:71">
      <c r="B28" s="102" t="s">
        <v>469</v>
      </c>
      <c r="C28" s="322">
        <v>-619.79999999999995</v>
      </c>
      <c r="D28" s="322">
        <v>-434.5</v>
      </c>
      <c r="E28" s="322">
        <v>-908.3</v>
      </c>
      <c r="F28" s="322">
        <v>-282.10000000000002</v>
      </c>
      <c r="G28" s="322">
        <v>-622.29999999999995</v>
      </c>
      <c r="H28" s="322">
        <v>-560</v>
      </c>
      <c r="I28" s="322">
        <v>-234.9</v>
      </c>
      <c r="J28" s="322">
        <f>-1729.2-I28-H28-G28</f>
        <v>-312</v>
      </c>
      <c r="K28" s="322">
        <v>-285.89999999999998</v>
      </c>
      <c r="L28" s="322">
        <v>-112.6</v>
      </c>
      <c r="M28" s="322">
        <v>-351.5</v>
      </c>
      <c r="N28" s="322">
        <f>-991.8-M28-L28-K28</f>
        <v>-241.79999999999995</v>
      </c>
      <c r="O28" s="322">
        <f>-1138.694-P28</f>
        <v>-419.31599999999992</v>
      </c>
      <c r="P28" s="322">
        <v>-719.37800000000004</v>
      </c>
      <c r="Q28" s="322">
        <v>-648.20000000000005</v>
      </c>
      <c r="R28" s="322">
        <f>-2639.7-Q28-P28-O28</f>
        <v>-852.80599999999993</v>
      </c>
      <c r="S28" s="322">
        <f>-1161.816-T28</f>
        <v>-543.35700000000008</v>
      </c>
      <c r="T28" s="322">
        <v>-618.45899999999995</v>
      </c>
      <c r="U28" s="322">
        <v>-677</v>
      </c>
      <c r="V28" s="322">
        <v>-957.05679999999995</v>
      </c>
      <c r="W28" s="322">
        <f>-2721.9-X28</f>
        <v>-1787.8000000000002</v>
      </c>
      <c r="X28" s="322">
        <v>-934.1</v>
      </c>
      <c r="Y28" s="322">
        <v>-1619.1</v>
      </c>
      <c r="Z28" s="322">
        <v>-1432.8</v>
      </c>
      <c r="AA28" s="322">
        <v>-1266.9000000000001</v>
      </c>
      <c r="AB28" s="322">
        <v>-1431</v>
      </c>
      <c r="AC28" s="322" t="e">
        <f t="shared" ref="AC28" si="125">+AC300</f>
        <v>#REF!</v>
      </c>
      <c r="AD28" s="322">
        <v>-1168.2</v>
      </c>
      <c r="AE28" s="322">
        <v>-1740.9</v>
      </c>
      <c r="AF28" s="1317" t="e">
        <f t="shared" ref="AF28:AH28" si="126">+AF300</f>
        <v>#REF!</v>
      </c>
      <c r="AG28" s="1317" t="e">
        <f t="shared" si="126"/>
        <v>#REF!</v>
      </c>
      <c r="AH28" s="1317" t="e">
        <f t="shared" si="126"/>
        <v>#REF!</v>
      </c>
      <c r="AI28" s="1317">
        <v>-1482.1</v>
      </c>
      <c r="AJ28" s="1317" t="e">
        <f t="shared" ref="AJ28:AL28" si="127">+AJ300</f>
        <v>#REF!</v>
      </c>
      <c r="AK28" s="1317" t="e">
        <f t="shared" ref="AK28" si="128">+AK300</f>
        <v>#REF!</v>
      </c>
      <c r="AL28" s="1317" t="e">
        <f t="shared" si="127"/>
        <v>#REF!</v>
      </c>
      <c r="AM28" s="2603">
        <v>-97.209000000000003</v>
      </c>
      <c r="AN28" s="322">
        <v>-248.101</v>
      </c>
      <c r="AO28" s="322">
        <v>-107.5</v>
      </c>
      <c r="AP28" s="322">
        <v>-128.4</v>
      </c>
      <c r="AQ28" s="322">
        <v>-130</v>
      </c>
      <c r="AR28" s="322">
        <v>-137.19999999999999</v>
      </c>
      <c r="AS28" s="322">
        <v>-144.80600000000001</v>
      </c>
      <c r="AT28" s="322">
        <v>-156.279</v>
      </c>
      <c r="AU28" s="681">
        <f t="shared" ref="AU28:AX28" si="129">+AU300</f>
        <v>-223.33380644531687</v>
      </c>
      <c r="AV28" s="681">
        <f t="shared" si="129"/>
        <v>-206.96800180766149</v>
      </c>
      <c r="AW28" s="681">
        <f t="shared" si="129"/>
        <v>-196.39163071938725</v>
      </c>
      <c r="AX28" s="681">
        <f t="shared" si="129"/>
        <v>-189.59833034272546</v>
      </c>
      <c r="AZ28" s="681">
        <v>-227.20571528910952</v>
      </c>
      <c r="BD28" s="322">
        <f>+SUM(C28:F28)</f>
        <v>-2244.6999999999998</v>
      </c>
      <c r="BE28" s="322">
        <f>+SUM(G28:J28)</f>
        <v>-1729.2</v>
      </c>
      <c r="BF28" s="322">
        <f>+SUM(K28:N28)</f>
        <v>-991.8</v>
      </c>
      <c r="BG28" s="322">
        <f>+SUM(O28:R28)</f>
        <v>-2639.7</v>
      </c>
      <c r="BH28" s="322">
        <f>+SUM(S28:V28)</f>
        <v>-2795.8728000000001</v>
      </c>
      <c r="BI28" s="322">
        <f>+SUM(W28:Z28)</f>
        <v>-5773.8</v>
      </c>
      <c r="BJ28" s="322" t="e">
        <f>+SUM(AA28:AD28)</f>
        <v>#REF!</v>
      </c>
      <c r="BK28" s="322" t="e">
        <f>+SUM(AE28:AH28)</f>
        <v>#REF!</v>
      </c>
      <c r="BL28" s="322" t="e">
        <f>+SUM(AI28:AL28)</f>
        <v>#REF!</v>
      </c>
      <c r="BM28" s="2517">
        <f t="shared" ref="BM28:BM30" si="130">+SUM(AM28:AP28)</f>
        <v>-581.21</v>
      </c>
      <c r="BN28" s="1317">
        <f t="shared" ref="BN28:BN30" si="131">+SUM(AQ28:AT28)</f>
        <v>-568.28499999999997</v>
      </c>
      <c r="BO28" s="1317">
        <f>+SUM(AU28:AX28)</f>
        <v>-816.29176931509107</v>
      </c>
      <c r="BP28" s="681">
        <f t="shared" ref="BP28:BS28" si="132">+BP300</f>
        <v>-735.00146652959415</v>
      </c>
      <c r="BQ28" s="681">
        <f t="shared" si="132"/>
        <v>-626.22638237734964</v>
      </c>
      <c r="BR28" s="681">
        <f t="shared" si="132"/>
        <v>-496.05210000000011</v>
      </c>
      <c r="BS28" s="681">
        <f t="shared" si="132"/>
        <v>-446.44689000000005</v>
      </c>
    </row>
    <row r="29" spans="1:71">
      <c r="B29" s="102" t="s">
        <v>956</v>
      </c>
      <c r="C29" s="322"/>
      <c r="D29" s="322"/>
      <c r="E29" s="322"/>
      <c r="F29" s="322"/>
      <c r="G29" s="322"/>
      <c r="H29" s="322"/>
      <c r="I29" s="322"/>
      <c r="J29" s="322"/>
      <c r="K29" s="322"/>
      <c r="L29" s="322"/>
      <c r="M29" s="322"/>
      <c r="N29" s="322"/>
      <c r="O29" s="322"/>
      <c r="P29" s="322"/>
      <c r="Q29" s="322"/>
      <c r="R29" s="322"/>
      <c r="S29" s="322"/>
      <c r="T29" s="322"/>
      <c r="U29" s="322"/>
      <c r="V29" s="322"/>
      <c r="W29" s="322"/>
      <c r="X29" s="322"/>
      <c r="Y29" s="322"/>
      <c r="Z29" s="322"/>
      <c r="AA29" s="322"/>
      <c r="AB29" s="322"/>
      <c r="AC29" s="322"/>
      <c r="AD29" s="322"/>
      <c r="AE29" s="322"/>
      <c r="AF29" s="1317"/>
      <c r="AG29" s="1317"/>
      <c r="AH29" s="1317"/>
      <c r="AI29" s="1317"/>
      <c r="AJ29" s="1317"/>
      <c r="AK29" s="1317"/>
      <c r="AL29" s="1317"/>
      <c r="AM29" s="2603">
        <v>-33.299999999999997</v>
      </c>
      <c r="AN29" s="322">
        <v>-21.241</v>
      </c>
      <c r="AO29" s="322">
        <v>-21.7</v>
      </c>
      <c r="AP29" s="322">
        <v>-19</v>
      </c>
      <c r="AQ29" s="322">
        <v>-32.5</v>
      </c>
      <c r="AR29" s="322">
        <v>-19.8</v>
      </c>
      <c r="AS29" s="322">
        <v>-34.544000000000004</v>
      </c>
      <c r="AT29" s="322">
        <v>-28.223406512490531</v>
      </c>
      <c r="AU29" s="681">
        <f>+AU362</f>
        <v>-28.630454932096274</v>
      </c>
      <c r="AV29" s="681">
        <f>+AV362</f>
        <v>-28.211229233388259</v>
      </c>
      <c r="AW29" s="681">
        <f>+AW362</f>
        <v>-30.084207933103031</v>
      </c>
      <c r="AX29" s="681">
        <f>+AX362</f>
        <v>-28.293430133316782</v>
      </c>
      <c r="AZ29" s="681">
        <v>-24.619565164598921</v>
      </c>
      <c r="BD29" s="322"/>
      <c r="BE29" s="322"/>
      <c r="BF29" s="322"/>
      <c r="BG29" s="322"/>
      <c r="BH29" s="322"/>
      <c r="BI29" s="322"/>
      <c r="BJ29" s="322"/>
      <c r="BK29" s="322"/>
      <c r="BL29" s="322"/>
      <c r="BM29" s="2517">
        <f t="shared" si="130"/>
        <v>-95.241</v>
      </c>
      <c r="BN29" s="1317">
        <f t="shared" si="131"/>
        <v>-115.06740651249052</v>
      </c>
      <c r="BO29" s="1317">
        <f>+SUM(AU29:AX29)</f>
        <v>-115.21932223190436</v>
      </c>
      <c r="BP29" s="681">
        <f>+BP362</f>
        <v>-111.12160248817376</v>
      </c>
      <c r="BQ29" s="681">
        <f>+BQ362</f>
        <v>-100.29695721194618</v>
      </c>
      <c r="BR29" s="681">
        <f>+BR362</f>
        <v>-110.12668068832475</v>
      </c>
      <c r="BS29" s="681">
        <f>+BS362</f>
        <v>-109.22926793281857</v>
      </c>
    </row>
    <row r="30" spans="1:71">
      <c r="B30" s="102" t="s">
        <v>957</v>
      </c>
      <c r="C30" s="320"/>
      <c r="D30" s="320"/>
      <c r="E30" s="320"/>
      <c r="F30" s="320"/>
      <c r="G30" s="320"/>
      <c r="H30" s="320"/>
      <c r="I30" s="320"/>
      <c r="J30" s="320"/>
      <c r="K30" s="320"/>
      <c r="L30" s="320"/>
      <c r="M30" s="320"/>
      <c r="N30" s="320"/>
      <c r="O30" s="320"/>
      <c r="P30" s="320"/>
      <c r="Q30" s="320"/>
      <c r="R30" s="320"/>
      <c r="S30" s="320"/>
      <c r="T30" s="318"/>
      <c r="U30" s="318"/>
      <c r="V30" s="680"/>
      <c r="W30" s="680"/>
      <c r="X30" s="680"/>
      <c r="Y30" s="680"/>
      <c r="Z30" s="680"/>
      <c r="AA30" s="680"/>
      <c r="AB30" s="680"/>
      <c r="AC30" s="680"/>
      <c r="AD30" s="680"/>
      <c r="AE30" s="680"/>
      <c r="AF30" s="680"/>
      <c r="AG30" s="680"/>
      <c r="AH30" s="680"/>
      <c r="AI30" s="680"/>
      <c r="AJ30" s="680"/>
      <c r="AK30" s="680"/>
      <c r="AL30" s="680"/>
      <c r="AM30" s="2514">
        <f>+AM26-AM27-AM28-AM29</f>
        <v>-83.23</v>
      </c>
      <c r="AN30" s="319">
        <f t="shared" ref="AN30:AT30" si="133">+AN26-AN27-AN28-AN29</f>
        <v>-210.01400000000001</v>
      </c>
      <c r="AO30" s="319">
        <f t="shared" si="133"/>
        <v>-96.116</v>
      </c>
      <c r="AP30" s="319">
        <f t="shared" si="133"/>
        <v>12.900000000000006</v>
      </c>
      <c r="AQ30" s="319">
        <f t="shared" si="133"/>
        <v>-230.49999999999994</v>
      </c>
      <c r="AR30" s="319">
        <f t="shared" si="133"/>
        <v>158.29999999999995</v>
      </c>
      <c r="AS30" s="319">
        <f t="shared" si="133"/>
        <v>-288.57799999999997</v>
      </c>
      <c r="AT30" s="319">
        <f t="shared" si="133"/>
        <v>24.208406512490544</v>
      </c>
      <c r="AU30" s="680"/>
      <c r="AV30" s="680"/>
      <c r="AW30" s="680"/>
      <c r="AX30" s="680"/>
      <c r="AZ30" s="680"/>
      <c r="BD30" s="318"/>
      <c r="BE30" s="318"/>
      <c r="BF30" s="318"/>
      <c r="BG30" s="318"/>
      <c r="BH30" s="318"/>
      <c r="BI30" s="318"/>
      <c r="BJ30" s="318"/>
      <c r="BK30" s="318"/>
      <c r="BL30" s="318"/>
      <c r="BM30" s="2517">
        <f t="shared" si="130"/>
        <v>-376.46000000000004</v>
      </c>
      <c r="BN30" s="1317">
        <f t="shared" si="131"/>
        <v>-336.56959348750939</v>
      </c>
      <c r="BO30" s="1317">
        <f>+SUM(AU30:AX30)</f>
        <v>0</v>
      </c>
      <c r="BP30" s="680"/>
      <c r="BQ30" s="680"/>
      <c r="BR30" s="680"/>
      <c r="BS30" s="680"/>
    </row>
    <row r="31" spans="1:71">
      <c r="B31" s="102"/>
      <c r="C31" s="320"/>
      <c r="D31" s="320"/>
      <c r="E31" s="320"/>
      <c r="F31" s="320"/>
      <c r="G31" s="320"/>
      <c r="H31" s="320"/>
      <c r="I31" s="320"/>
      <c r="J31" s="320"/>
      <c r="K31" s="320"/>
      <c r="L31" s="320"/>
      <c r="M31" s="320"/>
      <c r="N31" s="320"/>
      <c r="O31" s="320"/>
      <c r="P31" s="320"/>
      <c r="Q31" s="320"/>
      <c r="R31" s="320"/>
      <c r="S31" s="320"/>
      <c r="T31" s="318"/>
      <c r="U31" s="318"/>
      <c r="V31" s="680"/>
      <c r="W31" s="680"/>
      <c r="X31" s="680"/>
      <c r="Y31" s="680"/>
      <c r="Z31" s="680"/>
      <c r="AA31" s="680"/>
      <c r="AB31" s="680"/>
      <c r="AC31" s="680"/>
      <c r="AD31" s="680"/>
      <c r="AE31" s="680"/>
      <c r="AF31" s="680"/>
      <c r="AG31" s="680"/>
      <c r="AH31" s="680"/>
      <c r="AI31" s="680"/>
      <c r="AJ31" s="680"/>
      <c r="AK31" s="680"/>
      <c r="AL31" s="680"/>
      <c r="AM31" s="2514"/>
      <c r="AN31" s="319"/>
      <c r="AO31" s="319"/>
      <c r="AP31" s="319"/>
      <c r="AQ31" s="319"/>
      <c r="AR31" s="319"/>
      <c r="AS31" s="319"/>
      <c r="AT31" s="319"/>
      <c r="AU31" s="680"/>
      <c r="AV31" s="680"/>
      <c r="AW31" s="680"/>
      <c r="AX31" s="680"/>
      <c r="AZ31" s="680"/>
      <c r="BD31" s="318"/>
      <c r="BE31" s="318"/>
      <c r="BF31" s="318"/>
      <c r="BG31" s="318"/>
      <c r="BH31" s="318"/>
      <c r="BI31" s="318"/>
      <c r="BJ31" s="318"/>
      <c r="BK31" s="318"/>
      <c r="BL31" s="318"/>
      <c r="BM31" s="2510"/>
      <c r="BN31" s="318"/>
      <c r="BO31" s="318"/>
      <c r="BP31" s="680"/>
      <c r="BQ31" s="680"/>
      <c r="BR31" s="680"/>
      <c r="BS31" s="680"/>
    </row>
    <row r="32" spans="1:71" s="105" customFormat="1">
      <c r="B32" s="119" t="s">
        <v>128</v>
      </c>
      <c r="C32" s="317">
        <f t="shared" ref="C32:S32" si="134">+C21+C26</f>
        <v>174.0329022576343</v>
      </c>
      <c r="D32" s="317">
        <f t="shared" si="134"/>
        <v>175.16022290246326</v>
      </c>
      <c r="E32" s="317">
        <f t="shared" si="134"/>
        <v>205.58515456005352</v>
      </c>
      <c r="F32" s="317">
        <f t="shared" si="134"/>
        <v>320.19775621417648</v>
      </c>
      <c r="G32" s="317">
        <f t="shared" si="134"/>
        <v>-63.876341742916566</v>
      </c>
      <c r="H32" s="317">
        <f t="shared" si="134"/>
        <v>101.45115570353494</v>
      </c>
      <c r="I32" s="317">
        <f t="shared" si="134"/>
        <v>123.12449615288682</v>
      </c>
      <c r="J32" s="317">
        <f t="shared" si="134"/>
        <v>266.27790480602926</v>
      </c>
      <c r="K32" s="317">
        <f t="shared" si="134"/>
        <v>284.63228301072553</v>
      </c>
      <c r="L32" s="317">
        <f t="shared" si="134"/>
        <v>246.20735198984761</v>
      </c>
      <c r="M32" s="317">
        <f t="shared" si="134"/>
        <v>91.815305100871456</v>
      </c>
      <c r="N32" s="317">
        <f t="shared" si="134"/>
        <v>348.60411444144756</v>
      </c>
      <c r="O32" s="317">
        <f t="shared" si="134"/>
        <v>34.348211267741476</v>
      </c>
      <c r="P32" s="317">
        <f t="shared" si="134"/>
        <v>44.79182517489096</v>
      </c>
      <c r="Q32" s="317">
        <f t="shared" si="134"/>
        <v>175.92475060436635</v>
      </c>
      <c r="R32" s="317">
        <f t="shared" si="134"/>
        <v>425.51363202638152</v>
      </c>
      <c r="S32" s="317">
        <f t="shared" si="134"/>
        <v>19.522999999999911</v>
      </c>
      <c r="T32" s="317">
        <f>+T21+T26</f>
        <v>80.752000000000066</v>
      </c>
      <c r="U32" s="317">
        <f t="shared" ref="U32:Z32" si="135">+U21+U26</f>
        <v>70</v>
      </c>
      <c r="V32" s="317">
        <f>+V21+V26</f>
        <v>3185.1642000000002</v>
      </c>
      <c r="W32" s="317">
        <f>+W21+W26</f>
        <v>-708.19999999999982</v>
      </c>
      <c r="X32" s="317">
        <f>+X21+X26</f>
        <v>-320.60000000000002</v>
      </c>
      <c r="Y32" s="317">
        <f t="shared" si="135"/>
        <v>455.70000000000095</v>
      </c>
      <c r="Z32" s="317">
        <f t="shared" si="135"/>
        <v>327.50000000000068</v>
      </c>
      <c r="AA32" s="317">
        <f>+AA21+AA26</f>
        <v>-95.200000000000728</v>
      </c>
      <c r="AB32" s="317">
        <f>+AB21+AB26</f>
        <v>-274.60000000000036</v>
      </c>
      <c r="AC32" s="317" t="e">
        <f>+AC21+AC26</f>
        <v>#REF!</v>
      </c>
      <c r="AD32" s="317">
        <f>+AD21+AD26</f>
        <v>464.40000000000089</v>
      </c>
      <c r="AE32" s="317">
        <f t="shared" ref="AE32:AH32" si="136">+AE21+AE26</f>
        <v>-520.10000000000105</v>
      </c>
      <c r="AF32" s="317">
        <f t="shared" si="136"/>
        <v>-565.7000000000005</v>
      </c>
      <c r="AG32" s="317">
        <f t="shared" si="136"/>
        <v>-596.9</v>
      </c>
      <c r="AH32" s="317">
        <f t="shared" si="136"/>
        <v>-676.59999999999911</v>
      </c>
      <c r="AI32" s="317">
        <f t="shared" ref="AI32:AL32" si="137">+AI21+AI26</f>
        <v>-448.90000000000128</v>
      </c>
      <c r="AJ32" s="317">
        <f t="shared" si="137"/>
        <v>-534.18728813559903</v>
      </c>
      <c r="AK32" s="317">
        <f t="shared" ref="AK32" si="138">+AK21+AK26</f>
        <v>-1113.547</v>
      </c>
      <c r="AL32" s="317">
        <f t="shared" si="137"/>
        <v>-1049.9999999999995</v>
      </c>
      <c r="AM32" s="2509">
        <f t="shared" ref="AM32:AP32" si="139">+AM21+AM26</f>
        <v>351.14099999999996</v>
      </c>
      <c r="AN32" s="317">
        <f t="shared" si="139"/>
        <v>77.022000000000617</v>
      </c>
      <c r="AO32" s="317">
        <f t="shared" si="139"/>
        <v>260.56494731501579</v>
      </c>
      <c r="AP32" s="317">
        <f t="shared" si="139"/>
        <v>-498.5999999999998</v>
      </c>
      <c r="AQ32" s="317">
        <f t="shared" ref="AQ32:AX32" si="140">+AQ21+AQ26</f>
        <v>80.586726108349865</v>
      </c>
      <c r="AR32" s="317">
        <f t="shared" si="140"/>
        <v>470.29999999999995</v>
      </c>
      <c r="AS32" s="317">
        <f>+AS21+AS26</f>
        <v>-205.69999999999993</v>
      </c>
      <c r="AT32" s="317">
        <f>+AT21+AT26</f>
        <v>75</v>
      </c>
      <c r="AU32" s="679">
        <f t="shared" si="140"/>
        <v>245.90474750900674</v>
      </c>
      <c r="AV32" s="679">
        <f t="shared" si="140"/>
        <v>191.71209524942424</v>
      </c>
      <c r="AW32" s="679">
        <f t="shared" si="140"/>
        <v>167.38146160383548</v>
      </c>
      <c r="AX32" s="679">
        <f t="shared" si="140"/>
        <v>426.60199729498663</v>
      </c>
      <c r="AZ32" s="679">
        <v>131.19641600814774</v>
      </c>
      <c r="BA32" s="1068">
        <f>+AT32/AZ32-1</f>
        <v>-0.42833804244056295</v>
      </c>
      <c r="BD32" s="317">
        <f>+SUM(C32:F32)</f>
        <v>874.97603593432757</v>
      </c>
      <c r="BE32" s="317">
        <f>+SUM(G32:J32)</f>
        <v>426.97721491953445</v>
      </c>
      <c r="BF32" s="317">
        <f>+SUM(K32:N32)</f>
        <v>971.25905454289216</v>
      </c>
      <c r="BG32" s="317">
        <f>+SUM(O32:R32)</f>
        <v>680.57841907338025</v>
      </c>
      <c r="BH32" s="317">
        <f>+SUM(S32:V32)</f>
        <v>3355.4392000000003</v>
      </c>
      <c r="BI32" s="317">
        <f>+SUM(W32:Z32)</f>
        <v>-245.59999999999809</v>
      </c>
      <c r="BJ32" s="317" t="e">
        <f>+SUM(AA32:AD32)</f>
        <v>#REF!</v>
      </c>
      <c r="BK32" s="317">
        <f>+SUM(AE32:AH32)</f>
        <v>-2359.3000000000006</v>
      </c>
      <c r="BL32" s="317">
        <f>+SUM(AI32:AL32)</f>
        <v>-3146.6342881355999</v>
      </c>
      <c r="BM32" s="2509">
        <f>+SUM(AM32:AP32)</f>
        <v>190.12794731501651</v>
      </c>
      <c r="BN32" s="317">
        <f>+SUM(AQ32:AT32)</f>
        <v>420.18672610834994</v>
      </c>
      <c r="BO32" s="317">
        <f>+SUM(AU32:AX32)</f>
        <v>1031.6003016572531</v>
      </c>
      <c r="BP32" s="679">
        <f t="shared" ref="BP32" si="141">+BP21+BP26</f>
        <v>1268.985438871468</v>
      </c>
      <c r="BQ32" s="679">
        <f t="shared" ref="BQ32:BS32" si="142">+BQ21+BQ26</f>
        <v>1416.0287887738746</v>
      </c>
      <c r="BR32" s="679">
        <f t="shared" si="142"/>
        <v>1639.770669176208</v>
      </c>
      <c r="BS32" s="679">
        <f t="shared" si="142"/>
        <v>1820.17072644577</v>
      </c>
    </row>
    <row r="33" spans="2:72">
      <c r="B33" s="102"/>
      <c r="C33" s="318"/>
      <c r="D33" s="318"/>
      <c r="E33" s="318"/>
      <c r="F33" s="318"/>
      <c r="G33" s="318"/>
      <c r="H33" s="318"/>
      <c r="I33" s="318"/>
      <c r="J33" s="318"/>
      <c r="K33" s="318"/>
      <c r="L33" s="318"/>
      <c r="M33" s="318"/>
      <c r="N33" s="318"/>
      <c r="O33" s="318"/>
      <c r="P33" s="318"/>
      <c r="Q33" s="318"/>
      <c r="R33" s="318"/>
      <c r="S33" s="318"/>
      <c r="T33" s="318"/>
      <c r="U33" s="318"/>
      <c r="V33" s="318"/>
      <c r="W33" s="912"/>
      <c r="X33" s="912"/>
      <c r="Y33" s="912"/>
      <c r="Z33" s="912"/>
      <c r="AA33" s="912"/>
      <c r="AB33" s="912"/>
      <c r="AC33" s="912"/>
      <c r="AD33" s="912"/>
      <c r="AE33" s="912"/>
      <c r="AF33" s="912"/>
      <c r="AG33" s="912"/>
      <c r="AH33" s="912"/>
      <c r="AI33" s="912"/>
      <c r="AJ33" s="912"/>
      <c r="AK33" s="912"/>
      <c r="AL33" s="912"/>
      <c r="AM33" s="2518"/>
      <c r="AN33" s="912"/>
      <c r="AO33" s="912"/>
      <c r="AP33" s="912"/>
      <c r="AQ33" s="912"/>
      <c r="AR33" s="912"/>
      <c r="AS33" s="912"/>
      <c r="AT33" s="912"/>
      <c r="AU33" s="680"/>
      <c r="AV33" s="680"/>
      <c r="AW33" s="680"/>
      <c r="AX33" s="680"/>
      <c r="AZ33" s="680"/>
      <c r="BD33" s="318"/>
      <c r="BE33" s="318"/>
      <c r="BF33" s="318"/>
      <c r="BG33" s="318"/>
      <c r="BH33" s="318"/>
      <c r="BI33" s="318"/>
      <c r="BJ33" s="318"/>
      <c r="BK33" s="318"/>
      <c r="BL33" s="318"/>
      <c r="BM33" s="2510"/>
      <c r="BN33" s="318"/>
      <c r="BO33" s="318"/>
      <c r="BP33" s="680"/>
      <c r="BQ33" s="680"/>
      <c r="BR33" s="680"/>
      <c r="BS33" s="680"/>
    </row>
    <row r="34" spans="2:72" ht="15.75" customHeight="1">
      <c r="B34" s="120" t="s">
        <v>131</v>
      </c>
      <c r="C34" s="323" t="e">
        <f>+FAT!#REF!</f>
        <v>#REF!</v>
      </c>
      <c r="D34" s="323" t="e">
        <f>+FAT!#REF!</f>
        <v>#REF!</v>
      </c>
      <c r="E34" s="323" t="e">
        <f>+FAT!#REF!</f>
        <v>#REF!</v>
      </c>
      <c r="F34" s="323" t="e">
        <f>+FAT!#REF!</f>
        <v>#REF!</v>
      </c>
      <c r="G34" s="323" t="e">
        <f>+FAT!#REF!</f>
        <v>#REF!</v>
      </c>
      <c r="H34" s="323" t="e">
        <f>+FAT!#REF!</f>
        <v>#REF!</v>
      </c>
      <c r="I34" s="323" t="e">
        <f>+FAT!#REF!</f>
        <v>#REF!</v>
      </c>
      <c r="J34" s="323" t="e">
        <f>+FAT!#REF!</f>
        <v>#REF!</v>
      </c>
      <c r="K34" s="323" t="e">
        <f>+FAT!#REF!</f>
        <v>#REF!</v>
      </c>
      <c r="L34" s="323" t="e">
        <f>+FAT!#REF!</f>
        <v>#REF!</v>
      </c>
      <c r="M34" s="323" t="e">
        <f>+FAT!#REF!</f>
        <v>#REF!</v>
      </c>
      <c r="N34" s="323" t="e">
        <f>+FAT!#REF!</f>
        <v>#REF!</v>
      </c>
      <c r="O34" s="323" t="e">
        <f>+FAT!#REF!</f>
        <v>#REF!</v>
      </c>
      <c r="P34" s="323" t="e">
        <f>+FAT!#REF!</f>
        <v>#REF!</v>
      </c>
      <c r="Q34" s="323" t="e">
        <f>+FAT!#REF!</f>
        <v>#REF!</v>
      </c>
      <c r="R34" s="323" t="e">
        <f>+FAT!#REF!</f>
        <v>#REF!</v>
      </c>
      <c r="S34" s="323" t="e">
        <f>+FAT!#REF!</f>
        <v>#REF!</v>
      </c>
      <c r="T34" s="323" t="e">
        <f>+FAT!#REF!</f>
        <v>#REF!</v>
      </c>
      <c r="U34" s="323">
        <v>-6.2</v>
      </c>
      <c r="V34" s="323">
        <f>-112.2-206.6</f>
        <v>-318.8</v>
      </c>
      <c r="W34" s="323">
        <v>-94.8</v>
      </c>
      <c r="X34" s="323">
        <v>-44.9</v>
      </c>
      <c r="Y34" s="323">
        <v>-53.1</v>
      </c>
      <c r="Z34" s="323">
        <v>-82</v>
      </c>
      <c r="AA34" s="323">
        <v>-90.1</v>
      </c>
      <c r="AB34" s="323">
        <v>527.4</v>
      </c>
      <c r="AC34" s="323">
        <v>312</v>
      </c>
      <c r="AD34" s="323">
        <v>298.7</v>
      </c>
      <c r="AE34" s="323">
        <v>-82.5</v>
      </c>
      <c r="AF34" s="323">
        <v>-135.1</v>
      </c>
      <c r="AG34" s="323">
        <v>112.8</v>
      </c>
      <c r="AH34" s="323">
        <v>-14.8</v>
      </c>
      <c r="AI34" s="323">
        <v>-82.8</v>
      </c>
      <c r="AJ34" s="323">
        <v>-98.6</v>
      </c>
      <c r="AK34" s="323">
        <v>961.952</v>
      </c>
      <c r="AL34" s="323">
        <v>-580.29999999999995</v>
      </c>
      <c r="AM34" s="2519">
        <v>-216.20000000000005</v>
      </c>
      <c r="AN34" s="323">
        <v>-950.2</v>
      </c>
      <c r="AO34" s="323">
        <v>40.9</v>
      </c>
      <c r="AP34" s="323">
        <v>168</v>
      </c>
      <c r="AQ34" s="323">
        <v>-129.6</v>
      </c>
      <c r="AR34" s="323">
        <v>-25.4</v>
      </c>
      <c r="AS34" s="323">
        <v>86.5</v>
      </c>
      <c r="AT34" s="323">
        <v>111</v>
      </c>
      <c r="AU34" s="682">
        <f t="shared" ref="AU34:AX34" si="143">+AU35*AU32</f>
        <v>-2.1152436329511239</v>
      </c>
      <c r="AV34" s="682">
        <f t="shared" si="143"/>
        <v>-1.6490848303821835</v>
      </c>
      <c r="AW34" s="682">
        <f t="shared" si="143"/>
        <v>-1.4397955896260122</v>
      </c>
      <c r="AX34" s="682">
        <f t="shared" si="143"/>
        <v>-3.6695800618871832</v>
      </c>
      <c r="AZ34" s="1538">
        <v>-44.606781442770234</v>
      </c>
      <c r="BA34" s="1068">
        <f>+AT34/AZ34-1</f>
        <v>-3.488410874082255</v>
      </c>
      <c r="BD34" s="323" t="e">
        <f>+SUM(C34:F34)</f>
        <v>#REF!</v>
      </c>
      <c r="BE34" s="323" t="e">
        <f>+SUM(G34:J34)</f>
        <v>#REF!</v>
      </c>
      <c r="BF34" s="323" t="e">
        <f>+SUM(K34:N34)</f>
        <v>#REF!</v>
      </c>
      <c r="BG34" s="323" t="e">
        <f>+SUM(O34:R34)</f>
        <v>#REF!</v>
      </c>
      <c r="BH34" s="323" t="e">
        <f>+SUM(S34:V34)</f>
        <v>#REF!</v>
      </c>
      <c r="BI34" s="323">
        <f>+SUM(W34:Z34)</f>
        <v>-274.79999999999995</v>
      </c>
      <c r="BJ34" s="323">
        <f>+SUM(AA34:AD34)</f>
        <v>1048</v>
      </c>
      <c r="BK34" s="323">
        <f>+SUM(AE34:AH34)</f>
        <v>-119.6</v>
      </c>
      <c r="BL34" s="323">
        <f>+SUM(AI34:AL34)</f>
        <v>200.25200000000007</v>
      </c>
      <c r="BM34" s="2519">
        <f>+SUM(AM34:AP34)</f>
        <v>-957.5</v>
      </c>
      <c r="BN34" s="323">
        <f>+SUM(AQ34:AT34)</f>
        <v>42.5</v>
      </c>
      <c r="BO34" s="682">
        <f t="shared" ref="BO34" si="144">+BO256</f>
        <v>-8.8737041148465039</v>
      </c>
      <c r="BP34" s="682">
        <f>+BP256</f>
        <v>28.389143068705238</v>
      </c>
      <c r="BQ34" s="682">
        <f t="shared" ref="BQ34:BS34" si="145">+BQ256</f>
        <v>-2.7376294797233527</v>
      </c>
      <c r="BR34" s="682">
        <f t="shared" si="145"/>
        <v>-55.125260850246434</v>
      </c>
      <c r="BS34" s="682">
        <f t="shared" si="145"/>
        <v>-235.92838810374172</v>
      </c>
    </row>
    <row r="35" spans="2:72">
      <c r="B35" s="102" t="s">
        <v>470</v>
      </c>
      <c r="C35" s="279" t="e">
        <f t="shared" ref="C35:AK35" si="146">+C34/C32</f>
        <v>#REF!</v>
      </c>
      <c r="D35" s="279" t="e">
        <f t="shared" si="146"/>
        <v>#REF!</v>
      </c>
      <c r="E35" s="279" t="e">
        <f t="shared" si="146"/>
        <v>#REF!</v>
      </c>
      <c r="F35" s="279" t="e">
        <f t="shared" si="146"/>
        <v>#REF!</v>
      </c>
      <c r="G35" s="279" t="e">
        <f t="shared" si="146"/>
        <v>#REF!</v>
      </c>
      <c r="H35" s="279" t="e">
        <f t="shared" si="146"/>
        <v>#REF!</v>
      </c>
      <c r="I35" s="279" t="e">
        <f t="shared" si="146"/>
        <v>#REF!</v>
      </c>
      <c r="J35" s="279" t="e">
        <f t="shared" si="146"/>
        <v>#REF!</v>
      </c>
      <c r="K35" s="279" t="e">
        <f t="shared" si="146"/>
        <v>#REF!</v>
      </c>
      <c r="L35" s="279" t="e">
        <f t="shared" si="146"/>
        <v>#REF!</v>
      </c>
      <c r="M35" s="279" t="e">
        <f t="shared" si="146"/>
        <v>#REF!</v>
      </c>
      <c r="N35" s="279" t="e">
        <f t="shared" si="146"/>
        <v>#REF!</v>
      </c>
      <c r="O35" s="279" t="e">
        <f t="shared" si="146"/>
        <v>#REF!</v>
      </c>
      <c r="P35" s="279" t="e">
        <f t="shared" si="146"/>
        <v>#REF!</v>
      </c>
      <c r="Q35" s="279" t="e">
        <f t="shared" si="146"/>
        <v>#REF!</v>
      </c>
      <c r="R35" s="279" t="e">
        <f t="shared" si="146"/>
        <v>#REF!</v>
      </c>
      <c r="S35" s="279" t="e">
        <f t="shared" si="146"/>
        <v>#REF!</v>
      </c>
      <c r="T35" s="279" t="e">
        <f t="shared" si="146"/>
        <v>#REF!</v>
      </c>
      <c r="U35" s="279">
        <f t="shared" si="146"/>
        <v>-8.8571428571428579E-2</v>
      </c>
      <c r="V35" s="279">
        <f t="shared" si="146"/>
        <v>-0.10008903151680532</v>
      </c>
      <c r="W35" s="279">
        <f t="shared" si="146"/>
        <v>0.13386049138661399</v>
      </c>
      <c r="X35" s="279">
        <f t="shared" si="146"/>
        <v>0.14004990642545226</v>
      </c>
      <c r="Y35" s="279">
        <f t="shared" si="146"/>
        <v>-0.11652402896642504</v>
      </c>
      <c r="Z35" s="279">
        <f t="shared" si="146"/>
        <v>-0.25038167938931244</v>
      </c>
      <c r="AA35" s="279">
        <f t="shared" si="146"/>
        <v>0.94642857142856418</v>
      </c>
      <c r="AB35" s="279">
        <f t="shared" si="146"/>
        <v>-1.9206117989803324</v>
      </c>
      <c r="AC35" s="279" t="e">
        <f t="shared" si="146"/>
        <v>#REF!</v>
      </c>
      <c r="AD35" s="279">
        <f t="shared" si="146"/>
        <v>0.64319552110249656</v>
      </c>
      <c r="AE35" s="279">
        <f t="shared" si="146"/>
        <v>0.15862334166506409</v>
      </c>
      <c r="AF35" s="279">
        <f t="shared" si="146"/>
        <v>0.2388191621000528</v>
      </c>
      <c r="AG35" s="279">
        <f t="shared" si="146"/>
        <v>-0.1889763779527559</v>
      </c>
      <c r="AH35" s="279">
        <f t="shared" si="146"/>
        <v>2.1874076263671327E-2</v>
      </c>
      <c r="AI35" s="279">
        <f t="shared" si="146"/>
        <v>0.18445087992871409</v>
      </c>
      <c r="AJ35" s="279">
        <f t="shared" si="146"/>
        <v>0.1845794577855458</v>
      </c>
      <c r="AK35" s="279">
        <f t="shared" si="146"/>
        <v>-0.86386295324759532</v>
      </c>
      <c r="AL35" s="279">
        <f>+AL34/AL32</f>
        <v>0.55266666666666686</v>
      </c>
      <c r="AM35" s="2520">
        <f t="shared" ref="AM35:AR35" si="147">+AM34/AM32</f>
        <v>-0.61570708063142743</v>
      </c>
      <c r="AN35" s="279">
        <f t="shared" si="147"/>
        <v>-12.336734958842829</v>
      </c>
      <c r="AO35" s="279">
        <f t="shared" si="147"/>
        <v>0.15696662356718702</v>
      </c>
      <c r="AP35" s="279">
        <f t="shared" si="147"/>
        <v>-0.33694344163658257</v>
      </c>
      <c r="AQ35" s="279">
        <f t="shared" si="147"/>
        <v>-1.6082052995396683</v>
      </c>
      <c r="AR35" s="279">
        <f t="shared" si="147"/>
        <v>-5.4008079948968744E-2</v>
      </c>
      <c r="AS35" s="279">
        <f>+AS34/AS32</f>
        <v>-0.42051531356344207</v>
      </c>
      <c r="AT35" s="279">
        <f>+AT34/AT32</f>
        <v>1.48</v>
      </c>
      <c r="AU35" s="2599">
        <f>+$BO$35</f>
        <v>-8.6018820473307417E-3</v>
      </c>
      <c r="AV35" s="2599">
        <f t="shared" ref="AV35:AX35" si="148">+$BO$35</f>
        <v>-8.6018820473307417E-3</v>
      </c>
      <c r="AW35" s="2599">
        <f t="shared" si="148"/>
        <v>-8.6018820473307417E-3</v>
      </c>
      <c r="AX35" s="2599">
        <f t="shared" si="148"/>
        <v>-8.6018820473307417E-3</v>
      </c>
      <c r="AZ35" s="279">
        <v>-0.34</v>
      </c>
      <c r="BD35" s="279" t="e">
        <f>+BD34/#REF!</f>
        <v>#REF!</v>
      </c>
      <c r="BE35" s="279" t="e">
        <f>+BE34/#REF!</f>
        <v>#REF!</v>
      </c>
      <c r="BF35" s="279" t="e">
        <f>+BF34/#REF!</f>
        <v>#REF!</v>
      </c>
      <c r="BG35" s="279" t="e">
        <f>+BG34/#REF!</f>
        <v>#REF!</v>
      </c>
      <c r="BH35" s="279" t="e">
        <f>+BH34/BH32</f>
        <v>#REF!</v>
      </c>
      <c r="BI35" s="279">
        <f t="shared" ref="BI35:BS35" si="149">+BI34/BI32</f>
        <v>1.118892508143331</v>
      </c>
      <c r="BJ35" s="279" t="e">
        <f t="shared" si="149"/>
        <v>#REF!</v>
      </c>
      <c r="BK35" s="279">
        <f t="shared" si="149"/>
        <v>5.0693002161658104E-2</v>
      </c>
      <c r="BL35" s="279">
        <f t="shared" si="149"/>
        <v>-6.3640061622366226E-2</v>
      </c>
      <c r="BM35" s="2520">
        <f t="shared" si="149"/>
        <v>-5.0360823514995978</v>
      </c>
      <c r="BN35" s="279">
        <f t="shared" si="149"/>
        <v>0.10114550831632146</v>
      </c>
      <c r="BO35" s="279">
        <f t="shared" si="149"/>
        <v>-8.6018820473307417E-3</v>
      </c>
      <c r="BP35" s="279">
        <f t="shared" si="149"/>
        <v>2.2371527835616634E-2</v>
      </c>
      <c r="BQ35" s="279">
        <f t="shared" si="149"/>
        <v>-1.9333148460165413E-3</v>
      </c>
      <c r="BR35" s="279">
        <f t="shared" si="149"/>
        <v>-3.3617664888432479E-2</v>
      </c>
      <c r="BS35" s="279">
        <f t="shared" si="149"/>
        <v>-0.12961882348500178</v>
      </c>
    </row>
    <row r="36" spans="2:72">
      <c r="B36" s="102"/>
      <c r="C36" s="70"/>
      <c r="D36" s="70"/>
      <c r="E36" s="70"/>
      <c r="F36" s="70"/>
      <c r="G36" s="70"/>
      <c r="H36" s="70"/>
      <c r="I36" s="70"/>
      <c r="J36" s="70"/>
      <c r="K36" s="70"/>
      <c r="L36" s="70"/>
      <c r="M36" s="70"/>
      <c r="N36" s="70"/>
      <c r="O36" s="70"/>
      <c r="P36" s="70"/>
      <c r="Q36" s="70"/>
      <c r="R36" s="70"/>
      <c r="S36" s="70"/>
      <c r="T36" s="70"/>
      <c r="U36" s="70"/>
      <c r="V36" s="683"/>
      <c r="W36" s="683"/>
      <c r="X36" s="683"/>
      <c r="Y36" s="683"/>
      <c r="Z36" s="683"/>
      <c r="AA36" s="683"/>
      <c r="AB36" s="683"/>
      <c r="AC36" s="683"/>
      <c r="AD36" s="683"/>
      <c r="AE36" s="683"/>
      <c r="AF36" s="683"/>
      <c r="AG36" s="683"/>
      <c r="AH36" s="683"/>
      <c r="AI36" s="683"/>
      <c r="AJ36" s="683"/>
      <c r="AK36" s="683"/>
      <c r="AL36" s="683"/>
      <c r="AM36" s="2521"/>
      <c r="AN36" s="683"/>
      <c r="AO36" s="683"/>
      <c r="AP36" s="683"/>
      <c r="AQ36" s="683"/>
      <c r="AR36" s="683"/>
      <c r="AS36" s="683"/>
      <c r="AT36" s="683"/>
      <c r="AU36" s="683"/>
      <c r="AV36" s="683"/>
      <c r="AW36" s="683"/>
      <c r="AX36" s="683"/>
      <c r="AZ36" s="683"/>
      <c r="BD36" s="70"/>
      <c r="BE36" s="70"/>
      <c r="BF36" s="70"/>
      <c r="BG36" s="70"/>
      <c r="BH36" s="70"/>
      <c r="BI36" s="70"/>
      <c r="BJ36" s="70"/>
      <c r="BK36" s="70"/>
      <c r="BL36" s="70"/>
      <c r="BM36" s="2604"/>
      <c r="BN36" s="70"/>
      <c r="BO36" s="70"/>
      <c r="BP36" s="683"/>
      <c r="BQ36" s="683"/>
      <c r="BR36" s="683"/>
      <c r="BS36" s="683"/>
    </row>
    <row r="37" spans="2:72" s="105" customFormat="1">
      <c r="B37" s="121" t="s">
        <v>955</v>
      </c>
      <c r="C37" s="265" t="e">
        <f t="shared" ref="C37:AL37" si="150">+C32+C34</f>
        <v>#REF!</v>
      </c>
      <c r="D37" s="265" t="e">
        <f t="shared" si="150"/>
        <v>#REF!</v>
      </c>
      <c r="E37" s="265" t="e">
        <f t="shared" si="150"/>
        <v>#REF!</v>
      </c>
      <c r="F37" s="265" t="e">
        <f t="shared" si="150"/>
        <v>#REF!</v>
      </c>
      <c r="G37" s="265" t="e">
        <f t="shared" si="150"/>
        <v>#REF!</v>
      </c>
      <c r="H37" s="265" t="e">
        <f t="shared" si="150"/>
        <v>#REF!</v>
      </c>
      <c r="I37" s="265" t="e">
        <f t="shared" si="150"/>
        <v>#REF!</v>
      </c>
      <c r="J37" s="265" t="e">
        <f t="shared" si="150"/>
        <v>#REF!</v>
      </c>
      <c r="K37" s="265" t="e">
        <f t="shared" si="150"/>
        <v>#REF!</v>
      </c>
      <c r="L37" s="265" t="e">
        <f t="shared" si="150"/>
        <v>#REF!</v>
      </c>
      <c r="M37" s="265" t="e">
        <f t="shared" si="150"/>
        <v>#REF!</v>
      </c>
      <c r="N37" s="265" t="e">
        <f t="shared" si="150"/>
        <v>#REF!</v>
      </c>
      <c r="O37" s="265" t="e">
        <f t="shared" si="150"/>
        <v>#REF!</v>
      </c>
      <c r="P37" s="265" t="e">
        <f t="shared" si="150"/>
        <v>#REF!</v>
      </c>
      <c r="Q37" s="265" t="e">
        <f t="shared" si="150"/>
        <v>#REF!</v>
      </c>
      <c r="R37" s="265" t="e">
        <f t="shared" si="150"/>
        <v>#REF!</v>
      </c>
      <c r="S37" s="265" t="e">
        <f t="shared" si="150"/>
        <v>#REF!</v>
      </c>
      <c r="T37" s="265" t="e">
        <f t="shared" si="150"/>
        <v>#REF!</v>
      </c>
      <c r="U37" s="265">
        <f t="shared" si="150"/>
        <v>63.8</v>
      </c>
      <c r="V37" s="265">
        <f t="shared" si="150"/>
        <v>2866.3642</v>
      </c>
      <c r="W37" s="265">
        <f t="shared" si="150"/>
        <v>-802.99999999999977</v>
      </c>
      <c r="X37" s="265">
        <f t="shared" si="150"/>
        <v>-365.5</v>
      </c>
      <c r="Y37" s="265">
        <f t="shared" si="150"/>
        <v>402.60000000000093</v>
      </c>
      <c r="Z37" s="265">
        <f t="shared" si="150"/>
        <v>245.50000000000068</v>
      </c>
      <c r="AA37" s="265">
        <f t="shared" si="150"/>
        <v>-185.30000000000072</v>
      </c>
      <c r="AB37" s="265">
        <f t="shared" si="150"/>
        <v>252.79999999999961</v>
      </c>
      <c r="AC37" s="265" t="e">
        <f t="shared" si="150"/>
        <v>#REF!</v>
      </c>
      <c r="AD37" s="265">
        <f t="shared" si="150"/>
        <v>763.10000000000082</v>
      </c>
      <c r="AE37" s="265">
        <f t="shared" si="150"/>
        <v>-602.60000000000105</v>
      </c>
      <c r="AF37" s="265">
        <f t="shared" si="150"/>
        <v>-700.80000000000052</v>
      </c>
      <c r="AG37" s="265">
        <f t="shared" si="150"/>
        <v>-484.09999999999997</v>
      </c>
      <c r="AH37" s="265">
        <f t="shared" si="150"/>
        <v>-691.39999999999907</v>
      </c>
      <c r="AI37" s="265">
        <f t="shared" si="150"/>
        <v>-531.7000000000013</v>
      </c>
      <c r="AJ37" s="265">
        <f t="shared" si="150"/>
        <v>-632.78728813559906</v>
      </c>
      <c r="AK37" s="265">
        <f t="shared" si="150"/>
        <v>-151.59500000000003</v>
      </c>
      <c r="AL37" s="265">
        <f t="shared" si="150"/>
        <v>-1630.2999999999995</v>
      </c>
      <c r="AM37" s="265">
        <f>+AM32+AM34</f>
        <v>134.94099999999992</v>
      </c>
      <c r="AN37" s="265">
        <f t="shared" ref="AN37:AR37" si="151">+AN32+AN34</f>
        <v>-873.17799999999943</v>
      </c>
      <c r="AO37" s="265">
        <f t="shared" si="151"/>
        <v>301.46494731501576</v>
      </c>
      <c r="AP37" s="265">
        <f t="shared" si="151"/>
        <v>-330.5999999999998</v>
      </c>
      <c r="AQ37" s="265">
        <f t="shared" si="151"/>
        <v>-49.01327389165013</v>
      </c>
      <c r="AR37" s="265">
        <f t="shared" si="151"/>
        <v>444.9</v>
      </c>
      <c r="AS37" s="265">
        <f>+AS32+AS34</f>
        <v>-119.19999999999993</v>
      </c>
      <c r="AT37" s="265">
        <f>+AT32+AT34</f>
        <v>186</v>
      </c>
      <c r="AU37" s="684">
        <f t="shared" ref="AU37:AX37" si="152">+AU32+AU34</f>
        <v>243.78950387605562</v>
      </c>
      <c r="AV37" s="684">
        <f t="shared" si="152"/>
        <v>190.06301041904206</v>
      </c>
      <c r="AW37" s="684">
        <f t="shared" si="152"/>
        <v>165.94166601420946</v>
      </c>
      <c r="AX37" s="684">
        <f t="shared" si="152"/>
        <v>422.93241723309944</v>
      </c>
      <c r="AZ37" s="684">
        <v>86.589634565377509</v>
      </c>
      <c r="BA37" s="1068">
        <f>+AT37/AZ37-1</f>
        <v>1.1480631132536421</v>
      </c>
      <c r="BD37" s="265" t="e">
        <f>+SUM(C37:F37)</f>
        <v>#REF!</v>
      </c>
      <c r="BE37" s="265" t="e">
        <f>+SUM(G37:J37)</f>
        <v>#REF!</v>
      </c>
      <c r="BF37" s="265" t="e">
        <f>+SUM(K37:N37)</f>
        <v>#REF!</v>
      </c>
      <c r="BG37" s="265" t="e">
        <f>+SUM(O37:R37)</f>
        <v>#REF!</v>
      </c>
      <c r="BH37" s="265" t="e">
        <f t="shared" ref="BH37:BS37" si="153">+BH32+BH34</f>
        <v>#REF!</v>
      </c>
      <c r="BI37" s="265">
        <f t="shared" si="153"/>
        <v>-520.39999999999804</v>
      </c>
      <c r="BJ37" s="265" t="e">
        <f t="shared" si="153"/>
        <v>#REF!</v>
      </c>
      <c r="BK37" s="265">
        <f t="shared" si="153"/>
        <v>-2478.9000000000005</v>
      </c>
      <c r="BL37" s="265">
        <f t="shared" si="153"/>
        <v>-2946.3822881356</v>
      </c>
      <c r="BM37" s="2523">
        <f t="shared" si="153"/>
        <v>-767.37205268498349</v>
      </c>
      <c r="BN37" s="265">
        <f t="shared" si="153"/>
        <v>462.68672610834994</v>
      </c>
      <c r="BO37" s="265">
        <f t="shared" ref="BO37" si="154">+BO32+BO34</f>
        <v>1022.7265975424066</v>
      </c>
      <c r="BP37" s="684">
        <f t="shared" si="153"/>
        <v>1297.3745819401731</v>
      </c>
      <c r="BQ37" s="684">
        <f t="shared" si="153"/>
        <v>1413.2911592941512</v>
      </c>
      <c r="BR37" s="684">
        <f t="shared" si="153"/>
        <v>1584.6454083259616</v>
      </c>
      <c r="BS37" s="684">
        <f t="shared" si="153"/>
        <v>1584.2423383420282</v>
      </c>
      <c r="BT37" s="109"/>
    </row>
    <row r="38" spans="2:72">
      <c r="B38" s="123" t="s">
        <v>105</v>
      </c>
      <c r="G38" s="141" t="e">
        <f>+G37/C37-1</f>
        <v>#REF!</v>
      </c>
      <c r="H38" s="141" t="e">
        <f t="shared" ref="H38" si="155">+H37/D37-1</f>
        <v>#REF!</v>
      </c>
      <c r="I38" s="141" t="e">
        <f t="shared" ref="I38" si="156">+I37/E37-1</f>
        <v>#REF!</v>
      </c>
      <c r="J38" s="141" t="e">
        <f t="shared" ref="J38" si="157">+J37/F37-1</f>
        <v>#REF!</v>
      </c>
      <c r="K38" s="141" t="e">
        <f t="shared" ref="K38" si="158">+K37/G37-1</f>
        <v>#REF!</v>
      </c>
      <c r="L38" s="141" t="e">
        <f t="shared" ref="L38" si="159">+L37/H37-1</f>
        <v>#REF!</v>
      </c>
      <c r="M38" s="141" t="e">
        <f t="shared" ref="M38" si="160">+M37/I37-1</f>
        <v>#REF!</v>
      </c>
      <c r="N38" s="141" t="e">
        <f t="shared" ref="N38" si="161">+N37/J37-1</f>
        <v>#REF!</v>
      </c>
      <c r="O38" s="141" t="e">
        <f t="shared" ref="O38" si="162">+O37/K37-1</f>
        <v>#REF!</v>
      </c>
      <c r="P38" s="141" t="e">
        <f t="shared" ref="P38" si="163">+P37/L37-1</f>
        <v>#REF!</v>
      </c>
      <c r="Q38" s="141" t="e">
        <f t="shared" ref="Q38" si="164">+Q37/M37-1</f>
        <v>#REF!</v>
      </c>
      <c r="R38" s="141" t="e">
        <f t="shared" ref="R38" si="165">+R37/N37-1</f>
        <v>#REF!</v>
      </c>
      <c r="S38" s="141" t="e">
        <f t="shared" ref="S38" si="166">+S37/O37-1</f>
        <v>#REF!</v>
      </c>
      <c r="T38" s="141" t="e">
        <f t="shared" ref="T38" si="167">+T37/P37-1</f>
        <v>#REF!</v>
      </c>
      <c r="U38" s="141" t="e">
        <f t="shared" ref="U38" si="168">+U37/Q37-1</f>
        <v>#REF!</v>
      </c>
      <c r="V38" s="141" t="e">
        <f t="shared" ref="V38" si="169">+V37/R37-1</f>
        <v>#REF!</v>
      </c>
      <c r="W38" s="141" t="e">
        <f t="shared" ref="W38" si="170">+W37/S37-1</f>
        <v>#REF!</v>
      </c>
      <c r="X38" s="141" t="e">
        <f t="shared" ref="X38" si="171">+X37/T37-1</f>
        <v>#REF!</v>
      </c>
      <c r="Y38" s="141">
        <f t="shared" ref="Y38" si="172">+Y37/U37-1</f>
        <v>5.3103448275862215</v>
      </c>
      <c r="Z38" s="141">
        <f t="shared" ref="Z38" si="173">+Z37/V37-1</f>
        <v>-0.91435142819603987</v>
      </c>
      <c r="AA38" s="141">
        <f t="shared" ref="AA38" si="174">+AA37/W37-1</f>
        <v>-0.76924034869240254</v>
      </c>
      <c r="AB38" s="141">
        <f t="shared" ref="AB38" si="175">+AB37/X37-1</f>
        <v>-1.691655266757865</v>
      </c>
      <c r="AC38" s="141" t="e">
        <f t="shared" ref="AC38" si="176">+AC37/Y37-1</f>
        <v>#REF!</v>
      </c>
      <c r="AD38" s="141">
        <f t="shared" ref="AD38" si="177">+AD37/Z37-1</f>
        <v>2.1083503054989765</v>
      </c>
      <c r="AE38" s="141">
        <f t="shared" ref="AE38" si="178">+AE37/AA37-1</f>
        <v>2.2520237452779206</v>
      </c>
      <c r="AF38" s="141">
        <f t="shared" ref="AF38" si="179">+AF37/AB37-1</f>
        <v>-3.7721518987341836</v>
      </c>
      <c r="AG38" s="141" t="e">
        <f t="shared" ref="AG38" si="180">+AG37/AC37-1</f>
        <v>#REF!</v>
      </c>
      <c r="AH38" s="141">
        <f t="shared" ref="AH38" si="181">+AH37/AD37-1</f>
        <v>-1.9060411479491526</v>
      </c>
      <c r="AI38" s="141">
        <f t="shared" ref="AI38" si="182">+AI37/AE37-1</f>
        <v>-0.1176568204447388</v>
      </c>
      <c r="AJ38" s="141">
        <f t="shared" ref="AJ38" si="183">+AJ37/AF37-1</f>
        <v>-9.7050102546234918E-2</v>
      </c>
      <c r="AK38" s="141">
        <f t="shared" ref="AK38" si="184">+AK37/AG37-1</f>
        <v>-0.68685189010535008</v>
      </c>
      <c r="AL38" s="141">
        <f t="shared" ref="AL38" si="185">+AL37/AH37-1</f>
        <v>1.3579693375759354</v>
      </c>
      <c r="AM38" s="1942">
        <f t="shared" ref="AM38" si="186">+AM37/AI37-1</f>
        <v>-1.2537916118111709</v>
      </c>
      <c r="AN38" s="141">
        <f t="shared" ref="AN38" si="187">+AN37/AJ37-1</f>
        <v>0.37989181573585507</v>
      </c>
      <c r="AO38" s="141">
        <f t="shared" ref="AO38" si="188">+AO37/AK37-1</f>
        <v>-2.9886206491969771</v>
      </c>
      <c r="AP38" s="141">
        <f t="shared" ref="AP38" si="189">+AP37/AL37-1</f>
        <v>-0.79721523645954739</v>
      </c>
      <c r="AQ38" s="141">
        <f t="shared" ref="AQ38" si="190">+AQ37/AM37-1</f>
        <v>-1.3632200286914293</v>
      </c>
      <c r="AR38" s="141">
        <f t="shared" ref="AR38" si="191">+AR37/AN37-1</f>
        <v>-1.5095181051286224</v>
      </c>
      <c r="AS38" s="141">
        <f t="shared" ref="AS38:AT38" si="192">+AS37/AO37-1</f>
        <v>-1.3954025204643177</v>
      </c>
      <c r="AT38" s="141">
        <f t="shared" si="192"/>
        <v>-1.5626134301270422</v>
      </c>
      <c r="AU38" s="634">
        <f t="shared" ref="AU38" si="193">+AU37/AQ37-1</f>
        <v>-5.9739485759507174</v>
      </c>
      <c r="AV38" s="634">
        <f t="shared" ref="AV38" si="194">+AV37/AR37-1</f>
        <v>-0.57279611054384794</v>
      </c>
      <c r="AW38" s="634">
        <f t="shared" ref="AW38" si="195">+AW37/AS37-1</f>
        <v>-2.3921280705890062</v>
      </c>
      <c r="AX38" s="634">
        <f t="shared" ref="AX38" si="196">+AX37/AT37-1</f>
        <v>1.273830200177954</v>
      </c>
      <c r="AZ38" s="634">
        <v>-1.2619166199799685</v>
      </c>
      <c r="BD38" s="141"/>
      <c r="BE38" s="141" t="e">
        <f t="shared" ref="BE38" si="197">+BE37/BD37-1</f>
        <v>#REF!</v>
      </c>
      <c r="BF38" s="141" t="e">
        <f t="shared" ref="BF38" si="198">+BF37/BE37-1</f>
        <v>#REF!</v>
      </c>
      <c r="BG38" s="141" t="e">
        <f t="shared" ref="BG38" si="199">+BG37/BF37-1</f>
        <v>#REF!</v>
      </c>
      <c r="BH38" s="141" t="e">
        <f t="shared" ref="BH38" si="200">+BH37/BG37-1</f>
        <v>#REF!</v>
      </c>
      <c r="BI38" s="141" t="e">
        <f t="shared" ref="BI38" si="201">+BI37/BH37-1</f>
        <v>#REF!</v>
      </c>
      <c r="BJ38" s="141" t="e">
        <f t="shared" ref="BJ38" si="202">+BJ37/BI37-1</f>
        <v>#REF!</v>
      </c>
      <c r="BK38" s="141" t="e">
        <f t="shared" ref="BK38" si="203">+BK37/BJ37-1</f>
        <v>#REF!</v>
      </c>
      <c r="BL38" s="141">
        <f t="shared" ref="BL38" si="204">+BL37/BK37-1</f>
        <v>0.18858456901674092</v>
      </c>
      <c r="BM38" s="1942">
        <f t="shared" ref="BM38" si="205">+BM37/BL37-1</f>
        <v>-0.73955448491018516</v>
      </c>
      <c r="BN38" s="141">
        <f t="shared" ref="BN38:BO38" si="206">+BN37/BM37-1</f>
        <v>-1.6029496702276815</v>
      </c>
      <c r="BO38" s="141">
        <f t="shared" si="206"/>
        <v>1.2104083385848181</v>
      </c>
      <c r="BP38" s="634">
        <f t="shared" ref="BP38" si="207">+BP37/BO37-1</f>
        <v>0.26854487314375186</v>
      </c>
      <c r="BQ38" s="634">
        <f t="shared" ref="BQ38" si="208">+BQ37/BP37-1</f>
        <v>8.9347038987482863E-2</v>
      </c>
      <c r="BR38" s="634">
        <f t="shared" ref="BR38" si="209">+BR37/BQ37-1</f>
        <v>0.12124483189818513</v>
      </c>
      <c r="BS38" s="634">
        <f t="shared" ref="BS38" si="210">+BS37/BR37-1</f>
        <v>-2.5435973361331854E-4</v>
      </c>
    </row>
    <row r="39" spans="2:72">
      <c r="B39" s="102"/>
      <c r="C39" s="70"/>
      <c r="D39" s="70"/>
      <c r="E39" s="70"/>
      <c r="F39" s="70"/>
      <c r="G39" s="70"/>
      <c r="H39" s="70"/>
      <c r="I39" s="70"/>
      <c r="J39" s="70"/>
      <c r="K39" s="70"/>
      <c r="L39" s="70"/>
      <c r="M39" s="70"/>
      <c r="N39" s="70"/>
      <c r="O39" s="70"/>
      <c r="P39" s="70"/>
      <c r="Q39" s="70"/>
      <c r="R39" s="70"/>
      <c r="S39" s="70"/>
      <c r="T39" s="70"/>
      <c r="U39" s="70"/>
      <c r="V39" s="683"/>
      <c r="W39" s="683"/>
      <c r="X39" s="683"/>
      <c r="Y39" s="683"/>
      <c r="Z39" s="683"/>
      <c r="AA39" s="683"/>
      <c r="AB39" s="683"/>
      <c r="AC39" s="683"/>
      <c r="AD39" s="683"/>
      <c r="AE39" s="683"/>
      <c r="AF39" s="683"/>
      <c r="AG39" s="683"/>
      <c r="AH39" s="683"/>
      <c r="AI39" s="683"/>
      <c r="AJ39" s="683"/>
      <c r="AK39" s="683"/>
      <c r="AL39" s="683"/>
      <c r="AM39" s="2521"/>
      <c r="AN39" s="683"/>
      <c r="AO39" s="683"/>
      <c r="AP39" s="683"/>
      <c r="AQ39" s="683"/>
      <c r="AR39" s="683"/>
      <c r="AS39" s="683"/>
      <c r="AT39" s="683"/>
      <c r="AU39" s="683"/>
      <c r="AV39" s="683"/>
      <c r="AW39" s="683"/>
      <c r="AX39" s="683"/>
      <c r="AZ39" s="683"/>
      <c r="BD39" s="70"/>
      <c r="BE39" s="70"/>
      <c r="BF39" s="70"/>
      <c r="BG39" s="70"/>
      <c r="BH39" s="70"/>
      <c r="BI39" s="70"/>
      <c r="BJ39" s="70"/>
      <c r="BK39" s="70"/>
      <c r="BL39" s="70"/>
      <c r="BM39" s="2604"/>
      <c r="BN39" s="70"/>
      <c r="BO39" s="70"/>
      <c r="BP39" s="683"/>
      <c r="BQ39" s="683"/>
      <c r="BR39" s="683"/>
      <c r="BS39" s="683"/>
    </row>
    <row r="40" spans="2:72">
      <c r="B40" s="102" t="s">
        <v>129</v>
      </c>
      <c r="C40" s="318"/>
      <c r="D40" s="318"/>
      <c r="E40" s="318"/>
      <c r="F40" s="318"/>
      <c r="G40" s="318"/>
      <c r="H40" s="318"/>
      <c r="I40" s="318"/>
      <c r="J40" s="318"/>
      <c r="K40" s="318"/>
      <c r="L40" s="318"/>
      <c r="M40" s="318"/>
      <c r="N40" s="318"/>
      <c r="O40" s="318"/>
      <c r="P40" s="318"/>
      <c r="Q40" s="318"/>
      <c r="R40" s="318"/>
      <c r="S40" s="318"/>
      <c r="T40" s="318"/>
      <c r="U40" s="318"/>
      <c r="V40" s="318"/>
      <c r="W40" s="912">
        <f>-48.7-X40</f>
        <v>-22.000000000000004</v>
      </c>
      <c r="X40" s="912">
        <v>-26.7</v>
      </c>
      <c r="Y40" s="912">
        <v>-24.7</v>
      </c>
      <c r="Z40" s="912">
        <v>-69.7</v>
      </c>
      <c r="AA40" s="912">
        <v>28.7</v>
      </c>
      <c r="AB40" s="912">
        <v>-20.8</v>
      </c>
      <c r="AC40" s="912">
        <v>-38.9</v>
      </c>
      <c r="AD40" s="912">
        <v>-67.599999999999994</v>
      </c>
      <c r="AE40" s="912">
        <v>-39.6</v>
      </c>
      <c r="AF40" s="912">
        <v>-66.099999999999994</v>
      </c>
      <c r="AG40" s="912">
        <v>-75.5</v>
      </c>
      <c r="AH40" s="912">
        <v>-199.2</v>
      </c>
      <c r="AI40" s="912">
        <v>-120.5</v>
      </c>
      <c r="AJ40" s="912">
        <v>-99.1</v>
      </c>
      <c r="AK40" s="912">
        <v>7175.5919999999996</v>
      </c>
      <c r="AL40" s="912">
        <v>-1031.5</v>
      </c>
      <c r="AM40" s="2518">
        <v>-1073.7</v>
      </c>
      <c r="AN40" s="912">
        <v>13.8</v>
      </c>
      <c r="AO40" s="912">
        <v>-6995.4</v>
      </c>
      <c r="AP40" s="912">
        <v>-108.1</v>
      </c>
      <c r="AQ40" s="912">
        <v>-101.69999999999999</v>
      </c>
      <c r="AR40" s="912">
        <v>-249.7</v>
      </c>
      <c r="AS40" s="912">
        <v>-1807</v>
      </c>
      <c r="AT40" s="912">
        <v>-507</v>
      </c>
      <c r="AU40" s="1537"/>
      <c r="AV40" s="1537"/>
      <c r="AW40" s="1537"/>
      <c r="AX40" s="1537"/>
      <c r="AZ40" s="1537"/>
      <c r="BD40" s="324">
        <f>+SUM(C40:F40)</f>
        <v>0</v>
      </c>
      <c r="BE40" s="324">
        <f>+SUM(G40:J40)</f>
        <v>0</v>
      </c>
      <c r="BF40" s="324">
        <f>+SUM(K40:N40)</f>
        <v>0</v>
      </c>
      <c r="BG40" s="324">
        <f>+SUM(O40:R40)</f>
        <v>0</v>
      </c>
      <c r="BH40" s="324">
        <f>+SUM(S40:V40)</f>
        <v>0</v>
      </c>
      <c r="BI40" s="324">
        <f>+SUM(W40:Z40)</f>
        <v>-143.10000000000002</v>
      </c>
      <c r="BJ40" s="324">
        <f>+SUM(AA40:AD40)</f>
        <v>-98.6</v>
      </c>
      <c r="BK40" s="324">
        <f>+SUM(AE40:AH40)</f>
        <v>-380.4</v>
      </c>
      <c r="BL40" s="324">
        <f>+SUM(AI40:AL40)</f>
        <v>5924.4919999999993</v>
      </c>
      <c r="BM40" s="2522">
        <f>+SUM(AM40:AP40)</f>
        <v>-8163.4</v>
      </c>
      <c r="BN40" s="324">
        <f>+SUM(AQ40:AT40)</f>
        <v>-2665.4</v>
      </c>
      <c r="BO40" s="324">
        <f>+SUM(AU40:AX40)</f>
        <v>0</v>
      </c>
      <c r="BP40" s="680"/>
      <c r="BQ40" s="680"/>
      <c r="BR40" s="680"/>
      <c r="BS40" s="680"/>
    </row>
    <row r="41" spans="2:72">
      <c r="B41" s="102" t="s">
        <v>134</v>
      </c>
      <c r="C41" s="324">
        <v>0.4</v>
      </c>
      <c r="D41" s="324">
        <v>-1.7</v>
      </c>
      <c r="E41" s="324">
        <v>1.5</v>
      </c>
      <c r="F41" s="324">
        <v>-9.4</v>
      </c>
      <c r="G41" s="324">
        <v>-0.79271503648858477</v>
      </c>
      <c r="H41" s="324">
        <v>-0.61550501607971309</v>
      </c>
      <c r="I41" s="324">
        <v>-3.1</v>
      </c>
      <c r="J41" s="324">
        <v>-7.0317670689130995</v>
      </c>
      <c r="K41" s="324">
        <v>0</v>
      </c>
      <c r="L41" s="324">
        <v>0</v>
      </c>
      <c r="M41" s="324">
        <v>0</v>
      </c>
      <c r="N41" s="324">
        <v>0</v>
      </c>
      <c r="O41" s="324">
        <v>0</v>
      </c>
      <c r="P41" s="324">
        <v>0</v>
      </c>
      <c r="Q41" s="324">
        <v>0</v>
      </c>
      <c r="R41" s="324">
        <v>0</v>
      </c>
      <c r="S41" s="324">
        <v>0</v>
      </c>
      <c r="T41" s="324">
        <v>0</v>
      </c>
      <c r="U41" s="324">
        <v>0</v>
      </c>
      <c r="V41" s="324">
        <v>0</v>
      </c>
      <c r="W41" s="324">
        <f>-7.7-X41</f>
        <v>-4.0999999999999996</v>
      </c>
      <c r="X41" s="324">
        <v>-3.6</v>
      </c>
      <c r="Y41" s="324">
        <v>-4</v>
      </c>
      <c r="Z41" s="324">
        <v>-1.7</v>
      </c>
      <c r="AA41" s="324">
        <v>-1.4</v>
      </c>
      <c r="AB41" s="324">
        <v>-2.6</v>
      </c>
      <c r="AC41" s="324">
        <v>-3.3</v>
      </c>
      <c r="AD41" s="324">
        <v>-8.9999999999999998E-4</v>
      </c>
      <c r="AE41" s="324">
        <v>0.9</v>
      </c>
      <c r="AF41" s="324">
        <v>-0.2</v>
      </c>
      <c r="AG41" s="324">
        <v>0.3</v>
      </c>
      <c r="AH41" s="324">
        <v>0</v>
      </c>
      <c r="AI41" s="324">
        <v>0.3</v>
      </c>
      <c r="AJ41" s="324">
        <v>0.06</v>
      </c>
      <c r="AK41" s="324">
        <v>-0.437</v>
      </c>
      <c r="AL41" s="324">
        <v>1</v>
      </c>
      <c r="AM41" s="2522">
        <v>0</v>
      </c>
      <c r="AN41" s="324">
        <v>0.2</v>
      </c>
      <c r="AO41" s="324">
        <v>0.2</v>
      </c>
      <c r="AP41" s="324">
        <v>-0.2</v>
      </c>
      <c r="AQ41" s="324">
        <v>0</v>
      </c>
      <c r="AR41" s="324">
        <v>0</v>
      </c>
      <c r="AS41" s="324">
        <v>0</v>
      </c>
      <c r="AT41" s="324">
        <v>0</v>
      </c>
      <c r="AU41" s="267">
        <v>0</v>
      </c>
      <c r="AV41" s="267">
        <v>0</v>
      </c>
      <c r="AW41" s="267">
        <v>0</v>
      </c>
      <c r="AX41" s="267">
        <v>0</v>
      </c>
      <c r="AZ41" s="267">
        <v>0</v>
      </c>
      <c r="BD41" s="324">
        <f>+SUM(C41:F41)</f>
        <v>-9.1999999999999993</v>
      </c>
      <c r="BE41" s="324">
        <f>+SUM(G41:J41)</f>
        <v>-11.539987121481397</v>
      </c>
      <c r="BF41" s="324">
        <f>+SUM(K41:N41)</f>
        <v>0</v>
      </c>
      <c r="BG41" s="324">
        <f>+SUM(O41:R41)</f>
        <v>0</v>
      </c>
      <c r="BH41" s="324">
        <f>+SUM(S41:V41)</f>
        <v>0</v>
      </c>
      <c r="BI41" s="324">
        <f>+SUM(W41:Z41)</f>
        <v>-13.399999999999999</v>
      </c>
      <c r="BJ41" s="324">
        <f>+SUM(AA41:AD41)</f>
        <v>-7.3008999999999995</v>
      </c>
      <c r="BK41" s="324">
        <f>+SUM(AE41:AH41)</f>
        <v>1</v>
      </c>
      <c r="BL41" s="324">
        <f>+SUM(AI41:AL41)</f>
        <v>0.92300000000000004</v>
      </c>
      <c r="BM41" s="2522">
        <f>+SUM(AM41:AP41)</f>
        <v>0.2</v>
      </c>
      <c r="BN41" s="324">
        <f>+SUM(AQ41:AT41)</f>
        <v>0</v>
      </c>
      <c r="BO41" s="324">
        <f>+SUM(AU41:AX41)</f>
        <v>0</v>
      </c>
      <c r="BP41" s="267">
        <v>0</v>
      </c>
      <c r="BQ41" s="267">
        <v>0</v>
      </c>
      <c r="BR41" s="267">
        <v>0</v>
      </c>
      <c r="BS41" s="267">
        <v>0</v>
      </c>
    </row>
    <row r="42" spans="2:72" s="105" customFormat="1">
      <c r="B42" s="121" t="s">
        <v>954</v>
      </c>
      <c r="C42" s="265" t="e">
        <f t="shared" ref="C42:AK42" si="211">+C37+C40+C41</f>
        <v>#REF!</v>
      </c>
      <c r="D42" s="265" t="e">
        <f t="shared" si="211"/>
        <v>#REF!</v>
      </c>
      <c r="E42" s="265" t="e">
        <f t="shared" si="211"/>
        <v>#REF!</v>
      </c>
      <c r="F42" s="265" t="e">
        <f t="shared" si="211"/>
        <v>#REF!</v>
      </c>
      <c r="G42" s="265" t="e">
        <f t="shared" si="211"/>
        <v>#REF!</v>
      </c>
      <c r="H42" s="265" t="e">
        <f t="shared" si="211"/>
        <v>#REF!</v>
      </c>
      <c r="I42" s="265" t="e">
        <f t="shared" si="211"/>
        <v>#REF!</v>
      </c>
      <c r="J42" s="265" t="e">
        <f t="shared" si="211"/>
        <v>#REF!</v>
      </c>
      <c r="K42" s="265" t="e">
        <f t="shared" si="211"/>
        <v>#REF!</v>
      </c>
      <c r="L42" s="265" t="e">
        <f t="shared" si="211"/>
        <v>#REF!</v>
      </c>
      <c r="M42" s="265" t="e">
        <f t="shared" si="211"/>
        <v>#REF!</v>
      </c>
      <c r="N42" s="265" t="e">
        <f t="shared" si="211"/>
        <v>#REF!</v>
      </c>
      <c r="O42" s="265" t="e">
        <f t="shared" si="211"/>
        <v>#REF!</v>
      </c>
      <c r="P42" s="265" t="e">
        <f t="shared" si="211"/>
        <v>#REF!</v>
      </c>
      <c r="Q42" s="265" t="e">
        <f t="shared" si="211"/>
        <v>#REF!</v>
      </c>
      <c r="R42" s="265" t="e">
        <f t="shared" si="211"/>
        <v>#REF!</v>
      </c>
      <c r="S42" s="265" t="e">
        <f t="shared" si="211"/>
        <v>#REF!</v>
      </c>
      <c r="T42" s="265" t="e">
        <f t="shared" si="211"/>
        <v>#REF!</v>
      </c>
      <c r="U42" s="265">
        <f t="shared" si="211"/>
        <v>63.8</v>
      </c>
      <c r="V42" s="265">
        <f t="shared" si="211"/>
        <v>2866.3642</v>
      </c>
      <c r="W42" s="265">
        <f t="shared" si="211"/>
        <v>-829.0999999999998</v>
      </c>
      <c r="X42" s="265">
        <f t="shared" si="211"/>
        <v>-395.8</v>
      </c>
      <c r="Y42" s="265">
        <f t="shared" si="211"/>
        <v>373.90000000000094</v>
      </c>
      <c r="Z42" s="265">
        <f t="shared" si="211"/>
        <v>174.1000000000007</v>
      </c>
      <c r="AA42" s="265">
        <f t="shared" si="211"/>
        <v>-158.00000000000074</v>
      </c>
      <c r="AB42" s="265">
        <f t="shared" si="211"/>
        <v>229.39999999999961</v>
      </c>
      <c r="AC42" s="265" t="e">
        <f t="shared" si="211"/>
        <v>#REF!</v>
      </c>
      <c r="AD42" s="265">
        <f t="shared" si="211"/>
        <v>695.49910000000079</v>
      </c>
      <c r="AE42" s="265">
        <f t="shared" si="211"/>
        <v>-641.30000000000109</v>
      </c>
      <c r="AF42" s="265">
        <f t="shared" si="211"/>
        <v>-767.10000000000059</v>
      </c>
      <c r="AG42" s="265">
        <f t="shared" si="211"/>
        <v>-559.29999999999995</v>
      </c>
      <c r="AH42" s="265">
        <f t="shared" si="211"/>
        <v>-890.599999999999</v>
      </c>
      <c r="AI42" s="265">
        <f t="shared" si="211"/>
        <v>-651.90000000000134</v>
      </c>
      <c r="AJ42" s="265">
        <f t="shared" si="211"/>
        <v>-731.82728813559913</v>
      </c>
      <c r="AK42" s="265">
        <f t="shared" si="211"/>
        <v>7023.5599999999995</v>
      </c>
      <c r="AL42" s="265">
        <f>+AL37+AL40+AL41</f>
        <v>-2660.7999999999993</v>
      </c>
      <c r="AM42" s="265">
        <f t="shared" ref="AM42:AX42" si="212">+AM37+AM40+AM41</f>
        <v>-938.75900000000013</v>
      </c>
      <c r="AN42" s="265">
        <f t="shared" si="212"/>
        <v>-859.17799999999943</v>
      </c>
      <c r="AO42" s="265">
        <f t="shared" si="212"/>
        <v>-6693.7350526849841</v>
      </c>
      <c r="AP42" s="265">
        <f t="shared" si="212"/>
        <v>-438.89999999999981</v>
      </c>
      <c r="AQ42" s="265">
        <f t="shared" si="212"/>
        <v>-150.71327389165012</v>
      </c>
      <c r="AR42" s="265">
        <f t="shared" si="212"/>
        <v>195.2</v>
      </c>
      <c r="AS42" s="265">
        <f t="shared" si="212"/>
        <v>-1926.1999999999998</v>
      </c>
      <c r="AT42" s="265">
        <f t="shared" si="212"/>
        <v>-321</v>
      </c>
      <c r="AU42" s="684">
        <f t="shared" si="212"/>
        <v>243.78950387605562</v>
      </c>
      <c r="AV42" s="684">
        <f t="shared" si="212"/>
        <v>190.06301041904206</v>
      </c>
      <c r="AW42" s="684">
        <f t="shared" si="212"/>
        <v>165.94166601420946</v>
      </c>
      <c r="AX42" s="684">
        <f t="shared" si="212"/>
        <v>422.93241723309944</v>
      </c>
      <c r="AZ42" s="684">
        <v>86.589634565377509</v>
      </c>
      <c r="BA42" s="1068">
        <f>+AT42/AZ42-1</f>
        <v>-4.7071411793248341</v>
      </c>
      <c r="BD42" s="265" t="e">
        <f>+SUM(C42:F42)</f>
        <v>#REF!</v>
      </c>
      <c r="BE42" s="265" t="e">
        <f>+SUM(G42:J42)</f>
        <v>#REF!</v>
      </c>
      <c r="BF42" s="265" t="e">
        <f>+SUM(K42:N42)</f>
        <v>#REF!</v>
      </c>
      <c r="BG42" s="265" t="e">
        <f>+SUM(O42:R42)</f>
        <v>#REF!</v>
      </c>
      <c r="BH42" s="265" t="e">
        <f t="shared" ref="BH42" si="213">+BH37+BH40+BH41</f>
        <v>#REF!</v>
      </c>
      <c r="BI42" s="265">
        <f t="shared" ref="BI42" si="214">+BI37+BI40+BI41</f>
        <v>-676.89999999999804</v>
      </c>
      <c r="BJ42" s="265" t="e">
        <f t="shared" ref="BJ42" si="215">+BJ37+BJ40+BJ41</f>
        <v>#REF!</v>
      </c>
      <c r="BK42" s="265">
        <f t="shared" ref="BK42" si="216">+BK37+BK40+BK41</f>
        <v>-2858.3000000000006</v>
      </c>
      <c r="BL42" s="265">
        <f t="shared" ref="BL42" si="217">+BL37+BL40+BL41</f>
        <v>2979.0327118643991</v>
      </c>
      <c r="BM42" s="2523">
        <f t="shared" ref="BM42" si="218">+BM37+BM40+BM41</f>
        <v>-8930.5720526849818</v>
      </c>
      <c r="BN42" s="265">
        <f t="shared" ref="BN42:BO42" si="219">+BN37+BN40+BN41</f>
        <v>-2202.7132738916503</v>
      </c>
      <c r="BO42" s="265">
        <f t="shared" si="219"/>
        <v>1022.7265975424066</v>
      </c>
      <c r="BP42" s="684">
        <f t="shared" ref="BP42" si="220">+BP37+BP40+BP41</f>
        <v>1297.3745819401731</v>
      </c>
      <c r="BQ42" s="684">
        <f t="shared" ref="BQ42" si="221">+BQ37+BQ40+BQ41</f>
        <v>1413.2911592941512</v>
      </c>
      <c r="BR42" s="684">
        <f t="shared" ref="BR42" si="222">+BR37+BR40+BR41</f>
        <v>1584.6454083259616</v>
      </c>
      <c r="BS42" s="684">
        <f t="shared" ref="BS42" si="223">+BS37+BS40+BS41</f>
        <v>1584.2423383420282</v>
      </c>
      <c r="BT42" s="109"/>
    </row>
    <row r="43" spans="2:72">
      <c r="B43" s="123" t="s">
        <v>105</v>
      </c>
      <c r="G43" s="141" t="e">
        <f>+G42/C42-1</f>
        <v>#REF!</v>
      </c>
      <c r="H43" s="141" t="e">
        <f t="shared" ref="H43:S43" si="224">+H42/D42-1</f>
        <v>#REF!</v>
      </c>
      <c r="I43" s="141" t="e">
        <f t="shared" si="224"/>
        <v>#REF!</v>
      </c>
      <c r="J43" s="141" t="e">
        <f t="shared" si="224"/>
        <v>#REF!</v>
      </c>
      <c r="K43" s="141" t="e">
        <f t="shared" si="224"/>
        <v>#REF!</v>
      </c>
      <c r="L43" s="141" t="e">
        <f t="shared" si="224"/>
        <v>#REF!</v>
      </c>
      <c r="M43" s="141" t="e">
        <f t="shared" si="224"/>
        <v>#REF!</v>
      </c>
      <c r="N43" s="141" t="e">
        <f t="shared" si="224"/>
        <v>#REF!</v>
      </c>
      <c r="O43" s="141" t="e">
        <f t="shared" si="224"/>
        <v>#REF!</v>
      </c>
      <c r="P43" s="141" t="e">
        <f t="shared" si="224"/>
        <v>#REF!</v>
      </c>
      <c r="Q43" s="141" t="e">
        <f t="shared" si="224"/>
        <v>#REF!</v>
      </c>
      <c r="R43" s="141" t="e">
        <f t="shared" si="224"/>
        <v>#REF!</v>
      </c>
      <c r="S43" s="141" t="e">
        <f t="shared" si="224"/>
        <v>#REF!</v>
      </c>
      <c r="T43" s="141" t="e">
        <f t="shared" ref="T43:AD43" si="225">+T42/P42-1</f>
        <v>#REF!</v>
      </c>
      <c r="U43" s="141" t="e">
        <f t="shared" si="225"/>
        <v>#REF!</v>
      </c>
      <c r="V43" s="141" t="e">
        <f t="shared" si="225"/>
        <v>#REF!</v>
      </c>
      <c r="W43" s="141" t="e">
        <f t="shared" si="225"/>
        <v>#REF!</v>
      </c>
      <c r="X43" s="141" t="e">
        <f t="shared" si="225"/>
        <v>#REF!</v>
      </c>
      <c r="Y43" s="141">
        <f t="shared" si="225"/>
        <v>4.860501567398134</v>
      </c>
      <c r="Z43" s="141">
        <f t="shared" si="225"/>
        <v>-0.93926103319319965</v>
      </c>
      <c r="AA43" s="141">
        <f t="shared" si="225"/>
        <v>-0.80943191412374771</v>
      </c>
      <c r="AB43" s="141">
        <f t="shared" si="225"/>
        <v>-1.5795856493178362</v>
      </c>
      <c r="AC43" s="141" t="e">
        <f t="shared" si="225"/>
        <v>#REF!</v>
      </c>
      <c r="AD43" s="141">
        <f t="shared" si="225"/>
        <v>2.9948253877082021</v>
      </c>
      <c r="AE43" s="141">
        <f t="shared" ref="AE43" si="226">+AE42/AA42-1</f>
        <v>3.0588607594936592</v>
      </c>
      <c r="AF43" s="141">
        <f t="shared" ref="AF43" si="227">+AF42/AB42-1</f>
        <v>-4.3439407149084648</v>
      </c>
      <c r="AG43" s="141" t="e">
        <f t="shared" ref="AG43:AH43" si="228">+AG42/AC42-1</f>
        <v>#REF!</v>
      </c>
      <c r="AH43" s="141">
        <f t="shared" si="228"/>
        <v>-2.2805192702621726</v>
      </c>
      <c r="AI43" s="141">
        <f t="shared" ref="AI43:AJ43" si="229">+AI42/AE42-1</f>
        <v>1.65289256198351E-2</v>
      </c>
      <c r="AJ43" s="141">
        <f t="shared" si="229"/>
        <v>-4.5981895273629836E-2</v>
      </c>
      <c r="AK43" s="141">
        <f t="shared" ref="AK43" si="230">+AK42/AG42-1</f>
        <v>-13.557768639370641</v>
      </c>
      <c r="AL43" s="141">
        <f t="shared" ref="AL43" si="231">+AL42/AH42-1</f>
        <v>1.9876487761059987</v>
      </c>
      <c r="AM43" s="1942">
        <f t="shared" ref="AM43" si="232">+AM42/AI42-1</f>
        <v>0.44003528148488757</v>
      </c>
      <c r="AN43" s="141">
        <f t="shared" ref="AN43" si="233">+AN42/AJ42-1</f>
        <v>0.17401744090308324</v>
      </c>
      <c r="AO43" s="141">
        <f t="shared" ref="AO43" si="234">+AO42/AK42-1</f>
        <v>-1.9530402036410288</v>
      </c>
      <c r="AP43" s="141">
        <f t="shared" ref="AP43" si="235">+AP42/AL42-1</f>
        <v>-0.83504960914010828</v>
      </c>
      <c r="AQ43" s="141">
        <f t="shared" ref="AQ43" si="236">+AQ42/AM42-1</f>
        <v>-0.83945477604832541</v>
      </c>
      <c r="AR43" s="141">
        <f t="shared" ref="AR43" si="237">+AR42/AN42-1</f>
        <v>-1.2271938992851308</v>
      </c>
      <c r="AS43" s="141">
        <f t="shared" ref="AS43" si="238">+AS42/AO42-1</f>
        <v>-0.71223838636586545</v>
      </c>
      <c r="AT43" s="141">
        <f t="shared" ref="AT43" si="239">+AT42/AP42-1</f>
        <v>-0.26862611073137355</v>
      </c>
      <c r="AU43" s="634">
        <f t="shared" ref="AU43" si="240">+AU42/AQ42-1</f>
        <v>-2.6175715488160605</v>
      </c>
      <c r="AV43" s="634">
        <f t="shared" ref="AV43" si="241">+AV42/AR42-1</f>
        <v>-2.6316544984415602E-2</v>
      </c>
      <c r="AW43" s="634">
        <f t="shared" ref="AW43" si="242">+AW42/AS42-1</f>
        <v>-1.0861497591185802</v>
      </c>
      <c r="AX43" s="634">
        <f t="shared" ref="AX43" si="243">+AX42/AT42-1</f>
        <v>-2.3175464711311511</v>
      </c>
      <c r="AZ43" s="634">
        <v>-1.1972878436212748</v>
      </c>
      <c r="BD43" s="141"/>
      <c r="BE43" s="141" t="e">
        <f t="shared" ref="BE43:BP43" si="244">+BE42/BD42-1</f>
        <v>#REF!</v>
      </c>
      <c r="BF43" s="141" t="e">
        <f t="shared" si="244"/>
        <v>#REF!</v>
      </c>
      <c r="BG43" s="141" t="e">
        <f t="shared" si="244"/>
        <v>#REF!</v>
      </c>
      <c r="BH43" s="141" t="e">
        <f t="shared" si="244"/>
        <v>#REF!</v>
      </c>
      <c r="BI43" s="141" t="e">
        <f t="shared" si="244"/>
        <v>#REF!</v>
      </c>
      <c r="BJ43" s="141" t="e">
        <f t="shared" si="244"/>
        <v>#REF!</v>
      </c>
      <c r="BK43" s="141" t="e">
        <f t="shared" si="244"/>
        <v>#REF!</v>
      </c>
      <c r="BL43" s="141">
        <f t="shared" si="244"/>
        <v>-2.0422393422189407</v>
      </c>
      <c r="BM43" s="1942">
        <f t="shared" si="244"/>
        <v>-3.9978093282150864</v>
      </c>
      <c r="BN43" s="141">
        <f t="shared" si="244"/>
        <v>-0.75335137985596301</v>
      </c>
      <c r="BO43" s="141">
        <f t="shared" si="244"/>
        <v>-1.4643030982128242</v>
      </c>
      <c r="BP43" s="634">
        <f t="shared" si="244"/>
        <v>0.26854487314375186</v>
      </c>
      <c r="BQ43" s="634">
        <f t="shared" ref="BQ43" si="245">+BQ42/BP42-1</f>
        <v>8.9347038987482863E-2</v>
      </c>
      <c r="BR43" s="634">
        <f t="shared" ref="BR43" si="246">+BR42/BQ42-1</f>
        <v>0.12124483189818513</v>
      </c>
      <c r="BS43" s="634">
        <f t="shared" ref="BS43" si="247">+BS42/BR42-1</f>
        <v>-2.5435973361331854E-4</v>
      </c>
    </row>
    <row r="44" spans="2:72">
      <c r="B44" s="123"/>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942"/>
      <c r="AN44" s="141"/>
      <c r="AO44" s="141"/>
      <c r="AP44" s="634"/>
      <c r="AQ44" s="634"/>
      <c r="AR44" s="634"/>
      <c r="AS44" s="634"/>
      <c r="AT44" s="634"/>
      <c r="AU44" s="634"/>
      <c r="AV44" s="634"/>
      <c r="AW44" s="634"/>
      <c r="AX44" s="634"/>
      <c r="AZ44" s="634"/>
      <c r="BD44" s="141"/>
      <c r="BE44" s="141"/>
      <c r="BF44" s="141"/>
      <c r="BG44" s="141"/>
      <c r="BH44" s="141"/>
      <c r="BI44" s="141"/>
      <c r="BJ44" s="141"/>
      <c r="BK44" s="141"/>
      <c r="BL44" s="141"/>
      <c r="BM44" s="1942"/>
      <c r="BN44" s="141"/>
      <c r="BO44" s="141"/>
      <c r="BP44" s="634"/>
      <c r="BQ44" s="634"/>
      <c r="BR44" s="634"/>
      <c r="BS44" s="634"/>
    </row>
    <row r="45" spans="2:72">
      <c r="B45" s="123" t="s">
        <v>471</v>
      </c>
      <c r="G45" s="141"/>
      <c r="H45" s="141"/>
      <c r="I45" s="141"/>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942"/>
      <c r="AN45" s="141"/>
      <c r="AO45" s="141"/>
      <c r="AP45" s="634"/>
      <c r="AQ45" s="634"/>
      <c r="AR45" s="634"/>
      <c r="AS45" s="634"/>
      <c r="AT45" s="2669">
        <f>978-241</f>
        <v>737</v>
      </c>
      <c r="AU45" s="634"/>
      <c r="AV45" s="634"/>
      <c r="AW45" s="634"/>
      <c r="AX45" s="634"/>
      <c r="AZ45" s="634"/>
      <c r="BD45" s="141"/>
      <c r="BE45" s="141"/>
      <c r="BF45" s="141"/>
      <c r="BG45" s="141"/>
      <c r="BH45" s="141"/>
      <c r="BI45" s="141"/>
      <c r="BJ45" s="141"/>
      <c r="BK45" s="2154">
        <v>200</v>
      </c>
      <c r="BL45" s="2154">
        <v>400</v>
      </c>
      <c r="BM45" s="2605">
        <v>200</v>
      </c>
      <c r="BN45" s="2154">
        <v>200</v>
      </c>
      <c r="BO45" s="2154">
        <v>200</v>
      </c>
      <c r="BP45" s="2154">
        <f t="shared" ref="BP45:BS45" si="248">+BP48*0.25</f>
        <v>141.61002305364545</v>
      </c>
      <c r="BQ45" s="2154">
        <f t="shared" si="248"/>
        <v>147.09602154590561</v>
      </c>
      <c r="BR45" s="2154">
        <f t="shared" si="248"/>
        <v>152.74589019752429</v>
      </c>
      <c r="BS45" s="2154">
        <f t="shared" si="248"/>
        <v>158.19139426362838</v>
      </c>
    </row>
    <row r="46" spans="2:72">
      <c r="B46" s="121" t="s">
        <v>472</v>
      </c>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942"/>
      <c r="AN46" s="141"/>
      <c r="AO46" s="634"/>
      <c r="AP46" s="634"/>
      <c r="AQ46" s="634"/>
      <c r="AR46" s="634"/>
      <c r="AS46" s="634"/>
      <c r="AT46" s="634"/>
      <c r="AU46" s="634"/>
      <c r="AV46" s="634"/>
      <c r="AW46" s="634"/>
      <c r="AX46" s="634"/>
      <c r="AZ46" s="634"/>
      <c r="BD46" s="141"/>
      <c r="BE46" s="141"/>
      <c r="BF46" s="141"/>
      <c r="BG46" s="141"/>
      <c r="BH46" s="141"/>
      <c r="BI46" s="141"/>
      <c r="BJ46" s="141"/>
      <c r="BK46" s="265">
        <f>+BK42-BK45</f>
        <v>-3058.3000000000006</v>
      </c>
      <c r="BL46" s="265">
        <f t="shared" ref="BL46:BM46" si="249">+BL42-BL45</f>
        <v>2579.0327118643991</v>
      </c>
      <c r="BM46" s="2523">
        <f t="shared" si="249"/>
        <v>-9130.5720526849818</v>
      </c>
      <c r="BN46" s="265">
        <f t="shared" ref="BN46:BO46" si="250">+BN42-BN45</f>
        <v>-2402.7132738916503</v>
      </c>
      <c r="BO46" s="265">
        <f t="shared" si="250"/>
        <v>822.72659754240658</v>
      </c>
      <c r="BP46" s="265">
        <f t="shared" ref="BP46" si="251">+BP42-BP45</f>
        <v>1155.7645588865278</v>
      </c>
      <c r="BQ46" s="265">
        <f t="shared" ref="BQ46" si="252">+BQ42-BQ45</f>
        <v>1266.1951377482455</v>
      </c>
      <c r="BR46" s="265">
        <f t="shared" ref="BR46" si="253">+BR42-BR45</f>
        <v>1431.8995181284374</v>
      </c>
      <c r="BS46" s="265">
        <f t="shared" ref="BS46" si="254">+BS42-BS45</f>
        <v>1426.0509440783999</v>
      </c>
    </row>
    <row r="47" spans="2:72">
      <c r="B47" s="123"/>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942"/>
      <c r="AN47" s="141"/>
      <c r="AO47" s="634"/>
      <c r="AP47" s="634"/>
      <c r="AQ47" s="634"/>
      <c r="AR47" s="634"/>
      <c r="AS47" s="634"/>
      <c r="AT47" s="634"/>
      <c r="AU47" s="634"/>
      <c r="AV47" s="634"/>
      <c r="AW47" s="634"/>
      <c r="AX47" s="634"/>
      <c r="AZ47" s="634"/>
      <c r="BD47" s="141"/>
      <c r="BE47" s="141"/>
      <c r="BF47" s="141"/>
      <c r="BG47" s="141"/>
      <c r="BH47" s="141"/>
      <c r="BI47" s="141"/>
      <c r="BJ47" s="141"/>
      <c r="BK47" s="141"/>
      <c r="BL47" s="141"/>
      <c r="BM47" s="1942"/>
      <c r="BN47" s="630">
        <f>+BN46+FAT!AS242-FAT!BP243</f>
        <v>-2790.51327389165</v>
      </c>
      <c r="BO47" s="630">
        <f>+BO46+FAT!AT242-FAT!BQ243</f>
        <v>-1918.9219643120564</v>
      </c>
      <c r="BP47" s="2156">
        <f ca="1">+VP!$C$24/BP46</f>
        <v>12.511501627919106</v>
      </c>
      <c r="BQ47" s="2156">
        <f ca="1">+VP!$C$24/BQ46</f>
        <v>11.420317239344127</v>
      </c>
      <c r="BR47" s="634"/>
      <c r="BS47" s="634"/>
    </row>
    <row r="48" spans="2:72">
      <c r="B48" s="123"/>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942"/>
      <c r="AN48" s="141"/>
      <c r="AO48" s="634"/>
      <c r="AP48" s="634"/>
      <c r="AQ48" s="634"/>
      <c r="AR48" s="634"/>
      <c r="AS48" s="634"/>
      <c r="AT48" s="634"/>
      <c r="AU48" s="634"/>
      <c r="AV48" s="634"/>
      <c r="AW48" s="634"/>
      <c r="AX48" s="634"/>
      <c r="AZ48" s="634"/>
      <c r="BD48" s="141"/>
      <c r="BE48" s="141"/>
      <c r="BF48" s="141"/>
      <c r="BG48" s="141"/>
      <c r="BH48" s="141"/>
      <c r="BI48" s="141"/>
      <c r="BJ48" s="141" t="s">
        <v>473</v>
      </c>
      <c r="BK48" s="2155">
        <f t="shared" ref="BK48:BL48" si="255">+BK45/0.25</f>
        <v>800</v>
      </c>
      <c r="BL48" s="2155">
        <f t="shared" si="255"/>
        <v>1600</v>
      </c>
      <c r="BM48" s="2606">
        <f>+BM45/0.25</f>
        <v>800</v>
      </c>
      <c r="BN48" s="2155">
        <f>+BN45/0.25</f>
        <v>800</v>
      </c>
      <c r="BO48" s="2155">
        <f>+BO45/0.25</f>
        <v>800</v>
      </c>
      <c r="BP48" s="2156">
        <f>+BP49*BP5</f>
        <v>566.4400922145818</v>
      </c>
      <c r="BQ48" s="2156">
        <f>+BQ49*BQ5</f>
        <v>588.38408618362246</v>
      </c>
      <c r="BR48" s="2156">
        <f>+BR49*BR5</f>
        <v>610.98356079009716</v>
      </c>
      <c r="BS48" s="2156">
        <f>+BS49*BS5</f>
        <v>632.76557705451353</v>
      </c>
    </row>
    <row r="49" spans="1:71" s="1760" customFormat="1">
      <c r="B49" s="1761"/>
      <c r="G49" s="1762"/>
      <c r="H49" s="1762"/>
      <c r="I49" s="1762"/>
      <c r="J49" s="1762"/>
      <c r="K49" s="1762"/>
      <c r="L49" s="1762"/>
      <c r="M49" s="1762"/>
      <c r="N49" s="1762"/>
      <c r="O49" s="1762"/>
      <c r="P49" s="1762"/>
      <c r="Q49" s="1762"/>
      <c r="R49" s="1762"/>
      <c r="S49" s="1762"/>
      <c r="T49" s="1762"/>
      <c r="U49" s="1762"/>
      <c r="V49" s="1762"/>
      <c r="W49" s="1762"/>
      <c r="X49" s="1762"/>
      <c r="Y49" s="1762"/>
      <c r="Z49" s="1762"/>
      <c r="AA49" s="1762"/>
      <c r="AB49" s="1762"/>
      <c r="AC49" s="1762"/>
      <c r="AD49" s="1762"/>
      <c r="AE49" s="1762"/>
      <c r="AF49" s="1762"/>
      <c r="AG49" s="1762"/>
      <c r="AH49" s="1762"/>
      <c r="AI49" s="1762"/>
      <c r="AJ49" s="1762"/>
      <c r="AK49" s="1762"/>
      <c r="AL49" s="1762"/>
      <c r="AM49" s="2524"/>
      <c r="AN49" s="1762"/>
      <c r="AO49" s="1763"/>
      <c r="AP49" s="1763"/>
      <c r="AQ49" s="1763"/>
      <c r="AR49" s="1763"/>
      <c r="AS49" s="1763"/>
      <c r="AT49" s="1763"/>
      <c r="AU49" s="1763"/>
      <c r="AV49" s="1763"/>
      <c r="AW49" s="1763"/>
      <c r="AX49" s="1763"/>
      <c r="AZ49" s="1763"/>
      <c r="BA49" s="1764"/>
      <c r="BD49" s="1762"/>
      <c r="BE49" s="1762"/>
      <c r="BF49" s="1762"/>
      <c r="BG49" s="1762"/>
      <c r="BH49" s="1762"/>
      <c r="BI49" s="1762"/>
      <c r="BJ49" s="1762" t="s">
        <v>474</v>
      </c>
      <c r="BK49" s="1762">
        <f>+BK48/BK5</f>
        <v>2.2008737468775106E-2</v>
      </c>
      <c r="BL49" s="1762">
        <f>+BL48/BL5</f>
        <v>5.4748779444291275E-2</v>
      </c>
      <c r="BM49" s="2524">
        <f>+BM48/BM5</f>
        <v>3.4140064628743326E-2</v>
      </c>
      <c r="BN49" s="1762">
        <f>+BN48/BN5</f>
        <v>3.6007738906378303E-2</v>
      </c>
      <c r="BO49" s="1762">
        <f>+BO48/BO5</f>
        <v>3.6888575178538177E-2</v>
      </c>
      <c r="BP49" s="2157">
        <v>2.5000000000000001E-2</v>
      </c>
      <c r="BQ49" s="2157">
        <v>2.5000000000000001E-2</v>
      </c>
      <c r="BR49" s="2157">
        <v>2.5000000000000001E-2</v>
      </c>
      <c r="BS49" s="2157">
        <v>2.5000000000000001E-2</v>
      </c>
    </row>
    <row r="50" spans="1:71">
      <c r="B50" s="292"/>
      <c r="C50" s="142"/>
      <c r="D50" s="142"/>
      <c r="E50" s="142"/>
      <c r="F50" s="142"/>
      <c r="G50" s="142"/>
      <c r="H50" s="142"/>
      <c r="I50" s="142"/>
      <c r="J50" s="142"/>
      <c r="K50" s="142"/>
      <c r="L50" s="142"/>
      <c r="M50" s="142"/>
      <c r="N50" s="142"/>
      <c r="O50" s="142"/>
      <c r="P50" s="142"/>
      <c r="Q50" s="142"/>
      <c r="R50" s="142"/>
      <c r="S50" s="142"/>
      <c r="T50" s="142"/>
    </row>
    <row r="51" spans="1:71" s="122" customFormat="1">
      <c r="A51"/>
      <c r="B51" s="293" t="s">
        <v>135</v>
      </c>
      <c r="C51" s="282" t="s">
        <v>418</v>
      </c>
      <c r="D51" s="282" t="s">
        <v>419</v>
      </c>
      <c r="E51" s="282" t="s">
        <v>420</v>
      </c>
      <c r="F51" s="282" t="s">
        <v>421</v>
      </c>
      <c r="G51" s="282" t="s">
        <v>422</v>
      </c>
      <c r="H51" s="282" t="s">
        <v>423</v>
      </c>
      <c r="I51" s="282" t="s">
        <v>424</v>
      </c>
      <c r="J51" s="282" t="s">
        <v>425</v>
      </c>
      <c r="K51" s="282" t="s">
        <v>426</v>
      </c>
      <c r="L51" s="282" t="s">
        <v>427</v>
      </c>
      <c r="M51" s="282" t="s">
        <v>428</v>
      </c>
      <c r="N51" s="282" t="s">
        <v>429</v>
      </c>
      <c r="O51" s="282" t="s">
        <v>430</v>
      </c>
      <c r="P51" s="282" t="s">
        <v>431</v>
      </c>
      <c r="Q51" s="282" t="s">
        <v>432</v>
      </c>
      <c r="R51" s="282" t="s">
        <v>433</v>
      </c>
      <c r="S51" s="282" t="s">
        <v>434</v>
      </c>
      <c r="T51" s="282" t="s">
        <v>435</v>
      </c>
      <c r="U51" s="282" t="s">
        <v>436</v>
      </c>
      <c r="V51" s="282" t="s">
        <v>437</v>
      </c>
      <c r="W51" s="282" t="s">
        <v>438</v>
      </c>
      <c r="X51" s="282" t="s">
        <v>439</v>
      </c>
      <c r="Y51" s="282" t="s">
        <v>440</v>
      </c>
      <c r="Z51" s="282" t="s">
        <v>441</v>
      </c>
      <c r="AA51" s="282" t="s">
        <v>442</v>
      </c>
      <c r="AB51" s="282" t="s">
        <v>443</v>
      </c>
      <c r="AC51" s="282" t="s">
        <v>444</v>
      </c>
      <c r="AD51" s="282" t="s">
        <v>445</v>
      </c>
      <c r="AE51" s="282" t="s">
        <v>446</v>
      </c>
      <c r="AF51" s="282" t="s">
        <v>447</v>
      </c>
      <c r="AG51" s="282" t="s">
        <v>448</v>
      </c>
      <c r="AH51" s="282" t="s">
        <v>449</v>
      </c>
      <c r="AI51" s="282" t="s">
        <v>450</v>
      </c>
      <c r="AJ51" s="282" t="s">
        <v>451</v>
      </c>
      <c r="AK51" s="282" t="s">
        <v>452</v>
      </c>
      <c r="AL51" s="282" t="s">
        <v>453</v>
      </c>
      <c r="AM51" s="2508" t="s">
        <v>454</v>
      </c>
      <c r="AN51" s="282" t="s">
        <v>455</v>
      </c>
      <c r="AO51" s="282" t="s">
        <v>456</v>
      </c>
      <c r="AP51" s="282" t="s">
        <v>457</v>
      </c>
      <c r="AQ51" s="282" t="s">
        <v>457</v>
      </c>
      <c r="AR51" s="282" t="s">
        <v>457</v>
      </c>
      <c r="AS51" s="282" t="s">
        <v>457</v>
      </c>
      <c r="AT51" s="282" t="s">
        <v>457</v>
      </c>
      <c r="AU51" s="282" t="s">
        <v>457</v>
      </c>
      <c r="AV51" s="282" t="s">
        <v>457</v>
      </c>
      <c r="AW51" s="282" t="s">
        <v>457</v>
      </c>
      <c r="AX51" s="282" t="s">
        <v>457</v>
      </c>
      <c r="AY51" s="993"/>
      <c r="AZ51" s="282" t="s">
        <v>457</v>
      </c>
      <c r="BA51" s="1071"/>
      <c r="BB51" s="993"/>
      <c r="BC51" s="993"/>
      <c r="BM51" s="293"/>
    </row>
    <row r="52" spans="1:71" s="105" customFormat="1">
      <c r="B52" s="121" t="s">
        <v>114</v>
      </c>
      <c r="C52" s="144">
        <f t="shared" ref="C52:AE52" si="256">+C56+C53</f>
        <v>285.89999999999992</v>
      </c>
      <c r="D52" s="144">
        <f t="shared" si="256"/>
        <v>357.2</v>
      </c>
      <c r="E52" s="144">
        <f t="shared" si="256"/>
        <v>399.59999999999997</v>
      </c>
      <c r="F52" s="144">
        <f t="shared" si="256"/>
        <v>453.19999999999987</v>
      </c>
      <c r="G52" s="144">
        <f t="shared" si="256"/>
        <v>216.99695932270899</v>
      </c>
      <c r="H52" s="144">
        <f t="shared" si="256"/>
        <v>344.72581200060029</v>
      </c>
      <c r="I52" s="144">
        <f t="shared" si="256"/>
        <v>348.94699999999995</v>
      </c>
      <c r="J52" s="144">
        <f t="shared" si="256"/>
        <v>462.12571975779451</v>
      </c>
      <c r="K52" s="144">
        <f t="shared" si="256"/>
        <v>364.56473356907662</v>
      </c>
      <c r="L52" s="144">
        <f t="shared" si="256"/>
        <v>298.62827183778188</v>
      </c>
      <c r="M52" s="144">
        <f t="shared" si="256"/>
        <v>450.37368320117588</v>
      </c>
      <c r="N52" s="144">
        <f t="shared" si="256"/>
        <v>628.39788430930128</v>
      </c>
      <c r="O52" s="144">
        <f t="shared" si="256"/>
        <v>318.85680131144829</v>
      </c>
      <c r="P52" s="144">
        <f t="shared" si="256"/>
        <v>334.441723843604</v>
      </c>
      <c r="Q52" s="144">
        <f t="shared" si="256"/>
        <v>483.00899040488537</v>
      </c>
      <c r="R52" s="144">
        <f t="shared" si="256"/>
        <v>714.60787556694868</v>
      </c>
      <c r="S52" s="144">
        <f t="shared" si="256"/>
        <v>449.07800000000003</v>
      </c>
      <c r="T52" s="144">
        <f t="shared" si="256"/>
        <v>557.55399999999997</v>
      </c>
      <c r="U52" s="144">
        <f t="shared" si="256"/>
        <v>548.29999999999995</v>
      </c>
      <c r="V52" s="144">
        <f t="shared" si="256"/>
        <v>3757.9000000000005</v>
      </c>
      <c r="W52" s="144">
        <f t="shared" si="256"/>
        <v>145.2000000000005</v>
      </c>
      <c r="X52" s="144">
        <f t="shared" si="256"/>
        <v>651.9</v>
      </c>
      <c r="Y52" s="144">
        <f t="shared" si="256"/>
        <v>1457.1000000000008</v>
      </c>
      <c r="Z52" s="144">
        <f t="shared" si="256"/>
        <v>1254.4000000000005</v>
      </c>
      <c r="AA52" s="144">
        <f t="shared" si="256"/>
        <v>829.19999999999925</v>
      </c>
      <c r="AB52" s="144">
        <f t="shared" si="256"/>
        <v>629.79999999999961</v>
      </c>
      <c r="AC52" s="144">
        <f t="shared" si="256"/>
        <v>954.00000000000125</v>
      </c>
      <c r="AD52" s="144">
        <f t="shared" si="256"/>
        <v>1496.900000000001</v>
      </c>
      <c r="AE52" s="144">
        <f t="shared" si="256"/>
        <v>515.79999999999905</v>
      </c>
      <c r="AF52" s="144">
        <f t="shared" ref="AF52:AG52" si="257">+AF56+AF53</f>
        <v>490.7999999999995</v>
      </c>
      <c r="AG52" s="144">
        <f t="shared" si="257"/>
        <v>589.29999999999995</v>
      </c>
      <c r="AH52" s="144">
        <f t="shared" ref="AH52:AI52" si="258">+AH56+AH53</f>
        <v>537.60000000000093</v>
      </c>
      <c r="AI52" s="144">
        <f t="shared" si="258"/>
        <v>630.89999999999873</v>
      </c>
      <c r="AJ52" s="144">
        <f t="shared" ref="AJ52:AK52" si="259">+AJ56+AJ53</f>
        <v>455.71271186440094</v>
      </c>
      <c r="AK52" s="144">
        <f t="shared" si="259"/>
        <v>490.54290399999991</v>
      </c>
      <c r="AL52" s="144">
        <f t="shared" ref="AL52" si="260">+AL56+AL53</f>
        <v>-55.699999999999477</v>
      </c>
      <c r="AM52" s="2525">
        <f t="shared" ref="AM52:AP52" si="261">+AM56+AM53</f>
        <v>657.6</v>
      </c>
      <c r="AN52" s="685">
        <f t="shared" si="261"/>
        <v>705.20000000000061</v>
      </c>
      <c r="AO52" s="685">
        <f t="shared" si="261"/>
        <v>658.85194731501576</v>
      </c>
      <c r="AP52" s="685">
        <f t="shared" si="261"/>
        <v>-171.09999999999985</v>
      </c>
      <c r="AQ52" s="685">
        <f t="shared" ref="AQ52" si="262">+AQ56+AQ53</f>
        <v>650.68672610834983</v>
      </c>
      <c r="AR52" s="685">
        <f t="shared" ref="AR52:AS52" si="263">+AR56+AR53</f>
        <v>657.1</v>
      </c>
      <c r="AS52" s="685">
        <f t="shared" si="263"/>
        <v>464.10000000000008</v>
      </c>
      <c r="AT52" s="685">
        <f t="shared" ref="AT52" si="264">+AT56+AT53</f>
        <v>444</v>
      </c>
      <c r="AU52" s="685">
        <f t="shared" ref="AU52:AX52" si="265">+AU56+AU53</f>
        <v>611.34914791402866</v>
      </c>
      <c r="AV52" s="685">
        <f t="shared" si="265"/>
        <v>543.66742653597066</v>
      </c>
      <c r="AW52" s="685">
        <f t="shared" si="265"/>
        <v>645.041268775866</v>
      </c>
      <c r="AX52" s="685">
        <f t="shared" si="265"/>
        <v>805.3607186285974</v>
      </c>
      <c r="AZ52" s="685">
        <v>576.20836538563503</v>
      </c>
      <c r="BA52" s="1068"/>
      <c r="BD52" s="144">
        <f t="shared" ref="BD52:BP52" si="266">+BD56+BD53</f>
        <v>1495.8999999999994</v>
      </c>
      <c r="BE52" s="144">
        <f t="shared" si="266"/>
        <v>1372.8321308290629</v>
      </c>
      <c r="BF52" s="144">
        <f t="shared" si="266"/>
        <v>1742.0034763312185</v>
      </c>
      <c r="BG52" s="144">
        <f t="shared" si="266"/>
        <v>1850.9593141527562</v>
      </c>
      <c r="BH52" s="144">
        <f t="shared" si="266"/>
        <v>5312.889453122074</v>
      </c>
      <c r="BI52" s="144">
        <f t="shared" si="266"/>
        <v>3508.6736365138295</v>
      </c>
      <c r="BJ52" s="144">
        <f t="shared" si="266"/>
        <v>3909.9695039910757</v>
      </c>
      <c r="BK52" s="144">
        <f t="shared" si="266"/>
        <v>2133.5713055583051</v>
      </c>
      <c r="BL52" s="144">
        <f t="shared" si="266"/>
        <v>1521.5272986433511</v>
      </c>
      <c r="BM52" s="2528">
        <f t="shared" ref="BM52:BN52" si="267">+BM56+BM53</f>
        <v>1850.5924459666821</v>
      </c>
      <c r="BN52" s="144">
        <f t="shared" si="267"/>
        <v>2215.9276534045875</v>
      </c>
      <c r="BO52" s="144">
        <f t="shared" ref="BO52" si="268">+BO56+BO53</f>
        <v>2605.459547265466</v>
      </c>
      <c r="BP52" s="685">
        <f t="shared" si="266"/>
        <v>2684.4390472261894</v>
      </c>
      <c r="BQ52" s="685">
        <f t="shared" ref="BQ52:BS52" si="269">+BQ56+BQ53</f>
        <v>2696.8743431893886</v>
      </c>
      <c r="BR52" s="685">
        <f t="shared" si="269"/>
        <v>2786.5721918633189</v>
      </c>
      <c r="BS52" s="685">
        <f t="shared" si="269"/>
        <v>2876.1207644273454</v>
      </c>
    </row>
    <row r="53" spans="1:71">
      <c r="B53" s="102" t="s">
        <v>475</v>
      </c>
      <c r="C53" s="145">
        <f t="shared" ref="C53:AE53" si="270">-(+C54+C55)</f>
        <v>57.167097742365698</v>
      </c>
      <c r="D53" s="145">
        <f t="shared" si="270"/>
        <v>52.939777097536705</v>
      </c>
      <c r="E53" s="145">
        <f t="shared" si="270"/>
        <v>62.514845439946441</v>
      </c>
      <c r="F53" s="145">
        <f t="shared" si="270"/>
        <v>66.80224378582335</v>
      </c>
      <c r="G53" s="145">
        <f t="shared" si="270"/>
        <v>63.0733010656256</v>
      </c>
      <c r="H53" s="145">
        <f t="shared" si="270"/>
        <v>64.374656297065371</v>
      </c>
      <c r="I53" s="145">
        <f t="shared" si="270"/>
        <v>97.522503847113114</v>
      </c>
      <c r="J53" s="145">
        <f t="shared" si="270"/>
        <v>64.947814951765167</v>
      </c>
      <c r="K53" s="145">
        <f t="shared" si="270"/>
        <v>67.332450558351127</v>
      </c>
      <c r="L53" s="145">
        <f t="shared" si="270"/>
        <v>66.620919847934289</v>
      </c>
      <c r="M53" s="145">
        <f t="shared" si="270"/>
        <v>83.058378100304409</v>
      </c>
      <c r="N53" s="145">
        <f t="shared" si="270"/>
        <v>166.29376986785368</v>
      </c>
      <c r="O53" s="145">
        <f t="shared" si="270"/>
        <v>128.26159004370683</v>
      </c>
      <c r="P53" s="145">
        <f t="shared" si="270"/>
        <v>144.66389866871302</v>
      </c>
      <c r="Q53" s="145">
        <f t="shared" si="270"/>
        <v>143.08423980051893</v>
      </c>
      <c r="R53" s="145">
        <f t="shared" si="270"/>
        <v>171.02724354056721</v>
      </c>
      <c r="S53" s="145">
        <f t="shared" si="270"/>
        <v>264.3</v>
      </c>
      <c r="T53" s="145">
        <f t="shared" si="270"/>
        <v>272.39999999999998</v>
      </c>
      <c r="U53" s="145">
        <f t="shared" si="270"/>
        <v>282.8</v>
      </c>
      <c r="V53" s="145">
        <f t="shared" si="270"/>
        <v>297.8</v>
      </c>
      <c r="W53" s="145">
        <f t="shared" si="270"/>
        <v>625.79999999999995</v>
      </c>
      <c r="X53" s="145">
        <f t="shared" si="270"/>
        <v>703.9</v>
      </c>
      <c r="Y53" s="145">
        <f t="shared" si="270"/>
        <v>711.1</v>
      </c>
      <c r="Z53" s="145">
        <f t="shared" si="270"/>
        <v>678</v>
      </c>
      <c r="AA53" s="145">
        <f t="shared" si="270"/>
        <v>696.4</v>
      </c>
      <c r="AB53" s="145">
        <f t="shared" si="270"/>
        <v>698.9</v>
      </c>
      <c r="AC53" s="145">
        <f t="shared" si="270"/>
        <v>664.4</v>
      </c>
      <c r="AD53" s="145">
        <f t="shared" si="270"/>
        <v>731.9</v>
      </c>
      <c r="AE53" s="145">
        <f t="shared" si="270"/>
        <v>649.29999999999995</v>
      </c>
      <c r="AF53" s="145">
        <f t="shared" ref="AF53:AG53" si="271">-(+AF54+AF55)</f>
        <v>629.70000000000005</v>
      </c>
      <c r="AG53" s="145">
        <f t="shared" si="271"/>
        <v>622.29999999999995</v>
      </c>
      <c r="AH53" s="145">
        <f t="shared" ref="AH53:AI53" si="272">-(+AH54+AH55)</f>
        <v>690.6</v>
      </c>
      <c r="AI53" s="145">
        <f t="shared" si="272"/>
        <v>603.5</v>
      </c>
      <c r="AJ53" s="145">
        <f t="shared" ref="AJ53:AK53" si="273">-(+AJ54+AJ55)</f>
        <v>587.79999999999995</v>
      </c>
      <c r="AK53" s="145">
        <f t="shared" si="273"/>
        <v>539.18590399999994</v>
      </c>
      <c r="AL53" s="145">
        <f t="shared" ref="AL53" si="274">-(+AL54+AL55)</f>
        <v>364.4</v>
      </c>
      <c r="AM53" s="2526">
        <f t="shared" ref="AM53:AP53" si="275">-(+AM54+AM55)</f>
        <v>222.10000000000002</v>
      </c>
      <c r="AN53" s="686">
        <f t="shared" si="275"/>
        <v>237.4</v>
      </c>
      <c r="AO53" s="686">
        <f t="shared" si="275"/>
        <v>227.9</v>
      </c>
      <c r="AP53" s="686">
        <f t="shared" si="275"/>
        <v>261.59999999999997</v>
      </c>
      <c r="AQ53" s="686">
        <f t="shared" ref="AQ53" si="276">-(+AQ54+AQ55)</f>
        <v>218.49999999999997</v>
      </c>
      <c r="AR53" s="686">
        <f t="shared" ref="AR53:AS53" si="277">-(+AR54+AR55)</f>
        <v>210.6</v>
      </c>
      <c r="AS53" s="686">
        <f t="shared" si="277"/>
        <v>239.2</v>
      </c>
      <c r="AT53" s="686">
        <f t="shared" ref="AT53" si="278">-(+AT54+AT55)</f>
        <v>241</v>
      </c>
      <c r="AU53" s="686">
        <f t="shared" ref="AU53:AX53" si="279">-(+AU54+AU55)</f>
        <v>178.24633344875491</v>
      </c>
      <c r="AV53" s="686">
        <f t="shared" si="279"/>
        <v>181.45200087421478</v>
      </c>
      <c r="AW53" s="686">
        <f t="shared" si="279"/>
        <v>311.15469204673326</v>
      </c>
      <c r="AX53" s="686">
        <f t="shared" si="279"/>
        <v>217.99477120996403</v>
      </c>
      <c r="AZ53" s="686">
        <v>239.2</v>
      </c>
      <c r="BD53" s="145">
        <f t="shared" ref="BD53:BP53" si="280">-(+BD54+BD55)</f>
        <v>239.42396406567218</v>
      </c>
      <c r="BE53" s="145">
        <f t="shared" si="280"/>
        <v>289.95491590952804</v>
      </c>
      <c r="BF53" s="145">
        <f t="shared" si="280"/>
        <v>383.34442178832677</v>
      </c>
      <c r="BG53" s="145">
        <f t="shared" si="280"/>
        <v>587.08089507937575</v>
      </c>
      <c r="BH53" s="145">
        <f t="shared" si="280"/>
        <v>1117.3574531220729</v>
      </c>
      <c r="BI53" s="145">
        <f t="shared" si="280"/>
        <v>2718.8736365138302</v>
      </c>
      <c r="BJ53" s="145">
        <f t="shared" si="280"/>
        <v>2791.6695039910765</v>
      </c>
      <c r="BK53" s="145">
        <f t="shared" si="280"/>
        <v>2591.9713055583065</v>
      </c>
      <c r="BL53" s="145">
        <f t="shared" si="280"/>
        <v>2094.957586778949</v>
      </c>
      <c r="BM53" s="2527">
        <f t="shared" ref="BM53:BN53" si="281">-(+BM54+BM55)</f>
        <v>949.04049865166587</v>
      </c>
      <c r="BN53" s="145">
        <f t="shared" si="281"/>
        <v>909.34092729623444</v>
      </c>
      <c r="BO53" s="145">
        <f t="shared" ref="BO53" si="282">-(+BO54+BO55)</f>
        <v>888.88878299067119</v>
      </c>
      <c r="BP53" s="686">
        <f t="shared" si="280"/>
        <v>787.82603698856678</v>
      </c>
      <c r="BQ53" s="686">
        <f t="shared" ref="BQ53:BS53" si="283">-(+BQ54+BQ55)</f>
        <v>743.1902933518445</v>
      </c>
      <c r="BR53" s="686">
        <f t="shared" si="283"/>
        <v>722.63140051103619</v>
      </c>
      <c r="BS53" s="686">
        <f t="shared" si="283"/>
        <v>712.53625208724384</v>
      </c>
    </row>
    <row r="54" spans="1:71">
      <c r="B54" s="102" t="s">
        <v>476</v>
      </c>
      <c r="C54" s="145">
        <f t="shared" ref="C54:AQ54" si="284">C18</f>
        <v>0</v>
      </c>
      <c r="D54" s="145">
        <f t="shared" si="284"/>
        <v>0</v>
      </c>
      <c r="E54" s="145">
        <f t="shared" si="284"/>
        <v>0</v>
      </c>
      <c r="F54" s="145">
        <f t="shared" si="284"/>
        <v>0</v>
      </c>
      <c r="G54" s="145">
        <f t="shared" si="284"/>
        <v>0</v>
      </c>
      <c r="H54" s="145">
        <f t="shared" si="284"/>
        <v>0</v>
      </c>
      <c r="I54" s="145">
        <f t="shared" si="284"/>
        <v>0</v>
      </c>
      <c r="J54" s="145">
        <f t="shared" si="284"/>
        <v>0</v>
      </c>
      <c r="K54" s="145">
        <f t="shared" si="284"/>
        <v>0</v>
      </c>
      <c r="L54" s="145">
        <f t="shared" si="284"/>
        <v>0</v>
      </c>
      <c r="M54" s="145">
        <f t="shared" si="284"/>
        <v>0</v>
      </c>
      <c r="N54" s="145">
        <f t="shared" si="284"/>
        <v>0</v>
      </c>
      <c r="O54" s="145">
        <f t="shared" si="284"/>
        <v>0</v>
      </c>
      <c r="P54" s="145">
        <f t="shared" si="284"/>
        <v>0</v>
      </c>
      <c r="Q54" s="145">
        <f t="shared" si="284"/>
        <v>0</v>
      </c>
      <c r="R54" s="145">
        <f t="shared" si="284"/>
        <v>0</v>
      </c>
      <c r="S54" s="145">
        <f t="shared" si="284"/>
        <v>0</v>
      </c>
      <c r="T54" s="145">
        <f t="shared" si="284"/>
        <v>0</v>
      </c>
      <c r="U54" s="145">
        <f t="shared" si="284"/>
        <v>0</v>
      </c>
      <c r="V54" s="145">
        <f t="shared" si="284"/>
        <v>0</v>
      </c>
      <c r="W54" s="145">
        <f t="shared" si="284"/>
        <v>0</v>
      </c>
      <c r="X54" s="145">
        <f t="shared" si="284"/>
        <v>0</v>
      </c>
      <c r="Y54" s="145">
        <f t="shared" si="284"/>
        <v>0</v>
      </c>
      <c r="Z54" s="145">
        <f t="shared" si="284"/>
        <v>0</v>
      </c>
      <c r="AA54" s="145">
        <f t="shared" si="284"/>
        <v>0</v>
      </c>
      <c r="AB54" s="145">
        <f t="shared" si="284"/>
        <v>0</v>
      </c>
      <c r="AC54" s="145">
        <f t="shared" si="284"/>
        <v>0</v>
      </c>
      <c r="AD54" s="145">
        <f t="shared" si="284"/>
        <v>0</v>
      </c>
      <c r="AE54" s="145">
        <f t="shared" si="284"/>
        <v>0</v>
      </c>
      <c r="AF54" s="145">
        <f t="shared" si="284"/>
        <v>0</v>
      </c>
      <c r="AG54" s="145">
        <f t="shared" si="284"/>
        <v>0</v>
      </c>
      <c r="AH54" s="145">
        <f t="shared" si="284"/>
        <v>0</v>
      </c>
      <c r="AI54" s="145">
        <f t="shared" si="284"/>
        <v>0</v>
      </c>
      <c r="AJ54" s="145">
        <f t="shared" si="284"/>
        <v>0</v>
      </c>
      <c r="AK54" s="145">
        <f t="shared" si="284"/>
        <v>0</v>
      </c>
      <c r="AL54" s="145">
        <f t="shared" si="284"/>
        <v>0</v>
      </c>
      <c r="AM54" s="2527">
        <f t="shared" si="284"/>
        <v>0</v>
      </c>
      <c r="AN54" s="145">
        <f t="shared" si="284"/>
        <v>0</v>
      </c>
      <c r="AO54" s="145">
        <f t="shared" si="284"/>
        <v>0</v>
      </c>
      <c r="AP54" s="145">
        <f t="shared" si="284"/>
        <v>0</v>
      </c>
      <c r="AQ54" s="145">
        <f t="shared" si="284"/>
        <v>0</v>
      </c>
      <c r="AR54" s="145">
        <f t="shared" ref="AR54:AS54" si="285">AR18</f>
        <v>0</v>
      </c>
      <c r="AS54" s="145">
        <f t="shared" si="285"/>
        <v>0</v>
      </c>
      <c r="AT54" s="145">
        <f t="shared" ref="AT54" si="286">AT18</f>
        <v>0</v>
      </c>
      <c r="AU54" s="686">
        <f>AU18</f>
        <v>0</v>
      </c>
      <c r="AV54" s="686">
        <f>AV18</f>
        <v>0</v>
      </c>
      <c r="AW54" s="686">
        <f>AW18</f>
        <v>0</v>
      </c>
      <c r="AX54" s="686">
        <f>AX18</f>
        <v>0</v>
      </c>
      <c r="AZ54" s="686">
        <v>0</v>
      </c>
      <c r="BD54" s="145">
        <f t="shared" ref="BD54:BS54" si="287">BD18</f>
        <v>0</v>
      </c>
      <c r="BE54" s="145">
        <f t="shared" si="287"/>
        <v>-3.663974795878816E-2</v>
      </c>
      <c r="BF54" s="145">
        <f t="shared" si="287"/>
        <v>-3.8903413883268449E-2</v>
      </c>
      <c r="BG54" s="145">
        <f t="shared" si="287"/>
        <v>-4.392302586986075E-2</v>
      </c>
      <c r="BH54" s="145">
        <f t="shared" si="287"/>
        <v>-5.7453122072997909E-2</v>
      </c>
      <c r="BI54" s="145">
        <f t="shared" si="287"/>
        <v>-7.3636513830545022E-2</v>
      </c>
      <c r="BJ54" s="145">
        <f t="shared" si="287"/>
        <v>-6.9503991076719299E-2</v>
      </c>
      <c r="BK54" s="145">
        <f t="shared" si="287"/>
        <v>-7.1305558306647754E-2</v>
      </c>
      <c r="BL54" s="145">
        <f t="shared" si="287"/>
        <v>-7.1682778949406709E-2</v>
      </c>
      <c r="BM54" s="2527">
        <f t="shared" si="287"/>
        <v>-4.049865166584677E-2</v>
      </c>
      <c r="BN54" s="145">
        <f t="shared" si="287"/>
        <v>-4.0927296234462236E-2</v>
      </c>
      <c r="BO54" s="145">
        <f t="shared" si="287"/>
        <v>-4.0985411004119537E-2</v>
      </c>
      <c r="BP54" s="686">
        <f t="shared" si="287"/>
        <v>0</v>
      </c>
      <c r="BQ54" s="686">
        <f t="shared" si="287"/>
        <v>0</v>
      </c>
      <c r="BR54" s="686">
        <f t="shared" si="287"/>
        <v>0</v>
      </c>
      <c r="BS54" s="686">
        <f t="shared" si="287"/>
        <v>0</v>
      </c>
    </row>
    <row r="55" spans="1:71">
      <c r="B55" s="102" t="s">
        <v>477</v>
      </c>
      <c r="C55" s="145">
        <f t="shared" ref="C55:AQ55" si="288">C17</f>
        <v>-57.167097742365698</v>
      </c>
      <c r="D55" s="145">
        <f t="shared" si="288"/>
        <v>-52.939777097536705</v>
      </c>
      <c r="E55" s="145">
        <f t="shared" si="288"/>
        <v>-62.514845439946441</v>
      </c>
      <c r="F55" s="145">
        <f t="shared" si="288"/>
        <v>-66.80224378582335</v>
      </c>
      <c r="G55" s="145">
        <f t="shared" si="288"/>
        <v>-63.0733010656256</v>
      </c>
      <c r="H55" s="145">
        <f t="shared" si="288"/>
        <v>-64.374656297065371</v>
      </c>
      <c r="I55" s="145">
        <f t="shared" si="288"/>
        <v>-97.522503847113114</v>
      </c>
      <c r="J55" s="145">
        <f t="shared" si="288"/>
        <v>-64.947814951765167</v>
      </c>
      <c r="K55" s="145">
        <f t="shared" si="288"/>
        <v>-67.332450558351127</v>
      </c>
      <c r="L55" s="145">
        <f t="shared" si="288"/>
        <v>-66.620919847934289</v>
      </c>
      <c r="M55" s="145">
        <f t="shared" si="288"/>
        <v>-83.058378100304409</v>
      </c>
      <c r="N55" s="145">
        <f t="shared" si="288"/>
        <v>-166.29376986785368</v>
      </c>
      <c r="O55" s="145">
        <f t="shared" si="288"/>
        <v>-128.26159004370683</v>
      </c>
      <c r="P55" s="145">
        <f t="shared" si="288"/>
        <v>-144.66389866871302</v>
      </c>
      <c r="Q55" s="145">
        <f t="shared" si="288"/>
        <v>-143.08423980051893</v>
      </c>
      <c r="R55" s="145">
        <f t="shared" si="288"/>
        <v>-171.02724354056721</v>
      </c>
      <c r="S55" s="145">
        <f t="shared" si="288"/>
        <v>-264.3</v>
      </c>
      <c r="T55" s="145">
        <f t="shared" si="288"/>
        <v>-272.39999999999998</v>
      </c>
      <c r="U55" s="145">
        <f t="shared" si="288"/>
        <v>-282.8</v>
      </c>
      <c r="V55" s="145">
        <f t="shared" si="288"/>
        <v>-297.8</v>
      </c>
      <c r="W55" s="145">
        <f t="shared" si="288"/>
        <v>-625.79999999999995</v>
      </c>
      <c r="X55" s="145">
        <f t="shared" si="288"/>
        <v>-703.9</v>
      </c>
      <c r="Y55" s="145">
        <f t="shared" si="288"/>
        <v>-711.1</v>
      </c>
      <c r="Z55" s="145">
        <f t="shared" si="288"/>
        <v>-678</v>
      </c>
      <c r="AA55" s="145">
        <f t="shared" si="288"/>
        <v>-696.4</v>
      </c>
      <c r="AB55" s="145">
        <f t="shared" si="288"/>
        <v>-698.9</v>
      </c>
      <c r="AC55" s="145">
        <f t="shared" si="288"/>
        <v>-664.4</v>
      </c>
      <c r="AD55" s="145">
        <f t="shared" si="288"/>
        <v>-731.9</v>
      </c>
      <c r="AE55" s="145">
        <f t="shared" si="288"/>
        <v>-649.29999999999995</v>
      </c>
      <c r="AF55" s="145">
        <f t="shared" si="288"/>
        <v>-629.70000000000005</v>
      </c>
      <c r="AG55" s="145">
        <f t="shared" si="288"/>
        <v>-622.29999999999995</v>
      </c>
      <c r="AH55" s="145">
        <f t="shared" si="288"/>
        <v>-690.6</v>
      </c>
      <c r="AI55" s="145">
        <f t="shared" si="288"/>
        <v>-603.5</v>
      </c>
      <c r="AJ55" s="145">
        <f t="shared" si="288"/>
        <v>-587.79999999999995</v>
      </c>
      <c r="AK55" s="145">
        <f t="shared" si="288"/>
        <v>-539.18590399999994</v>
      </c>
      <c r="AL55" s="145">
        <f t="shared" si="288"/>
        <v>-364.4</v>
      </c>
      <c r="AM55" s="2527">
        <f t="shared" si="288"/>
        <v>-222.10000000000002</v>
      </c>
      <c r="AN55" s="145">
        <f t="shared" si="288"/>
        <v>-237.4</v>
      </c>
      <c r="AO55" s="145">
        <f t="shared" si="288"/>
        <v>-227.9</v>
      </c>
      <c r="AP55" s="145">
        <f t="shared" si="288"/>
        <v>-261.59999999999997</v>
      </c>
      <c r="AQ55" s="145">
        <f t="shared" si="288"/>
        <v>-218.49999999999997</v>
      </c>
      <c r="AR55" s="145">
        <f t="shared" ref="AR55:AS55" si="289">AR17</f>
        <v>-210.6</v>
      </c>
      <c r="AS55" s="145">
        <f t="shared" si="289"/>
        <v>-239.2</v>
      </c>
      <c r="AT55" s="145">
        <f t="shared" ref="AT55" si="290">AT17</f>
        <v>-241</v>
      </c>
      <c r="AU55" s="686">
        <f t="shared" ref="AU55:AY55" si="291">AU17</f>
        <v>-178.24633344875491</v>
      </c>
      <c r="AV55" s="686">
        <f t="shared" si="291"/>
        <v>-181.45200087421478</v>
      </c>
      <c r="AW55" s="686">
        <f t="shared" si="291"/>
        <v>-311.15469204673326</v>
      </c>
      <c r="AX55" s="686">
        <f t="shared" si="291"/>
        <v>-217.99477120996403</v>
      </c>
      <c r="AY55">
        <f t="shared" si="291"/>
        <v>0</v>
      </c>
      <c r="AZ55" s="686">
        <v>-239.2</v>
      </c>
      <c r="BD55" s="145">
        <f t="shared" ref="BD55:BS55" si="292">BD17</f>
        <v>-239.42396406567218</v>
      </c>
      <c r="BE55" s="145">
        <f t="shared" si="292"/>
        <v>-289.91827616156922</v>
      </c>
      <c r="BF55" s="145">
        <f t="shared" si="292"/>
        <v>-383.30551837444352</v>
      </c>
      <c r="BG55" s="145">
        <f t="shared" si="292"/>
        <v>-587.03697205350591</v>
      </c>
      <c r="BH55" s="145">
        <f t="shared" si="292"/>
        <v>-1117.3</v>
      </c>
      <c r="BI55" s="145">
        <f t="shared" si="292"/>
        <v>-2718.7999999999997</v>
      </c>
      <c r="BJ55" s="145">
        <f t="shared" si="292"/>
        <v>-2791.6</v>
      </c>
      <c r="BK55" s="145">
        <f t="shared" si="292"/>
        <v>-2591.9</v>
      </c>
      <c r="BL55" s="145">
        <f t="shared" si="292"/>
        <v>-2094.8859039999998</v>
      </c>
      <c r="BM55" s="2527">
        <f t="shared" si="292"/>
        <v>-949</v>
      </c>
      <c r="BN55" s="145">
        <f t="shared" si="292"/>
        <v>-909.3</v>
      </c>
      <c r="BO55" s="145">
        <f t="shared" si="292"/>
        <v>-888.84779757966703</v>
      </c>
      <c r="BP55" s="686">
        <f t="shared" si="292"/>
        <v>-787.82603698856678</v>
      </c>
      <c r="BQ55" s="686">
        <f t="shared" si="292"/>
        <v>-743.1902933518445</v>
      </c>
      <c r="BR55" s="686">
        <f t="shared" si="292"/>
        <v>-722.63140051103619</v>
      </c>
      <c r="BS55" s="686">
        <f t="shared" si="292"/>
        <v>-712.53625208724384</v>
      </c>
    </row>
    <row r="56" spans="1:71" s="105" customFormat="1">
      <c r="B56" s="138" t="s">
        <v>478</v>
      </c>
      <c r="C56" s="144">
        <f t="shared" ref="C56:AX56" si="293">+C21</f>
        <v>228.73290225763424</v>
      </c>
      <c r="D56" s="144">
        <f t="shared" si="293"/>
        <v>304.26022290246328</v>
      </c>
      <c r="E56" s="144">
        <f t="shared" si="293"/>
        <v>337.08515456005352</v>
      </c>
      <c r="F56" s="144">
        <f t="shared" si="293"/>
        <v>386.39775621417652</v>
      </c>
      <c r="G56" s="144">
        <f t="shared" si="293"/>
        <v>153.92365825708339</v>
      </c>
      <c r="H56" s="144">
        <f t="shared" si="293"/>
        <v>280.35115570353491</v>
      </c>
      <c r="I56" s="144">
        <f t="shared" si="293"/>
        <v>251.42449615288683</v>
      </c>
      <c r="J56" s="144">
        <f t="shared" si="293"/>
        <v>397.17790480602935</v>
      </c>
      <c r="K56" s="144">
        <f t="shared" si="293"/>
        <v>297.2322830107255</v>
      </c>
      <c r="L56" s="144">
        <f t="shared" si="293"/>
        <v>232.00735198984762</v>
      </c>
      <c r="M56" s="144">
        <f t="shared" si="293"/>
        <v>367.31530510087146</v>
      </c>
      <c r="N56" s="144">
        <f t="shared" si="293"/>
        <v>462.10411444144756</v>
      </c>
      <c r="O56" s="144">
        <f t="shared" si="293"/>
        <v>190.59521126774143</v>
      </c>
      <c r="P56" s="144">
        <f t="shared" si="293"/>
        <v>189.77782517489095</v>
      </c>
      <c r="Q56" s="144">
        <f t="shared" si="293"/>
        <v>339.92475060436641</v>
      </c>
      <c r="R56" s="144">
        <f t="shared" si="293"/>
        <v>543.58063202638141</v>
      </c>
      <c r="S56" s="144">
        <f t="shared" si="293"/>
        <v>184.77800000000002</v>
      </c>
      <c r="T56" s="144">
        <f t="shared" si="293"/>
        <v>285.154</v>
      </c>
      <c r="U56" s="144">
        <f t="shared" si="293"/>
        <v>265.5</v>
      </c>
      <c r="V56" s="144">
        <f t="shared" si="293"/>
        <v>3460.1000000000004</v>
      </c>
      <c r="W56" s="144">
        <f t="shared" si="293"/>
        <v>-480.59999999999945</v>
      </c>
      <c r="X56" s="144">
        <f t="shared" si="293"/>
        <v>-52</v>
      </c>
      <c r="Y56" s="144">
        <f t="shared" si="293"/>
        <v>746.00000000000091</v>
      </c>
      <c r="Z56" s="144">
        <f t="shared" si="293"/>
        <v>576.40000000000055</v>
      </c>
      <c r="AA56" s="144">
        <f t="shared" si="293"/>
        <v>132.79999999999927</v>
      </c>
      <c r="AB56" s="144">
        <f t="shared" si="293"/>
        <v>-69.100000000000364</v>
      </c>
      <c r="AC56" s="144">
        <f t="shared" si="293"/>
        <v>289.60000000000127</v>
      </c>
      <c r="AD56" s="144">
        <f t="shared" si="293"/>
        <v>765.00000000000091</v>
      </c>
      <c r="AE56" s="144">
        <f t="shared" si="293"/>
        <v>-133.50000000000091</v>
      </c>
      <c r="AF56" s="144">
        <f t="shared" si="293"/>
        <v>-138.90000000000055</v>
      </c>
      <c r="AG56" s="144">
        <f t="shared" si="293"/>
        <v>-33</v>
      </c>
      <c r="AH56" s="144">
        <f t="shared" si="293"/>
        <v>-152.99999999999909</v>
      </c>
      <c r="AI56" s="144">
        <f t="shared" si="293"/>
        <v>27.399999999998727</v>
      </c>
      <c r="AJ56" s="144">
        <f t="shared" si="293"/>
        <v>-132.08728813559901</v>
      </c>
      <c r="AK56" s="144">
        <f t="shared" si="293"/>
        <v>-48.643000000000029</v>
      </c>
      <c r="AL56" s="144">
        <f t="shared" si="293"/>
        <v>-420.09999999999945</v>
      </c>
      <c r="AM56" s="2528">
        <f t="shared" si="293"/>
        <v>435.5</v>
      </c>
      <c r="AN56" s="144">
        <f t="shared" si="293"/>
        <v>467.80000000000064</v>
      </c>
      <c r="AO56" s="144">
        <f t="shared" si="293"/>
        <v>430.95194731501579</v>
      </c>
      <c r="AP56" s="144">
        <f t="shared" si="293"/>
        <v>-432.69999999999982</v>
      </c>
      <c r="AQ56" s="144">
        <f t="shared" si="293"/>
        <v>432.18672610834983</v>
      </c>
      <c r="AR56" s="144">
        <f t="shared" si="293"/>
        <v>446.5</v>
      </c>
      <c r="AS56" s="144">
        <f t="shared" si="293"/>
        <v>224.90000000000009</v>
      </c>
      <c r="AT56" s="144">
        <f t="shared" ref="AT56" si="294">+AT21</f>
        <v>203</v>
      </c>
      <c r="AU56" s="685">
        <f t="shared" si="293"/>
        <v>433.1028144652737</v>
      </c>
      <c r="AV56" s="685">
        <f t="shared" si="293"/>
        <v>362.21542566175594</v>
      </c>
      <c r="AW56" s="685">
        <f t="shared" si="293"/>
        <v>333.88657672913268</v>
      </c>
      <c r="AX56" s="685">
        <f t="shared" si="293"/>
        <v>587.36594741863337</v>
      </c>
      <c r="AZ56" s="685">
        <v>337.00836538563499</v>
      </c>
      <c r="BA56" s="1070"/>
      <c r="BD56" s="144">
        <f t="shared" ref="BD56:BS56" si="295">+BD21</f>
        <v>1256.4760359343272</v>
      </c>
      <c r="BE56" s="144">
        <f t="shared" si="295"/>
        <v>1082.8772149195347</v>
      </c>
      <c r="BF56" s="144">
        <f t="shared" si="295"/>
        <v>1358.6590545428917</v>
      </c>
      <c r="BG56" s="144">
        <f t="shared" si="295"/>
        <v>1263.8784190733804</v>
      </c>
      <c r="BH56" s="144">
        <f t="shared" si="295"/>
        <v>4195.5320000000011</v>
      </c>
      <c r="BI56" s="144">
        <f t="shared" si="295"/>
        <v>789.79999999999927</v>
      </c>
      <c r="BJ56" s="144">
        <f t="shared" si="295"/>
        <v>1118.2999999999993</v>
      </c>
      <c r="BK56" s="144">
        <f t="shared" si="295"/>
        <v>-458.40000000000146</v>
      </c>
      <c r="BL56" s="144">
        <f t="shared" si="295"/>
        <v>-573.43028813559795</v>
      </c>
      <c r="BM56" s="2528">
        <f t="shared" si="295"/>
        <v>901.55194731501615</v>
      </c>
      <c r="BN56" s="144">
        <f t="shared" si="295"/>
        <v>1306.5867261083531</v>
      </c>
      <c r="BO56" s="144">
        <f t="shared" si="295"/>
        <v>1716.5707642747948</v>
      </c>
      <c r="BP56" s="685">
        <f t="shared" si="295"/>
        <v>1896.6130102376228</v>
      </c>
      <c r="BQ56" s="685">
        <f t="shared" si="295"/>
        <v>1953.6840498375441</v>
      </c>
      <c r="BR56" s="685">
        <f t="shared" si="295"/>
        <v>2063.9407913522828</v>
      </c>
      <c r="BS56" s="685">
        <f t="shared" si="295"/>
        <v>2163.5845123401014</v>
      </c>
    </row>
    <row r="57" spans="1:71">
      <c r="B57" s="1262" t="s">
        <v>479</v>
      </c>
      <c r="C57" s="271" t="e">
        <f>+#REF!</f>
        <v>#REF!</v>
      </c>
      <c r="D57" s="271" t="e">
        <f>+#REF!</f>
        <v>#REF!</v>
      </c>
      <c r="E57" s="271" t="e">
        <f>+#REF!</f>
        <v>#REF!</v>
      </c>
      <c r="F57" s="271" t="e">
        <f>+#REF!</f>
        <v>#REF!</v>
      </c>
      <c r="G57" s="271" t="e">
        <f>+#REF!</f>
        <v>#REF!</v>
      </c>
      <c r="H57" s="271" t="e">
        <f>+#REF!</f>
        <v>#REF!</v>
      </c>
      <c r="I57" s="271" t="e">
        <f>+#REF!</f>
        <v>#REF!</v>
      </c>
      <c r="J57" s="271" t="e">
        <f>+#REF!</f>
        <v>#REF!</v>
      </c>
      <c r="K57" s="271" t="e">
        <f>+#REF!</f>
        <v>#REF!</v>
      </c>
      <c r="L57" s="271" t="e">
        <f>+#REF!</f>
        <v>#REF!</v>
      </c>
      <c r="M57" s="271" t="e">
        <f>+#REF!</f>
        <v>#REF!</v>
      </c>
      <c r="N57" s="271" t="e">
        <f>+#REF!</f>
        <v>#REF!</v>
      </c>
      <c r="O57" s="271" t="e">
        <f>+#REF!</f>
        <v>#REF!</v>
      </c>
      <c r="P57" s="271" t="e">
        <f>+#REF!</f>
        <v>#REF!</v>
      </c>
      <c r="Q57" s="271" t="e">
        <f>+#REF!</f>
        <v>#REF!</v>
      </c>
      <c r="R57" s="271" t="e">
        <f>+#REF!</f>
        <v>#REF!</v>
      </c>
      <c r="S57" s="271" t="e">
        <f>+#REF!</f>
        <v>#REF!</v>
      </c>
      <c r="T57" s="271" t="e">
        <f>+#REF!</f>
        <v>#REF!</v>
      </c>
      <c r="U57" s="271" t="e">
        <f>+#REF!</f>
        <v>#REF!</v>
      </c>
      <c r="V57" s="271" t="e">
        <f>+#REF!</f>
        <v>#REF!</v>
      </c>
      <c r="W57" s="271" t="e">
        <f>+#REF!</f>
        <v>#REF!</v>
      </c>
      <c r="X57" s="271" t="e">
        <f>+#REF!</f>
        <v>#REF!</v>
      </c>
      <c r="Y57" s="271" t="e">
        <f>+#REF!</f>
        <v>#REF!</v>
      </c>
      <c r="Z57" s="271" t="e">
        <f>+#REF!</f>
        <v>#REF!</v>
      </c>
      <c r="AA57" s="271" t="e">
        <f>+#REF!</f>
        <v>#REF!</v>
      </c>
      <c r="AB57" s="271" t="e">
        <f>+#REF!</f>
        <v>#REF!</v>
      </c>
      <c r="AC57" s="271" t="e">
        <f>+#REF!</f>
        <v>#REF!</v>
      </c>
      <c r="AD57" s="271" t="e">
        <f>+#REF!</f>
        <v>#REF!</v>
      </c>
      <c r="AE57" s="271" t="e">
        <f>+#REF!</f>
        <v>#REF!</v>
      </c>
      <c r="AF57" s="271" t="e">
        <f>+#REF!</f>
        <v>#REF!</v>
      </c>
      <c r="AG57" s="271" t="e">
        <f>+#REF!</f>
        <v>#REF!</v>
      </c>
      <c r="AH57" s="271" t="e">
        <f>+#REF!</f>
        <v>#REF!</v>
      </c>
      <c r="AI57" s="271" t="e">
        <f>+#REF!</f>
        <v>#REF!</v>
      </c>
      <c r="AJ57" s="271" t="e">
        <f>+#REF!</f>
        <v>#REF!</v>
      </c>
      <c r="AK57" s="271" t="e">
        <f>+#REF!</f>
        <v>#REF!</v>
      </c>
      <c r="AL57" s="271" t="e">
        <f>+#REF!</f>
        <v>#REF!</v>
      </c>
      <c r="AM57" s="2529">
        <f t="shared" ref="AM57:AX57" si="296">+AM29</f>
        <v>-33.299999999999997</v>
      </c>
      <c r="AN57" s="271">
        <f t="shared" si="296"/>
        <v>-21.241</v>
      </c>
      <c r="AO57" s="271">
        <f t="shared" si="296"/>
        <v>-21.7</v>
      </c>
      <c r="AP57" s="271">
        <f t="shared" si="296"/>
        <v>-19</v>
      </c>
      <c r="AQ57" s="271">
        <f t="shared" si="296"/>
        <v>-32.5</v>
      </c>
      <c r="AR57" s="271">
        <f t="shared" si="296"/>
        <v>-19.8</v>
      </c>
      <c r="AS57" s="271">
        <f t="shared" si="296"/>
        <v>-34.544000000000004</v>
      </c>
      <c r="AT57" s="271">
        <f t="shared" ref="AT57" si="297">+AT29</f>
        <v>-28.223406512490531</v>
      </c>
      <c r="AU57" s="686">
        <f t="shared" si="296"/>
        <v>-28.630454932096274</v>
      </c>
      <c r="AV57" s="686">
        <f t="shared" si="296"/>
        <v>-28.211229233388259</v>
      </c>
      <c r="AW57" s="686">
        <f t="shared" si="296"/>
        <v>-30.084207933103031</v>
      </c>
      <c r="AX57" s="686">
        <f t="shared" si="296"/>
        <v>-28.293430133316782</v>
      </c>
      <c r="AZ57" s="686">
        <v>-24.619565164598921</v>
      </c>
      <c r="BD57" s="271" t="e">
        <f>+#REF!</f>
        <v>#REF!</v>
      </c>
      <c r="BE57" s="271" t="e">
        <f>+#REF!</f>
        <v>#REF!</v>
      </c>
      <c r="BF57" s="271" t="e">
        <f>+#REF!</f>
        <v>#REF!</v>
      </c>
      <c r="BG57" s="271" t="e">
        <f>+#REF!</f>
        <v>#REF!</v>
      </c>
      <c r="BH57" s="271" t="e">
        <f>+#REF!</f>
        <v>#REF!</v>
      </c>
      <c r="BI57" s="271" t="e">
        <f>+#REF!</f>
        <v>#REF!</v>
      </c>
      <c r="BJ57" s="271" t="e">
        <f>+#REF!</f>
        <v>#REF!</v>
      </c>
      <c r="BK57" s="271" t="e">
        <f>+#REF!</f>
        <v>#REF!</v>
      </c>
      <c r="BL57" s="271" t="e">
        <f>+#REF!</f>
        <v>#REF!</v>
      </c>
      <c r="BM57" s="2529">
        <f t="shared" ref="BM57:BS57" si="298">+BM29</f>
        <v>-95.241</v>
      </c>
      <c r="BN57" s="271">
        <f t="shared" si="298"/>
        <v>-115.06740651249052</v>
      </c>
      <c r="BO57" s="271">
        <f t="shared" si="298"/>
        <v>-115.21932223190436</v>
      </c>
      <c r="BP57" s="686">
        <f t="shared" si="298"/>
        <v>-111.12160248817376</v>
      </c>
      <c r="BQ57" s="686">
        <f t="shared" si="298"/>
        <v>-100.29695721194618</v>
      </c>
      <c r="BR57" s="686">
        <f t="shared" si="298"/>
        <v>-110.12668068832475</v>
      </c>
      <c r="BS57" s="686">
        <f t="shared" si="298"/>
        <v>-109.22926793281857</v>
      </c>
    </row>
    <row r="58" spans="1:71" s="105" customFormat="1">
      <c r="B58" s="138" t="s">
        <v>480</v>
      </c>
      <c r="C58" s="144" t="e">
        <f t="shared" ref="C58" si="299">+C56+C57</f>
        <v>#REF!</v>
      </c>
      <c r="D58" s="144" t="e">
        <f t="shared" ref="D58" si="300">+D56+D57</f>
        <v>#REF!</v>
      </c>
      <c r="E58" s="144" t="e">
        <f t="shared" ref="E58" si="301">+E56+E57</f>
        <v>#REF!</v>
      </c>
      <c r="F58" s="144" t="e">
        <f t="shared" ref="F58" si="302">+F56+F57</f>
        <v>#REF!</v>
      </c>
      <c r="G58" s="144" t="e">
        <f t="shared" ref="G58" si="303">+G56+G57</f>
        <v>#REF!</v>
      </c>
      <c r="H58" s="144" t="e">
        <f t="shared" ref="H58" si="304">+H56+H57</f>
        <v>#REF!</v>
      </c>
      <c r="I58" s="144" t="e">
        <f t="shared" ref="I58" si="305">+I56+I57</f>
        <v>#REF!</v>
      </c>
      <c r="J58" s="144" t="e">
        <f t="shared" ref="J58" si="306">+J56+J57</f>
        <v>#REF!</v>
      </c>
      <c r="K58" s="144" t="e">
        <f t="shared" ref="K58" si="307">+K56+K57</f>
        <v>#REF!</v>
      </c>
      <c r="L58" s="144" t="e">
        <f t="shared" ref="L58" si="308">+L56+L57</f>
        <v>#REF!</v>
      </c>
      <c r="M58" s="144" t="e">
        <f t="shared" ref="M58" si="309">+M56+M57</f>
        <v>#REF!</v>
      </c>
      <c r="N58" s="144" t="e">
        <f t="shared" ref="N58" si="310">+N56+N57</f>
        <v>#REF!</v>
      </c>
      <c r="O58" s="144" t="e">
        <f t="shared" ref="O58" si="311">+O56+O57</f>
        <v>#REF!</v>
      </c>
      <c r="P58" s="144" t="e">
        <f t="shared" ref="P58" si="312">+P56+P57</f>
        <v>#REF!</v>
      </c>
      <c r="Q58" s="144" t="e">
        <f t="shared" ref="Q58" si="313">+Q56+Q57</f>
        <v>#REF!</v>
      </c>
      <c r="R58" s="144" t="e">
        <f t="shared" ref="R58" si="314">+R56+R57</f>
        <v>#REF!</v>
      </c>
      <c r="S58" s="144" t="e">
        <f t="shared" ref="S58" si="315">+S56+S57</f>
        <v>#REF!</v>
      </c>
      <c r="T58" s="144" t="e">
        <f t="shared" ref="T58" si="316">+T56+T57</f>
        <v>#REF!</v>
      </c>
      <c r="U58" s="144" t="e">
        <f t="shared" ref="U58" si="317">+U56+U57</f>
        <v>#REF!</v>
      </c>
      <c r="V58" s="144" t="e">
        <f t="shared" ref="V58" si="318">+V56+V57</f>
        <v>#REF!</v>
      </c>
      <c r="W58" s="144" t="e">
        <f t="shared" ref="W58" si="319">+W56+W57</f>
        <v>#REF!</v>
      </c>
      <c r="X58" s="144" t="e">
        <f t="shared" ref="X58" si="320">+X56+X57</f>
        <v>#REF!</v>
      </c>
      <c r="Y58" s="144" t="e">
        <f t="shared" ref="Y58" si="321">+Y56+Y57</f>
        <v>#REF!</v>
      </c>
      <c r="Z58" s="144" t="e">
        <f t="shared" ref="Z58" si="322">+Z56+Z57</f>
        <v>#REF!</v>
      </c>
      <c r="AA58" s="144" t="e">
        <f t="shared" ref="AA58" si="323">+AA56+AA57</f>
        <v>#REF!</v>
      </c>
      <c r="AB58" s="144" t="e">
        <f t="shared" ref="AB58" si="324">+AB56+AB57</f>
        <v>#REF!</v>
      </c>
      <c r="AC58" s="144" t="e">
        <f t="shared" ref="AC58" si="325">+AC56+AC57</f>
        <v>#REF!</v>
      </c>
      <c r="AD58" s="144" t="e">
        <f t="shared" ref="AD58" si="326">+AD56+AD57</f>
        <v>#REF!</v>
      </c>
      <c r="AE58" s="144" t="e">
        <f t="shared" ref="AE58" si="327">+AE56+AE57</f>
        <v>#REF!</v>
      </c>
      <c r="AF58" s="144" t="e">
        <f t="shared" ref="AF58:AG58" si="328">+AF56+AF57</f>
        <v>#REF!</v>
      </c>
      <c r="AG58" s="144" t="e">
        <f t="shared" si="328"/>
        <v>#REF!</v>
      </c>
      <c r="AH58" s="144" t="e">
        <f t="shared" ref="AH58:AI58" si="329">+AH56+AH57</f>
        <v>#REF!</v>
      </c>
      <c r="AI58" s="144" t="e">
        <f t="shared" si="329"/>
        <v>#REF!</v>
      </c>
      <c r="AJ58" s="144" t="e">
        <f t="shared" ref="AJ58:AK58" si="330">+AJ56+AJ57</f>
        <v>#REF!</v>
      </c>
      <c r="AK58" s="144" t="e">
        <f t="shared" si="330"/>
        <v>#REF!</v>
      </c>
      <c r="AL58" s="144" t="e">
        <f t="shared" ref="AL58:AQ58" si="331">+AL56+AL57</f>
        <v>#REF!</v>
      </c>
      <c r="AM58" s="2528">
        <f t="shared" si="331"/>
        <v>402.2</v>
      </c>
      <c r="AN58" s="144">
        <f t="shared" si="331"/>
        <v>446.55900000000065</v>
      </c>
      <c r="AO58" s="144">
        <f t="shared" si="331"/>
        <v>409.2519473150158</v>
      </c>
      <c r="AP58" s="144">
        <f t="shared" si="331"/>
        <v>-451.69999999999982</v>
      </c>
      <c r="AQ58" s="144">
        <f t="shared" si="331"/>
        <v>399.68672610834983</v>
      </c>
      <c r="AR58" s="144">
        <f t="shared" ref="AR58:AS58" si="332">+AR56+AR57</f>
        <v>426.7</v>
      </c>
      <c r="AS58" s="144">
        <f t="shared" si="332"/>
        <v>190.35600000000008</v>
      </c>
      <c r="AT58" s="144">
        <f t="shared" ref="AT58" si="333">+AT56+AT57</f>
        <v>174.77659348750947</v>
      </c>
      <c r="AU58" s="685">
        <f t="shared" ref="AU58:AX58" si="334">+AU56+AU57</f>
        <v>404.47235953317744</v>
      </c>
      <c r="AV58" s="685">
        <f t="shared" si="334"/>
        <v>334.00419642836766</v>
      </c>
      <c r="AW58" s="685">
        <f t="shared" si="334"/>
        <v>303.80236879602967</v>
      </c>
      <c r="AX58" s="685">
        <f t="shared" si="334"/>
        <v>559.07251728531662</v>
      </c>
      <c r="AZ58" s="685">
        <v>312.38880022103609</v>
      </c>
      <c r="BA58" s="1070"/>
      <c r="BD58" s="144" t="e">
        <f t="shared" ref="BD58" si="335">+BD56+BD57</f>
        <v>#REF!</v>
      </c>
      <c r="BE58" s="144" t="e">
        <f t="shared" ref="BE58" si="336">+BE56+BE57</f>
        <v>#REF!</v>
      </c>
      <c r="BF58" s="144" t="e">
        <f t="shared" ref="BF58" si="337">+BF56+BF57</f>
        <v>#REF!</v>
      </c>
      <c r="BG58" s="144" t="e">
        <f t="shared" ref="BG58" si="338">+BG56+BG57</f>
        <v>#REF!</v>
      </c>
      <c r="BH58" s="144" t="e">
        <f t="shared" ref="BH58" si="339">+BH56+BH57</f>
        <v>#REF!</v>
      </c>
      <c r="BI58" s="144" t="e">
        <f t="shared" ref="BI58" si="340">+BI56+BI57</f>
        <v>#REF!</v>
      </c>
      <c r="BJ58" s="144" t="e">
        <f t="shared" ref="BJ58" si="341">+BJ56+BJ57</f>
        <v>#REF!</v>
      </c>
      <c r="BK58" s="144" t="e">
        <f t="shared" ref="BK58" si="342">+BK56+BK57</f>
        <v>#REF!</v>
      </c>
      <c r="BL58" s="144" t="e">
        <f t="shared" ref="BL58:BM58" si="343">+BL56+BL57</f>
        <v>#REF!</v>
      </c>
      <c r="BM58" s="2528">
        <f t="shared" si="343"/>
        <v>806.31094731501616</v>
      </c>
      <c r="BN58" s="144">
        <f t="shared" ref="BN58:BO58" si="344">+BN56+BN57</f>
        <v>1191.5193195958625</v>
      </c>
      <c r="BO58" s="144">
        <f t="shared" si="344"/>
        <v>1601.3514420428905</v>
      </c>
      <c r="BP58" s="685">
        <f t="shared" ref="BP58" si="345">+BP56+BP57</f>
        <v>1785.4914077494491</v>
      </c>
      <c r="BQ58" s="685">
        <f t="shared" ref="BQ58:BS58" si="346">+BQ56+BQ57</f>
        <v>1853.3870926255979</v>
      </c>
      <c r="BR58" s="685">
        <f t="shared" si="346"/>
        <v>1953.814110663958</v>
      </c>
      <c r="BS58" s="685">
        <f t="shared" si="346"/>
        <v>2054.355244407283</v>
      </c>
    </row>
    <row r="59" spans="1:71">
      <c r="B59" s="1267" t="s">
        <v>481</v>
      </c>
      <c r="C59" s="994" t="e">
        <f t="shared" ref="C59:AP59" si="347">-0.34*C58</f>
        <v>#REF!</v>
      </c>
      <c r="D59" s="994" t="e">
        <f t="shared" si="347"/>
        <v>#REF!</v>
      </c>
      <c r="E59" s="994" t="e">
        <f t="shared" si="347"/>
        <v>#REF!</v>
      </c>
      <c r="F59" s="994" t="e">
        <f t="shared" si="347"/>
        <v>#REF!</v>
      </c>
      <c r="G59" s="994" t="e">
        <f t="shared" si="347"/>
        <v>#REF!</v>
      </c>
      <c r="H59" s="994" t="e">
        <f t="shared" si="347"/>
        <v>#REF!</v>
      </c>
      <c r="I59" s="994" t="e">
        <f t="shared" si="347"/>
        <v>#REF!</v>
      </c>
      <c r="J59" s="994" t="e">
        <f t="shared" si="347"/>
        <v>#REF!</v>
      </c>
      <c r="K59" s="994" t="e">
        <f t="shared" si="347"/>
        <v>#REF!</v>
      </c>
      <c r="L59" s="994" t="e">
        <f t="shared" si="347"/>
        <v>#REF!</v>
      </c>
      <c r="M59" s="994" t="e">
        <f t="shared" si="347"/>
        <v>#REF!</v>
      </c>
      <c r="N59" s="994" t="e">
        <f t="shared" si="347"/>
        <v>#REF!</v>
      </c>
      <c r="O59" s="994" t="e">
        <f t="shared" si="347"/>
        <v>#REF!</v>
      </c>
      <c r="P59" s="994" t="e">
        <f t="shared" si="347"/>
        <v>#REF!</v>
      </c>
      <c r="Q59" s="994" t="e">
        <f t="shared" si="347"/>
        <v>#REF!</v>
      </c>
      <c r="R59" s="994" t="e">
        <f t="shared" si="347"/>
        <v>#REF!</v>
      </c>
      <c r="S59" s="994" t="e">
        <f t="shared" si="347"/>
        <v>#REF!</v>
      </c>
      <c r="T59" s="994" t="e">
        <f t="shared" si="347"/>
        <v>#REF!</v>
      </c>
      <c r="U59" s="994" t="e">
        <f t="shared" si="347"/>
        <v>#REF!</v>
      </c>
      <c r="V59" s="994" t="e">
        <f t="shared" si="347"/>
        <v>#REF!</v>
      </c>
      <c r="W59" s="994" t="e">
        <f t="shared" si="347"/>
        <v>#REF!</v>
      </c>
      <c r="X59" s="994" t="e">
        <f t="shared" si="347"/>
        <v>#REF!</v>
      </c>
      <c r="Y59" s="994" t="e">
        <f t="shared" si="347"/>
        <v>#REF!</v>
      </c>
      <c r="Z59" s="994" t="e">
        <f t="shared" si="347"/>
        <v>#REF!</v>
      </c>
      <c r="AA59" s="994" t="e">
        <f t="shared" si="347"/>
        <v>#REF!</v>
      </c>
      <c r="AB59" s="994" t="e">
        <f t="shared" si="347"/>
        <v>#REF!</v>
      </c>
      <c r="AC59" s="994" t="e">
        <f t="shared" si="347"/>
        <v>#REF!</v>
      </c>
      <c r="AD59" s="994" t="e">
        <f t="shared" si="347"/>
        <v>#REF!</v>
      </c>
      <c r="AE59" s="994" t="e">
        <f t="shared" si="347"/>
        <v>#REF!</v>
      </c>
      <c r="AF59" s="994" t="e">
        <f t="shared" si="347"/>
        <v>#REF!</v>
      </c>
      <c r="AG59" s="994" t="e">
        <f t="shared" si="347"/>
        <v>#REF!</v>
      </c>
      <c r="AH59" s="994" t="e">
        <f t="shared" si="347"/>
        <v>#REF!</v>
      </c>
      <c r="AI59" s="994" t="e">
        <f t="shared" si="347"/>
        <v>#REF!</v>
      </c>
      <c r="AJ59" s="994" t="e">
        <f t="shared" si="347"/>
        <v>#REF!</v>
      </c>
      <c r="AK59" s="994" t="e">
        <f t="shared" si="347"/>
        <v>#REF!</v>
      </c>
      <c r="AL59" s="994" t="e">
        <f t="shared" si="347"/>
        <v>#REF!</v>
      </c>
      <c r="AM59" s="2530">
        <f t="shared" si="347"/>
        <v>-136.74800000000002</v>
      </c>
      <c r="AN59" s="994">
        <f t="shared" si="347"/>
        <v>-151.83006000000023</v>
      </c>
      <c r="AO59" s="994">
        <f t="shared" si="347"/>
        <v>-139.14566208710539</v>
      </c>
      <c r="AP59" s="994">
        <f t="shared" si="347"/>
        <v>153.57799999999995</v>
      </c>
      <c r="AQ59" s="994">
        <f>-0.34*AQ58</f>
        <v>-135.89348687683895</v>
      </c>
      <c r="AR59" s="994">
        <f t="shared" ref="AR59:AS59" si="348">-0.34*AR58</f>
        <v>-145.078</v>
      </c>
      <c r="AS59" s="994">
        <f t="shared" si="348"/>
        <v>-64.721040000000031</v>
      </c>
      <c r="AT59" s="994">
        <f t="shared" ref="AT59" si="349">-0.34*AT58</f>
        <v>-59.424041785753225</v>
      </c>
      <c r="AU59" s="994">
        <f t="shared" ref="AU59:AX59" si="350">-0.34*AU58</f>
        <v>-137.52060224128033</v>
      </c>
      <c r="AV59" s="994">
        <f t="shared" si="350"/>
        <v>-113.56142678564501</v>
      </c>
      <c r="AW59" s="994">
        <f t="shared" si="350"/>
        <v>-103.29280539065009</v>
      </c>
      <c r="AX59" s="994">
        <f t="shared" si="350"/>
        <v>-190.08465587700766</v>
      </c>
      <c r="AZ59" s="994">
        <v>-106.21219207515227</v>
      </c>
      <c r="BA59"/>
      <c r="BD59" s="994" t="e">
        <f>+BD35*BD58</f>
        <v>#REF!</v>
      </c>
      <c r="BE59" s="994" t="e">
        <f>+BE35*BE58</f>
        <v>#REF!</v>
      </c>
      <c r="BF59" s="994" t="e">
        <f>+BF35*BF58</f>
        <v>#REF!</v>
      </c>
      <c r="BG59" s="994" t="e">
        <f>+BG35*BG58</f>
        <v>#REF!</v>
      </c>
      <c r="BH59" s="994" t="e">
        <f t="shared" ref="BH59:BS59" si="351">-0.34*BH58</f>
        <v>#REF!</v>
      </c>
      <c r="BI59" s="994" t="e">
        <f t="shared" si="351"/>
        <v>#REF!</v>
      </c>
      <c r="BJ59" s="994" t="e">
        <f t="shared" si="351"/>
        <v>#REF!</v>
      </c>
      <c r="BK59" s="994" t="e">
        <f t="shared" si="351"/>
        <v>#REF!</v>
      </c>
      <c r="BL59" s="994" t="e">
        <f t="shared" si="351"/>
        <v>#REF!</v>
      </c>
      <c r="BM59" s="2530">
        <f t="shared" si="351"/>
        <v>-274.14572208710553</v>
      </c>
      <c r="BN59" s="994">
        <f t="shared" si="351"/>
        <v>-405.11656866259329</v>
      </c>
      <c r="BO59" s="994">
        <f t="shared" ref="BO59" si="352">-0.34*BO58</f>
        <v>-544.45949029458279</v>
      </c>
      <c r="BP59" s="994">
        <f t="shared" si="351"/>
        <v>-607.06707863481279</v>
      </c>
      <c r="BQ59" s="994">
        <f t="shared" si="351"/>
        <v>-630.1516114927033</v>
      </c>
      <c r="BR59" s="994">
        <f t="shared" si="351"/>
        <v>-664.29679762574574</v>
      </c>
      <c r="BS59" s="994">
        <f t="shared" si="351"/>
        <v>-698.48078309847631</v>
      </c>
    </row>
    <row r="60" spans="1:71">
      <c r="B60" s="102" t="s">
        <v>482</v>
      </c>
      <c r="C60" s="145">
        <v>0</v>
      </c>
      <c r="D60" s="145">
        <v>0</v>
      </c>
      <c r="E60" s="145">
        <v>0</v>
      </c>
      <c r="F60" s="145">
        <v>0</v>
      </c>
      <c r="G60" s="145">
        <v>0</v>
      </c>
      <c r="H60" s="145">
        <v>0</v>
      </c>
      <c r="I60" s="145">
        <v>0</v>
      </c>
      <c r="J60" s="145">
        <v>0</v>
      </c>
      <c r="K60" s="145">
        <v>0</v>
      </c>
      <c r="L60" s="145">
        <v>0</v>
      </c>
      <c r="M60" s="145">
        <v>0</v>
      </c>
      <c r="N60" s="145">
        <v>0</v>
      </c>
      <c r="O60" s="145">
        <v>0</v>
      </c>
      <c r="P60" s="145">
        <v>0</v>
      </c>
      <c r="Q60" s="145">
        <v>0</v>
      </c>
      <c r="R60" s="145">
        <v>0</v>
      </c>
      <c r="S60" s="145">
        <v>0</v>
      </c>
      <c r="T60" s="145">
        <v>0</v>
      </c>
      <c r="U60" s="145">
        <v>0</v>
      </c>
      <c r="V60" s="145">
        <v>0</v>
      </c>
      <c r="W60" s="145">
        <v>0</v>
      </c>
      <c r="X60" s="145">
        <v>0</v>
      </c>
      <c r="Y60" s="145">
        <v>0</v>
      </c>
      <c r="Z60" s="145">
        <v>0</v>
      </c>
      <c r="AA60" s="145">
        <v>0</v>
      </c>
      <c r="AB60" s="145">
        <v>0</v>
      </c>
      <c r="AC60" s="145">
        <v>0</v>
      </c>
      <c r="AD60" s="145">
        <v>0</v>
      </c>
      <c r="AE60" s="145">
        <v>0</v>
      </c>
      <c r="AF60" s="145">
        <v>0</v>
      </c>
      <c r="AG60" s="145">
        <v>0</v>
      </c>
      <c r="AH60" s="145">
        <v>0</v>
      </c>
      <c r="AI60" s="145">
        <v>0</v>
      </c>
      <c r="AJ60" s="145">
        <v>0</v>
      </c>
      <c r="AK60" s="145">
        <v>0</v>
      </c>
      <c r="AL60" s="145">
        <v>0</v>
      </c>
      <c r="AM60" s="2527">
        <v>0</v>
      </c>
      <c r="AN60" s="145">
        <v>0</v>
      </c>
      <c r="AO60" s="145">
        <v>0</v>
      </c>
      <c r="AP60" s="145">
        <v>0</v>
      </c>
      <c r="AQ60" s="145">
        <v>0</v>
      </c>
      <c r="AR60" s="145">
        <v>0</v>
      </c>
      <c r="AS60" s="145">
        <v>0</v>
      </c>
      <c r="AT60" s="145">
        <v>0</v>
      </c>
      <c r="AU60" s="686">
        <v>0</v>
      </c>
      <c r="AV60" s="686">
        <v>0</v>
      </c>
      <c r="AW60" s="686">
        <v>0</v>
      </c>
      <c r="AX60" s="686">
        <v>0</v>
      </c>
      <c r="AZ60" s="686">
        <v>0</v>
      </c>
      <c r="BD60" s="145">
        <v>0</v>
      </c>
      <c r="BE60" s="145">
        <v>0</v>
      </c>
      <c r="BF60" s="145">
        <v>0</v>
      </c>
      <c r="BG60" s="145">
        <v>0</v>
      </c>
      <c r="BH60" s="145">
        <v>0</v>
      </c>
      <c r="BI60" s="145">
        <v>0</v>
      </c>
      <c r="BJ60" s="145">
        <v>0</v>
      </c>
      <c r="BK60" s="145">
        <v>0</v>
      </c>
      <c r="BL60" s="145">
        <v>0</v>
      </c>
      <c r="BM60" s="2527">
        <v>0</v>
      </c>
      <c r="BN60" s="145">
        <v>0</v>
      </c>
      <c r="BO60" s="145">
        <v>0</v>
      </c>
      <c r="BP60" s="686">
        <v>0</v>
      </c>
      <c r="BQ60" s="686">
        <v>0</v>
      </c>
      <c r="BR60" s="686">
        <v>0</v>
      </c>
      <c r="BS60" s="686">
        <v>0</v>
      </c>
    </row>
    <row r="61" spans="1:71">
      <c r="B61" s="102" t="s">
        <v>483</v>
      </c>
      <c r="C61" s="145">
        <v>0</v>
      </c>
      <c r="D61" s="145">
        <v>0</v>
      </c>
      <c r="E61" s="145">
        <v>0</v>
      </c>
      <c r="F61" s="145">
        <v>0</v>
      </c>
      <c r="G61" s="145">
        <v>0</v>
      </c>
      <c r="H61" s="145">
        <v>0</v>
      </c>
      <c r="I61" s="145">
        <v>0</v>
      </c>
      <c r="J61" s="145">
        <v>0</v>
      </c>
      <c r="K61" s="145">
        <v>0</v>
      </c>
      <c r="L61" s="145">
        <v>0</v>
      </c>
      <c r="M61" s="145">
        <v>0</v>
      </c>
      <c r="N61" s="145">
        <v>0</v>
      </c>
      <c r="O61" s="145">
        <v>0</v>
      </c>
      <c r="P61" s="145">
        <v>0</v>
      </c>
      <c r="Q61" s="145">
        <v>0</v>
      </c>
      <c r="R61" s="145">
        <v>0</v>
      </c>
      <c r="S61" s="145">
        <v>0</v>
      </c>
      <c r="T61" s="145">
        <v>0</v>
      </c>
      <c r="U61" s="145">
        <v>0</v>
      </c>
      <c r="V61" s="145">
        <v>0</v>
      </c>
      <c r="W61" s="145">
        <v>0</v>
      </c>
      <c r="X61" s="145">
        <v>0</v>
      </c>
      <c r="Y61" s="145">
        <v>0</v>
      </c>
      <c r="Z61" s="145">
        <v>0</v>
      </c>
      <c r="AA61" s="145">
        <v>0</v>
      </c>
      <c r="AB61" s="145">
        <v>0</v>
      </c>
      <c r="AC61" s="145">
        <v>0</v>
      </c>
      <c r="AD61" s="145">
        <v>0</v>
      </c>
      <c r="AE61" s="145">
        <v>0</v>
      </c>
      <c r="AF61" s="145">
        <v>0</v>
      </c>
      <c r="AG61" s="145">
        <v>0</v>
      </c>
      <c r="AH61" s="145">
        <v>0</v>
      </c>
      <c r="AI61" s="145">
        <v>0</v>
      </c>
      <c r="AJ61" s="145">
        <v>0</v>
      </c>
      <c r="AK61" s="145">
        <v>0</v>
      </c>
      <c r="AL61" s="145">
        <v>0</v>
      </c>
      <c r="AM61" s="2527">
        <v>0</v>
      </c>
      <c r="AN61" s="145">
        <v>0</v>
      </c>
      <c r="AO61" s="145">
        <v>0</v>
      </c>
      <c r="AP61" s="145">
        <v>0</v>
      </c>
      <c r="AQ61" s="145">
        <v>0</v>
      </c>
      <c r="AR61" s="145">
        <v>0</v>
      </c>
      <c r="AS61" s="145">
        <v>0</v>
      </c>
      <c r="AT61" s="145">
        <v>0</v>
      </c>
      <c r="AU61" s="686">
        <v>0</v>
      </c>
      <c r="AV61" s="686">
        <v>0</v>
      </c>
      <c r="AW61" s="686">
        <v>0</v>
      </c>
      <c r="AX61" s="686">
        <v>0</v>
      </c>
      <c r="AZ61" s="686">
        <v>0</v>
      </c>
      <c r="BD61" s="145">
        <v>0</v>
      </c>
      <c r="BE61" s="145">
        <v>0</v>
      </c>
      <c r="BF61" s="145">
        <v>0</v>
      </c>
      <c r="BG61" s="145">
        <v>0</v>
      </c>
      <c r="BH61" s="145">
        <v>0</v>
      </c>
      <c r="BI61" s="145">
        <v>0</v>
      </c>
      <c r="BJ61" s="145">
        <v>0</v>
      </c>
      <c r="BK61" s="145">
        <v>0</v>
      </c>
      <c r="BL61" s="145">
        <v>0</v>
      </c>
      <c r="BM61" s="2527">
        <v>0</v>
      </c>
      <c r="BN61" s="145">
        <v>0</v>
      </c>
      <c r="BO61" s="145">
        <v>0</v>
      </c>
      <c r="BP61" s="686">
        <v>0</v>
      </c>
      <c r="BQ61" s="686">
        <v>0</v>
      </c>
      <c r="BR61" s="686">
        <v>0</v>
      </c>
      <c r="BS61" s="686">
        <v>0</v>
      </c>
    </row>
    <row r="62" spans="1:71" s="105" customFormat="1">
      <c r="B62" s="138" t="s">
        <v>484</v>
      </c>
      <c r="C62" s="144" t="e">
        <f t="shared" ref="C62:AE62" si="353">+C58+C59+C60+C61</f>
        <v>#REF!</v>
      </c>
      <c r="D62" s="144" t="e">
        <f t="shared" si="353"/>
        <v>#REF!</v>
      </c>
      <c r="E62" s="144" t="e">
        <f t="shared" si="353"/>
        <v>#REF!</v>
      </c>
      <c r="F62" s="144" t="e">
        <f t="shared" si="353"/>
        <v>#REF!</v>
      </c>
      <c r="G62" s="144" t="e">
        <f t="shared" si="353"/>
        <v>#REF!</v>
      </c>
      <c r="H62" s="144" t="e">
        <f t="shared" si="353"/>
        <v>#REF!</v>
      </c>
      <c r="I62" s="144" t="e">
        <f t="shared" si="353"/>
        <v>#REF!</v>
      </c>
      <c r="J62" s="144" t="e">
        <f t="shared" si="353"/>
        <v>#REF!</v>
      </c>
      <c r="K62" s="144" t="e">
        <f t="shared" si="353"/>
        <v>#REF!</v>
      </c>
      <c r="L62" s="144" t="e">
        <f t="shared" si="353"/>
        <v>#REF!</v>
      </c>
      <c r="M62" s="144" t="e">
        <f t="shared" si="353"/>
        <v>#REF!</v>
      </c>
      <c r="N62" s="144" t="e">
        <f t="shared" si="353"/>
        <v>#REF!</v>
      </c>
      <c r="O62" s="144" t="e">
        <f t="shared" si="353"/>
        <v>#REF!</v>
      </c>
      <c r="P62" s="144" t="e">
        <f t="shared" si="353"/>
        <v>#REF!</v>
      </c>
      <c r="Q62" s="144" t="e">
        <f t="shared" si="353"/>
        <v>#REF!</v>
      </c>
      <c r="R62" s="144" t="e">
        <f t="shared" si="353"/>
        <v>#REF!</v>
      </c>
      <c r="S62" s="144" t="e">
        <f t="shared" si="353"/>
        <v>#REF!</v>
      </c>
      <c r="T62" s="144" t="e">
        <f t="shared" si="353"/>
        <v>#REF!</v>
      </c>
      <c r="U62" s="144" t="e">
        <f t="shared" si="353"/>
        <v>#REF!</v>
      </c>
      <c r="V62" s="144" t="e">
        <f t="shared" si="353"/>
        <v>#REF!</v>
      </c>
      <c r="W62" s="144" t="e">
        <f t="shared" si="353"/>
        <v>#REF!</v>
      </c>
      <c r="X62" s="144" t="e">
        <f t="shared" si="353"/>
        <v>#REF!</v>
      </c>
      <c r="Y62" s="144" t="e">
        <f t="shared" si="353"/>
        <v>#REF!</v>
      </c>
      <c r="Z62" s="144" t="e">
        <f t="shared" si="353"/>
        <v>#REF!</v>
      </c>
      <c r="AA62" s="144" t="e">
        <f t="shared" si="353"/>
        <v>#REF!</v>
      </c>
      <c r="AB62" s="144" t="e">
        <f t="shared" si="353"/>
        <v>#REF!</v>
      </c>
      <c r="AC62" s="144" t="e">
        <f t="shared" si="353"/>
        <v>#REF!</v>
      </c>
      <c r="AD62" s="144" t="e">
        <f t="shared" si="353"/>
        <v>#REF!</v>
      </c>
      <c r="AE62" s="144" t="e">
        <f t="shared" si="353"/>
        <v>#REF!</v>
      </c>
      <c r="AF62" s="144" t="e">
        <f t="shared" ref="AF62:AK62" si="354">+AF58+AF59+AF60+AF61</f>
        <v>#REF!</v>
      </c>
      <c r="AG62" s="144" t="e">
        <f t="shared" si="354"/>
        <v>#REF!</v>
      </c>
      <c r="AH62" s="144" t="e">
        <f t="shared" si="354"/>
        <v>#REF!</v>
      </c>
      <c r="AI62" s="144" t="e">
        <f t="shared" si="354"/>
        <v>#REF!</v>
      </c>
      <c r="AJ62" s="144" t="e">
        <f t="shared" si="354"/>
        <v>#REF!</v>
      </c>
      <c r="AK62" s="144" t="e">
        <f t="shared" si="354"/>
        <v>#REF!</v>
      </c>
      <c r="AL62" s="144" t="e">
        <f t="shared" ref="AL62:AQ62" si="355">+AL58+AL59+AL60+AL61</f>
        <v>#REF!</v>
      </c>
      <c r="AM62" s="2528">
        <f t="shared" si="355"/>
        <v>265.452</v>
      </c>
      <c r="AN62" s="144">
        <f t="shared" si="355"/>
        <v>294.72894000000042</v>
      </c>
      <c r="AO62" s="144">
        <f t="shared" si="355"/>
        <v>270.1062852279104</v>
      </c>
      <c r="AP62" s="144">
        <f t="shared" si="355"/>
        <v>-298.12199999999984</v>
      </c>
      <c r="AQ62" s="144">
        <f t="shared" si="355"/>
        <v>263.79323923151088</v>
      </c>
      <c r="AR62" s="144">
        <f t="shared" ref="AR62:AS62" si="356">+AR58+AR59+AR60+AR61</f>
        <v>281.62199999999996</v>
      </c>
      <c r="AS62" s="144">
        <f t="shared" si="356"/>
        <v>125.63496000000005</v>
      </c>
      <c r="AT62" s="144">
        <f t="shared" ref="AT62" si="357">+AT58+AT59+AT60+AT61</f>
        <v>115.35255170175625</v>
      </c>
      <c r="AU62" s="685">
        <f t="shared" ref="AU62:AX62" si="358">+AU58+AU59+AU60+AU61</f>
        <v>266.95175729189714</v>
      </c>
      <c r="AV62" s="685">
        <f t="shared" si="358"/>
        <v>220.44276964272265</v>
      </c>
      <c r="AW62" s="685">
        <f t="shared" si="358"/>
        <v>200.50956340537959</v>
      </c>
      <c r="AX62" s="685">
        <f t="shared" si="358"/>
        <v>368.98786140830896</v>
      </c>
      <c r="AZ62" s="685">
        <v>206.17660814588382</v>
      </c>
      <c r="BA62" s="1070"/>
      <c r="BD62" s="144" t="e">
        <f t="shared" ref="BD62:BP62" si="359">+BD58+BD59+BD60+BD61</f>
        <v>#REF!</v>
      </c>
      <c r="BE62" s="144" t="e">
        <f t="shared" si="359"/>
        <v>#REF!</v>
      </c>
      <c r="BF62" s="144" t="e">
        <f t="shared" si="359"/>
        <v>#REF!</v>
      </c>
      <c r="BG62" s="144" t="e">
        <f t="shared" si="359"/>
        <v>#REF!</v>
      </c>
      <c r="BH62" s="144" t="e">
        <f t="shared" si="359"/>
        <v>#REF!</v>
      </c>
      <c r="BI62" s="144" t="e">
        <f t="shared" si="359"/>
        <v>#REF!</v>
      </c>
      <c r="BJ62" s="144" t="e">
        <f t="shared" si="359"/>
        <v>#REF!</v>
      </c>
      <c r="BK62" s="144" t="e">
        <f t="shared" si="359"/>
        <v>#REF!</v>
      </c>
      <c r="BL62" s="144" t="e">
        <f t="shared" si="359"/>
        <v>#REF!</v>
      </c>
      <c r="BM62" s="2528">
        <f t="shared" ref="BM62:BN62" si="360">+BM58+BM59+BM60+BM61</f>
        <v>532.1652252279107</v>
      </c>
      <c r="BN62" s="144">
        <f t="shared" si="360"/>
        <v>786.4027509332692</v>
      </c>
      <c r="BO62" s="144">
        <f t="shared" ref="BO62" si="361">+BO58+BO59+BO60+BO61</f>
        <v>1056.8919517483077</v>
      </c>
      <c r="BP62" s="685">
        <f t="shared" si="359"/>
        <v>1178.4243291146363</v>
      </c>
      <c r="BQ62" s="685">
        <f t="shared" ref="BQ62:BR62" si="362">+BQ58+BQ59+BQ60+BQ61</f>
        <v>1223.2354811328946</v>
      </c>
      <c r="BR62" s="685">
        <f t="shared" si="362"/>
        <v>1289.5173130382123</v>
      </c>
      <c r="BS62" s="685">
        <f>+BS58+BS59+BS60+BS61</f>
        <v>1355.8744613088065</v>
      </c>
    </row>
    <row r="63" spans="1:71">
      <c r="B63" s="102" t="s">
        <v>485</v>
      </c>
      <c r="C63" s="145">
        <f>+FAT!C92</f>
        <v>57.167097742365698</v>
      </c>
      <c r="D63" s="145">
        <f>+FAT!D92</f>
        <v>52.939777097536705</v>
      </c>
      <c r="E63" s="145">
        <f>+FAT!E92</f>
        <v>62.514845439946441</v>
      </c>
      <c r="F63" s="145">
        <f>+FAT!F92</f>
        <v>66.80224378582335</v>
      </c>
      <c r="G63" s="145">
        <f>+FAT!G92</f>
        <v>63.0733010656256</v>
      </c>
      <c r="H63" s="145">
        <f>+FAT!H92</f>
        <v>64.374656297065371</v>
      </c>
      <c r="I63" s="145">
        <f>+FAT!I92</f>
        <v>97.522503847113114</v>
      </c>
      <c r="J63" s="145">
        <f>+FAT!J92</f>
        <v>64.947814951765167</v>
      </c>
      <c r="K63" s="145">
        <f>+FAT!K92</f>
        <v>67.332450558351127</v>
      </c>
      <c r="L63" s="145">
        <f>+FAT!L92</f>
        <v>66.620919847934289</v>
      </c>
      <c r="M63" s="145">
        <f>+FAT!M92</f>
        <v>83.058378100304409</v>
      </c>
      <c r="N63" s="145">
        <f>+FAT!N92</f>
        <v>166.29376986785368</v>
      </c>
      <c r="O63" s="145">
        <f>+FAT!O92</f>
        <v>128.26159004370683</v>
      </c>
      <c r="P63" s="145">
        <f>+FAT!P92</f>
        <v>144.66389866871302</v>
      </c>
      <c r="Q63" s="145">
        <f>+FAT!Q92</f>
        <v>143.08423980051893</v>
      </c>
      <c r="R63" s="145">
        <f>+FAT!R92</f>
        <v>171.02724354056721</v>
      </c>
      <c r="S63" s="145">
        <f>+FAT!S92</f>
        <v>135.86000000000001</v>
      </c>
      <c r="T63" s="145">
        <f>+FAT!T92</f>
        <v>130.27699999999999</v>
      </c>
      <c r="U63" s="145">
        <f>+FAT!U92</f>
        <v>124.59399999999999</v>
      </c>
      <c r="V63" s="145">
        <f>+FAT!V92</f>
        <v>159.5</v>
      </c>
      <c r="W63" s="145">
        <f>+FAT!W92</f>
        <v>268.92399999999986</v>
      </c>
      <c r="X63" s="145">
        <f>+FAT!X92</f>
        <v>378.4380000000001</v>
      </c>
      <c r="Y63" s="145">
        <f>+FAT!Y92</f>
        <v>392.88900000000001</v>
      </c>
      <c r="Z63" s="145">
        <f>+FAT!Z92</f>
        <v>455.65499999999997</v>
      </c>
      <c r="AA63" s="145">
        <f>+FAT!AA92</f>
        <v>440.28199999999998</v>
      </c>
      <c r="AB63" s="145">
        <f>+FAT!AB92</f>
        <v>457.60399999999998</v>
      </c>
      <c r="AC63" s="145">
        <f>+FAT!AC92</f>
        <v>422.77</v>
      </c>
      <c r="AD63" s="145">
        <f>+FAT!AD92</f>
        <v>472.93499999999989</v>
      </c>
      <c r="AE63" s="145">
        <f>+FAT!AE92</f>
        <v>402.14799999999997</v>
      </c>
      <c r="AF63" s="145">
        <f>+FAT!AF92</f>
        <v>418.01900000000001</v>
      </c>
      <c r="AG63" s="145">
        <f>+FAT!AG92</f>
        <v>376.63200000000001</v>
      </c>
      <c r="AH63" s="145">
        <f>+FAT!AH92</f>
        <v>467.23499999999996</v>
      </c>
      <c r="AI63" s="145">
        <f>+FAT!AI92</f>
        <v>432.30200000000002</v>
      </c>
      <c r="AJ63" s="145">
        <f>+FAT!AJ92</f>
        <v>416.97499999999991</v>
      </c>
      <c r="AK63" s="145">
        <f>+FAT!AK92</f>
        <v>366.30290400000001</v>
      </c>
      <c r="AL63" s="145">
        <f>+FAT!AL92</f>
        <v>365.264096</v>
      </c>
      <c r="AM63" s="2527">
        <f>+FAT!AM92</f>
        <v>144.23400000000004</v>
      </c>
      <c r="AN63" s="145">
        <f>+FAT!AN92</f>
        <v>153.26900000000001</v>
      </c>
      <c r="AO63" s="145">
        <f>+FAT!AO92</f>
        <v>228.43300000000002</v>
      </c>
      <c r="AP63" s="145">
        <f>+FAT!AP92</f>
        <v>806.41000000000008</v>
      </c>
      <c r="AQ63" s="145">
        <f>+FAT!AQ92</f>
        <v>130.19899999999996</v>
      </c>
      <c r="AR63" s="145">
        <f>+FAT!AR92</f>
        <v>132.71499999999997</v>
      </c>
      <c r="AS63" s="145">
        <f>+FAT!AS92</f>
        <v>236.59199999999998</v>
      </c>
      <c r="AT63" s="145">
        <f>+FAT!AT92</f>
        <v>214.227</v>
      </c>
      <c r="AU63" s="686">
        <f>+FAT!AU92</f>
        <v>156.17858344875492</v>
      </c>
      <c r="AV63" s="686">
        <f>+FAT!AV92</f>
        <v>159.38425087421479</v>
      </c>
      <c r="AW63" s="686">
        <f>+FAT!AW92</f>
        <v>289.08694204673327</v>
      </c>
      <c r="AX63" s="686">
        <f>+FAT!AX92</f>
        <v>195.92702120996404</v>
      </c>
      <c r="AZ63" s="686">
        <v>191.57277599999998</v>
      </c>
      <c r="BD63" s="145">
        <f>+FAT!BE92</f>
        <v>239.42396406567218</v>
      </c>
      <c r="BE63" s="145">
        <f>+FAT!BF92</f>
        <v>289.91827616156922</v>
      </c>
      <c r="BF63" s="145">
        <f>+FAT!BG92</f>
        <v>383.30551837444352</v>
      </c>
      <c r="BG63" s="145">
        <f>+FAT!BH92</f>
        <v>587.03697205350591</v>
      </c>
      <c r="BH63" s="145">
        <f>+FAT!BJ92</f>
        <v>550.23099999999999</v>
      </c>
      <c r="BI63" s="145">
        <f>+FAT!BK92</f>
        <v>1495.9059999999999</v>
      </c>
      <c r="BJ63" s="145">
        <f>+FAT!BL92</f>
        <v>1793.5909999999999</v>
      </c>
      <c r="BK63" s="145">
        <f>+FAT!BM92</f>
        <v>1664.0339999999999</v>
      </c>
      <c r="BL63" s="145">
        <f>+FAT!BN92</f>
        <v>1580.8440000000001</v>
      </c>
      <c r="BM63" s="2527">
        <f>+FAT!BO92</f>
        <v>1332.346</v>
      </c>
      <c r="BN63" s="145">
        <f>+FAT!BP92</f>
        <v>713.73299999999995</v>
      </c>
      <c r="BO63" s="145">
        <f>+FAT!BQ92</f>
        <v>800.57679757966707</v>
      </c>
      <c r="BP63" s="686">
        <f>+FAT!BR92</f>
        <v>708.24629799070192</v>
      </c>
      <c r="BQ63" s="686">
        <f>+FAT!BS92</f>
        <v>663.61055435397964</v>
      </c>
      <c r="BR63" s="686">
        <f>+FAT!BT92</f>
        <v>640.58349998356118</v>
      </c>
      <c r="BS63" s="686">
        <f>+FAT!BU92</f>
        <v>632.33947270697638</v>
      </c>
    </row>
    <row r="64" spans="1:71" s="1155" customFormat="1">
      <c r="B64" s="143" t="s">
        <v>486</v>
      </c>
      <c r="C64" s="1265" t="e">
        <f t="shared" ref="C64" si="363">C162-B162</f>
        <v>#VALUE!</v>
      </c>
      <c r="D64" s="1265">
        <f t="shared" ref="D64" si="364">D162-C162</f>
        <v>-58.201999999999998</v>
      </c>
      <c r="E64" s="1265">
        <f t="shared" ref="E64" si="365">E162-D162</f>
        <v>-59.051999999999992</v>
      </c>
      <c r="F64" s="1265">
        <f t="shared" ref="F64" si="366">F162-E162</f>
        <v>69.19</v>
      </c>
      <c r="G64" s="1265">
        <f t="shared" ref="G64" si="367">G162-F162</f>
        <v>-74.64700000000002</v>
      </c>
      <c r="H64" s="1265">
        <f t="shared" ref="H64" si="368">H162-G162</f>
        <v>-127.56099999999998</v>
      </c>
      <c r="I64" s="1265">
        <f t="shared" ref="I64" si="369">I162-H162</f>
        <v>-37.257000000000005</v>
      </c>
      <c r="J64" s="1265">
        <f t="shared" ref="J64" si="370">J162-I162</f>
        <v>-51.221000000000004</v>
      </c>
      <c r="K64" s="1265">
        <f t="shared" ref="K64" si="371">K162-J162</f>
        <v>46.45700000000005</v>
      </c>
      <c r="L64" s="1265">
        <f t="shared" ref="L64" si="372">L162-K162</f>
        <v>17.256999999999948</v>
      </c>
      <c r="M64" s="1265">
        <f t="shared" ref="M64" si="373">M162-L162</f>
        <v>394.16899999999998</v>
      </c>
      <c r="N64" s="1265">
        <f t="shared" ref="N64" si="374">N162-M162</f>
        <v>89.55400000000003</v>
      </c>
      <c r="O64" s="1265">
        <f t="shared" ref="O64" si="375">O162-N162</f>
        <v>-40.411000000000001</v>
      </c>
      <c r="P64" s="1265">
        <f t="shared" ref="P64" si="376">P162-O162</f>
        <v>3.3229999999999791</v>
      </c>
      <c r="Q64" s="1265">
        <f t="shared" ref="Q64" si="377">Q162-P162</f>
        <v>-29.144999999999982</v>
      </c>
      <c r="R64" s="1265">
        <f t="shared" ref="R64" si="378">R162-Q162</f>
        <v>21.15100000000001</v>
      </c>
      <c r="S64" s="1265">
        <f t="shared" ref="S64" si="379">S162-R162</f>
        <v>3.0589999999999691</v>
      </c>
      <c r="T64" s="1265">
        <f t="shared" ref="T64" si="380">T162-S162</f>
        <v>-29.158999999999992</v>
      </c>
      <c r="U64" s="1265">
        <f t="shared" ref="U64" si="381">U162-T162</f>
        <v>-18.95799999999997</v>
      </c>
      <c r="V64" s="1265">
        <f t="shared" ref="V64" si="382">V162-U162</f>
        <v>88.076000000000022</v>
      </c>
      <c r="W64" s="1265">
        <f t="shared" ref="W64" si="383">W162-V162</f>
        <v>432.34800000000007</v>
      </c>
      <c r="X64" s="1265">
        <f t="shared" ref="X64" si="384">X162-W162</f>
        <v>-70.900000000000091</v>
      </c>
      <c r="Y64" s="1265">
        <f t="shared" ref="Y64" si="385">Y162-X162</f>
        <v>-21.399999999999977</v>
      </c>
      <c r="Z64" s="1265">
        <f t="shared" ref="Z64" si="386">Z162-Y162</f>
        <v>-467.90000000000009</v>
      </c>
      <c r="AA64" s="1265">
        <f t="shared" ref="AA64" si="387">AA162-Z162</f>
        <v>-32.099999999999909</v>
      </c>
      <c r="AB64" s="1265">
        <f t="shared" ref="AB64" si="388">AB162-AA162</f>
        <v>-1299.1000000000001</v>
      </c>
      <c r="AC64" s="1265">
        <f t="shared" ref="AC64" si="389">AC162-AB162</f>
        <v>-435.20000000000005</v>
      </c>
      <c r="AD64" s="1265">
        <f t="shared" ref="AD64" si="390">AD162-AC162</f>
        <v>-141.99999999999977</v>
      </c>
      <c r="AE64" s="1265">
        <f t="shared" ref="AE64" si="391">AE162-AD162</f>
        <v>-273.69999999999982</v>
      </c>
      <c r="AF64" s="1265">
        <f t="shared" ref="AF64:AL64" si="392">AF162-AE162</f>
        <v>-199.80000000000018</v>
      </c>
      <c r="AG64" s="1265">
        <f t="shared" si="392"/>
        <v>-376.09999999999991</v>
      </c>
      <c r="AH64" s="1265">
        <f t="shared" si="392"/>
        <v>224.59999999999991</v>
      </c>
      <c r="AI64" s="1265">
        <f t="shared" si="392"/>
        <v>1.5999999999999091</v>
      </c>
      <c r="AJ64" s="1265">
        <f t="shared" si="392"/>
        <v>82.900000000000091</v>
      </c>
      <c r="AK64" s="1265">
        <f t="shared" si="392"/>
        <v>3067.7</v>
      </c>
      <c r="AL64" s="1265">
        <f t="shared" si="392"/>
        <v>-2439.6999999999998</v>
      </c>
      <c r="AM64" s="2531">
        <f t="shared" ref="AM64" si="393">AM162-AL162</f>
        <v>838.78199999999993</v>
      </c>
      <c r="AN64" s="1265">
        <f t="shared" ref="AN64" si="394">AN162-AM162</f>
        <v>25.182999999999993</v>
      </c>
      <c r="AO64" s="1265">
        <f t="shared" ref="AO64" si="395">AO162-AN162</f>
        <v>-144.54099999999994</v>
      </c>
      <c r="AP64" s="1265">
        <f t="shared" ref="AP64" si="396">AP162-AO162</f>
        <v>-144.64499999999998</v>
      </c>
      <c r="AQ64" s="1265">
        <f t="shared" ref="AQ64" si="397">AQ162-AP162</f>
        <v>52.503999999999905</v>
      </c>
      <c r="AR64" s="1265">
        <f t="shared" ref="AR64" si="398">AR162-AQ162</f>
        <v>7.9519999999999982</v>
      </c>
      <c r="AS64" s="1265">
        <f t="shared" ref="AS64:AT64" si="399">AS162-AR162</f>
        <v>-388.16399999999999</v>
      </c>
      <c r="AT64" s="1265">
        <f t="shared" si="399"/>
        <v>-398.52400000000011</v>
      </c>
      <c r="AU64" s="1266">
        <f t="shared" ref="AU64" si="400">AU162-AT162</f>
        <v>0</v>
      </c>
      <c r="AV64" s="1266">
        <f t="shared" ref="AV64" si="401">AV162-AU162</f>
        <v>0</v>
      </c>
      <c r="AW64" s="1266">
        <f t="shared" ref="AW64" si="402">AW162-AV162</f>
        <v>0</v>
      </c>
      <c r="AX64" s="1266">
        <f t="shared" ref="AX64" si="403">AX162-AW162</f>
        <v>0</v>
      </c>
      <c r="AZ64" s="1266">
        <v>0</v>
      </c>
      <c r="BD64" s="1265">
        <f t="shared" ref="BD64" si="404">BD162-BB162</f>
        <v>-178.535</v>
      </c>
      <c r="BE64" s="1265">
        <f t="shared" ref="BE64" si="405">BE162-BD162</f>
        <v>-290.68600000000004</v>
      </c>
      <c r="BF64" s="1265">
        <f t="shared" ref="BF64" si="406">BF162-BE162</f>
        <v>547.43700000000001</v>
      </c>
      <c r="BG64" s="1265">
        <f t="shared" ref="BG64" si="407">BG162-BF162</f>
        <v>-45.081999999999994</v>
      </c>
      <c r="BH64" s="1265">
        <f t="shared" ref="BH64" si="408">BH162-BG162</f>
        <v>43.018000000000029</v>
      </c>
      <c r="BI64" s="1265">
        <f t="shared" ref="BI64" si="409">BI162-BH162</f>
        <v>-127.85200000000009</v>
      </c>
      <c r="BJ64" s="1265">
        <f t="shared" ref="BJ64" si="410">BJ162-BI162</f>
        <v>-1908.3999999999999</v>
      </c>
      <c r="BK64" s="1265">
        <f t="shared" ref="BK64" si="411">BK162-BJ162</f>
        <v>-625</v>
      </c>
      <c r="BL64" s="1265">
        <f t="shared" ref="BL64:BO64" si="412">BL162-BK162</f>
        <v>712.5</v>
      </c>
      <c r="BM64" s="2531">
        <f t="shared" si="412"/>
        <v>574.779</v>
      </c>
      <c r="BN64" s="1265">
        <f t="shared" si="412"/>
        <v>-726.2320000000002</v>
      </c>
      <c r="BO64" s="1265">
        <f t="shared" si="412"/>
        <v>0</v>
      </c>
      <c r="BP64" s="1266">
        <f t="shared" ref="BP64" si="413">BP162-BO162</f>
        <v>0</v>
      </c>
      <c r="BQ64" s="1266">
        <f t="shared" ref="BQ64" si="414">BQ162-BP162</f>
        <v>0</v>
      </c>
      <c r="BR64" s="1266">
        <f t="shared" ref="BR64" si="415">BR162-BQ162</f>
        <v>0</v>
      </c>
      <c r="BS64" s="1266">
        <f t="shared" ref="BS64" si="416">BS162-BR162</f>
        <v>0</v>
      </c>
    </row>
    <row r="65" spans="2:71">
      <c r="B65" s="102" t="s">
        <v>487</v>
      </c>
      <c r="C65" s="145" t="e">
        <f t="shared" ref="C65" si="417">C146-B146</f>
        <v>#VALUE!</v>
      </c>
      <c r="D65" s="145">
        <f t="shared" ref="D65" si="418">D146-C146</f>
        <v>-71.099999999999909</v>
      </c>
      <c r="E65" s="145">
        <f t="shared" ref="E65" si="419">E146-D146</f>
        <v>-76.299999999999727</v>
      </c>
      <c r="F65" s="145">
        <f t="shared" ref="F65" si="420">F146-E146</f>
        <v>-166.96000000000004</v>
      </c>
      <c r="G65" s="145">
        <f t="shared" ref="G65" si="421">G146-F146</f>
        <v>137.36599999999976</v>
      </c>
      <c r="H65" s="145">
        <f t="shared" ref="H65" si="422">H146-G146</f>
        <v>113.25400000000013</v>
      </c>
      <c r="I65" s="145">
        <f t="shared" ref="I65" si="423">I146-H146</f>
        <v>-25.894999999999754</v>
      </c>
      <c r="J65" s="145">
        <f t="shared" ref="J65" si="424">J146-I146</f>
        <v>-247.00900000000024</v>
      </c>
      <c r="K65" s="145">
        <f t="shared" ref="K65" si="425">K146-J146</f>
        <v>266.90099999999984</v>
      </c>
      <c r="L65" s="145">
        <f t="shared" ref="L65" si="426">L146-K146</f>
        <v>-121.45099999999979</v>
      </c>
      <c r="M65" s="145">
        <f t="shared" ref="M65" si="427">M146-L146</f>
        <v>414.8299999999997</v>
      </c>
      <c r="N65" s="145">
        <f t="shared" ref="N65" si="428">N146-M146</f>
        <v>143.27600000000029</v>
      </c>
      <c r="O65" s="145">
        <f t="shared" ref="O65" si="429">O146-N146</f>
        <v>395.90299999999979</v>
      </c>
      <c r="P65" s="145">
        <f t="shared" ref="P65" si="430">P146-O146</f>
        <v>53.300000000000409</v>
      </c>
      <c r="Q65" s="145">
        <f t="shared" ref="Q65" si="431">Q146-P146</f>
        <v>78.499999999998863</v>
      </c>
      <c r="R65" s="145">
        <f t="shared" ref="R65" si="432">R146-Q146</f>
        <v>-391.99299999999948</v>
      </c>
      <c r="S65" s="145">
        <f t="shared" ref="S65" si="433">S146-R146</f>
        <v>403.88000000000056</v>
      </c>
      <c r="T65" s="145">
        <f t="shared" ref="T65" si="434">T146-S146</f>
        <v>23.318999999999505</v>
      </c>
      <c r="U65" s="145">
        <f t="shared" ref="U65" si="435">U146-T146</f>
        <v>266.88700000000017</v>
      </c>
      <c r="V65" s="145">
        <f t="shared" ref="V65" si="436">V146-U146</f>
        <v>-1125.9000000000001</v>
      </c>
      <c r="W65" s="145">
        <f t="shared" ref="W65" si="437">W146-V146</f>
        <v>745.19999999999891</v>
      </c>
      <c r="X65" s="145">
        <f t="shared" ref="X65" si="438">X146-W146</f>
        <v>-397.39999999999873</v>
      </c>
      <c r="Y65" s="145">
        <f t="shared" ref="Y65" si="439">Y146-X146</f>
        <v>45.900000000001455</v>
      </c>
      <c r="Z65" s="145">
        <f t="shared" ref="Z65" si="440">Z146-Y146</f>
        <v>-1048.4000000000015</v>
      </c>
      <c r="AA65" s="145">
        <f t="shared" ref="AA65" si="441">AA146-Z146</f>
        <v>1389.2999999999993</v>
      </c>
      <c r="AB65" s="145">
        <f t="shared" ref="AB65" si="442">AB146-AA146</f>
        <v>-429.79999999999745</v>
      </c>
      <c r="AC65" s="145">
        <f t="shared" ref="AC65" si="443">AC146-AB146</f>
        <v>1135.2999999999975</v>
      </c>
      <c r="AD65" s="145">
        <f t="shared" ref="AD65" si="444">AD146-AC146</f>
        <v>-706.50000000000182</v>
      </c>
      <c r="AE65" s="145">
        <f t="shared" ref="AE65" si="445">AE146-AD146</f>
        <v>690.80000000000109</v>
      </c>
      <c r="AF65" s="145">
        <f t="shared" ref="AF65:AL65" si="446">AF146-AE146</f>
        <v>347.10000000000036</v>
      </c>
      <c r="AG65" s="145">
        <f t="shared" si="446"/>
        <v>-201.39999999999691</v>
      </c>
      <c r="AH65" s="145">
        <f t="shared" si="446"/>
        <v>-1520.800000000002</v>
      </c>
      <c r="AI65" s="145">
        <f t="shared" si="446"/>
        <v>902.69999999999982</v>
      </c>
      <c r="AJ65" s="145">
        <f t="shared" si="446"/>
        <v>280.90000000000055</v>
      </c>
      <c r="AK65" s="145">
        <f t="shared" si="446"/>
        <v>107.59999999999945</v>
      </c>
      <c r="AL65" s="145">
        <f t="shared" si="446"/>
        <v>-2313.2999999999984</v>
      </c>
      <c r="AM65" s="2527">
        <f t="shared" ref="AM65" si="447">AM146-AL146</f>
        <v>1500.7849999999971</v>
      </c>
      <c r="AN65" s="145">
        <f t="shared" ref="AN65" si="448">AN146-AM146</f>
        <v>715.17300000000159</v>
      </c>
      <c r="AO65" s="145">
        <f t="shared" ref="AO65" si="449">AO146-AN146</f>
        <v>248.41600000000017</v>
      </c>
      <c r="AP65" s="145">
        <f t="shared" ref="AP65" si="450">AP146-AO146</f>
        <v>-102.86902499999997</v>
      </c>
      <c r="AQ65" s="145">
        <f t="shared" ref="AQ65" si="451">AQ146-AP146</f>
        <v>36.032025000000431</v>
      </c>
      <c r="AR65" s="145">
        <f t="shared" ref="AR65" si="452">AR146-AQ146</f>
        <v>536.19599999999991</v>
      </c>
      <c r="AS65" s="145">
        <f t="shared" ref="AS65:AT65" si="453">AS146-AR146</f>
        <v>160.30599999999868</v>
      </c>
      <c r="AT65" s="145">
        <f t="shared" si="453"/>
        <v>245.12100000000009</v>
      </c>
      <c r="AU65" s="686">
        <f>AU146-AT146</f>
        <v>-526.65118400770734</v>
      </c>
      <c r="AV65" s="686">
        <f t="shared" ref="AV65" si="454">AV146-AU146</f>
        <v>121.97077575249932</v>
      </c>
      <c r="AW65" s="686">
        <f t="shared" ref="AW65" si="455">AW146-AV146</f>
        <v>325.50913759595278</v>
      </c>
      <c r="AX65" s="686">
        <f t="shared" ref="AX65" si="456">AX146-AW146</f>
        <v>314.0091062112715</v>
      </c>
      <c r="AZ65" s="686">
        <v>46.313008626640112</v>
      </c>
      <c r="BD65" s="145">
        <f t="shared" ref="BD65" si="457">BD146-BB146</f>
        <v>141.03200000000015</v>
      </c>
      <c r="BE65" s="145">
        <f t="shared" ref="BE65" si="458">BE146-BD146</f>
        <v>-22.284000000000106</v>
      </c>
      <c r="BF65" s="145">
        <f t="shared" ref="BF65" si="459">BF146-BE146</f>
        <v>703.55600000000004</v>
      </c>
      <c r="BG65" s="145">
        <f t="shared" ref="BG65" si="460">BG146-BF146</f>
        <v>135.70999999999958</v>
      </c>
      <c r="BH65" s="145">
        <f t="shared" ref="BH65" si="461">BH146-BG146</f>
        <v>-431.81399999999985</v>
      </c>
      <c r="BI65" s="145">
        <f t="shared" ref="BI65" si="462">BI146-BH146</f>
        <v>-654.69999999999982</v>
      </c>
      <c r="BJ65" s="145">
        <f t="shared" ref="BJ65" si="463">BJ146-BI146</f>
        <v>1388.2999999999975</v>
      </c>
      <c r="BK65" s="145">
        <f t="shared" ref="BK65" si="464">BK146-BJ146</f>
        <v>-684.29999999999745</v>
      </c>
      <c r="BL65" s="145">
        <f>BL146-BK146</f>
        <v>-1022.0999999999985</v>
      </c>
      <c r="BM65" s="2527">
        <f>BM146-BL146</f>
        <v>2361.5049749999989</v>
      </c>
      <c r="BN65" s="145">
        <f>BN146-BM146</f>
        <v>977.65502499999911</v>
      </c>
      <c r="BO65" s="145">
        <f>BO146-BN146</f>
        <v>234.83783555201626</v>
      </c>
      <c r="BP65" s="686">
        <f t="shared" ref="BP65" si="465">BP146-BO146</f>
        <v>52.31027604637984</v>
      </c>
      <c r="BQ65" s="686">
        <f t="shared" ref="BQ65" si="466">BQ146-BP146</f>
        <v>122.25084121061536</v>
      </c>
      <c r="BR65" s="686">
        <f t="shared" ref="BR65" si="467">BR146-BQ146</f>
        <v>124.92014281849879</v>
      </c>
      <c r="BS65" s="686">
        <f t="shared" ref="BS65" si="468">BS146-BR146</f>
        <v>120.32589759198436</v>
      </c>
    </row>
    <row r="66" spans="2:71">
      <c r="B66" s="1267" t="s">
        <v>488</v>
      </c>
      <c r="C66" s="146">
        <f t="shared" ref="C66:AE66" si="469">+C207</f>
        <v>50.2</v>
      </c>
      <c r="D66" s="146">
        <f t="shared" si="469"/>
        <v>90.8</v>
      </c>
      <c r="E66" s="146">
        <f t="shared" si="469"/>
        <v>97.8</v>
      </c>
      <c r="F66" s="146">
        <f t="shared" si="469"/>
        <v>144.19999999999999</v>
      </c>
      <c r="G66" s="146">
        <f t="shared" si="469"/>
        <v>47.899999999999991</v>
      </c>
      <c r="H66" s="146">
        <f t="shared" si="469"/>
        <v>62.7</v>
      </c>
      <c r="I66" s="146">
        <f t="shared" si="469"/>
        <v>65</v>
      </c>
      <c r="J66" s="146">
        <f t="shared" si="469"/>
        <v>130.4</v>
      </c>
      <c r="K66" s="146">
        <f t="shared" si="469"/>
        <v>33.900000000000006</v>
      </c>
      <c r="L66" s="146">
        <f t="shared" si="469"/>
        <v>61.5</v>
      </c>
      <c r="M66" s="146">
        <f t="shared" si="469"/>
        <v>103.5</v>
      </c>
      <c r="N66" s="146">
        <f t="shared" si="469"/>
        <v>163.6</v>
      </c>
      <c r="O66" s="146">
        <f t="shared" si="469"/>
        <v>59.3</v>
      </c>
      <c r="P66" s="146">
        <f t="shared" si="469"/>
        <v>91.2</v>
      </c>
      <c r="Q66" s="146">
        <f t="shared" si="469"/>
        <v>123.3</v>
      </c>
      <c r="R66" s="146">
        <f t="shared" si="469"/>
        <v>218.1</v>
      </c>
      <c r="S66" s="146">
        <f t="shared" si="469"/>
        <v>80.099999999999994</v>
      </c>
      <c r="T66" s="146">
        <f t="shared" si="469"/>
        <v>137.30000000000001</v>
      </c>
      <c r="U66" s="146">
        <f t="shared" si="469"/>
        <v>154.19999999999999</v>
      </c>
      <c r="V66" s="146">
        <f t="shared" si="469"/>
        <v>199.7</v>
      </c>
      <c r="W66" s="146">
        <f t="shared" si="469"/>
        <v>120.3</v>
      </c>
      <c r="X66" s="146">
        <f t="shared" si="469"/>
        <v>150.80000000000001</v>
      </c>
      <c r="Y66" s="146">
        <f t="shared" si="469"/>
        <v>143.19999999999999</v>
      </c>
      <c r="Z66" s="146">
        <f t="shared" si="469"/>
        <v>376.4</v>
      </c>
      <c r="AA66" s="146">
        <f t="shared" si="469"/>
        <v>332.6</v>
      </c>
      <c r="AB66" s="146">
        <f t="shared" si="469"/>
        <v>274.5</v>
      </c>
      <c r="AC66" s="146">
        <f t="shared" si="469"/>
        <v>310</v>
      </c>
      <c r="AD66" s="146">
        <f t="shared" si="469"/>
        <v>595.9</v>
      </c>
      <c r="AE66" s="146">
        <f t="shared" si="469"/>
        <v>309.5</v>
      </c>
      <c r="AF66" s="146">
        <f t="shared" ref="AF66:AG66" si="470">+AF207</f>
        <v>213.5</v>
      </c>
      <c r="AG66" s="146">
        <f t="shared" si="470"/>
        <v>245.1</v>
      </c>
      <c r="AH66" s="146">
        <f t="shared" ref="AH66:AI66" si="471">+AH207</f>
        <v>334.7</v>
      </c>
      <c r="AI66" s="146">
        <f t="shared" si="471"/>
        <v>258.2</v>
      </c>
      <c r="AJ66" s="146">
        <f t="shared" ref="AJ66:AK66" si="472">+AJ207</f>
        <v>256.8</v>
      </c>
      <c r="AK66" s="146">
        <f t="shared" si="472"/>
        <v>225.9</v>
      </c>
      <c r="AL66" s="146">
        <f t="shared" ref="AL66:AQ66" si="473">+AL207</f>
        <v>291.89999999999998</v>
      </c>
      <c r="AM66" s="2532">
        <f t="shared" si="473"/>
        <v>119.9</v>
      </c>
      <c r="AN66" s="146">
        <f t="shared" si="473"/>
        <v>213.59100000000001</v>
      </c>
      <c r="AO66" s="146">
        <f t="shared" si="473"/>
        <v>42.8218254648745</v>
      </c>
      <c r="AP66" s="146">
        <f t="shared" si="473"/>
        <v>257.8</v>
      </c>
      <c r="AQ66" s="146">
        <f t="shared" si="473"/>
        <v>143.6</v>
      </c>
      <c r="AR66" s="146">
        <f t="shared" ref="AR66:AS66" si="474">+AR207</f>
        <v>165.4</v>
      </c>
      <c r="AS66" s="146">
        <f t="shared" si="474"/>
        <v>80.778000000000006</v>
      </c>
      <c r="AT66" s="146">
        <f t="shared" ref="AT66" si="475">+AT207</f>
        <v>139.55000000000001</v>
      </c>
      <c r="AU66" s="270">
        <f t="shared" ref="AU66:AX66" si="476">+AU207</f>
        <v>102.35337957903252</v>
      </c>
      <c r="AV66" s="270">
        <f t="shared" si="476"/>
        <v>129.60090681772138</v>
      </c>
      <c r="AW66" s="270">
        <f t="shared" si="476"/>
        <v>125.41958520777752</v>
      </c>
      <c r="AX66" s="270">
        <f t="shared" si="476"/>
        <v>158.4391550348239</v>
      </c>
      <c r="AZ66" s="270">
        <v>168.05050474348448</v>
      </c>
      <c r="BD66" s="146">
        <f t="shared" ref="BD66:BP66" si="477">+BD207</f>
        <v>383</v>
      </c>
      <c r="BE66" s="146">
        <f t="shared" si="477"/>
        <v>306</v>
      </c>
      <c r="BF66" s="146">
        <f t="shared" si="477"/>
        <v>362.5</v>
      </c>
      <c r="BG66" s="146">
        <f t="shared" si="477"/>
        <v>491.9</v>
      </c>
      <c r="BH66" s="146">
        <f t="shared" si="477"/>
        <v>571.29999999999995</v>
      </c>
      <c r="BI66" s="146">
        <f t="shared" si="477"/>
        <v>790.7</v>
      </c>
      <c r="BJ66" s="146">
        <f t="shared" si="477"/>
        <v>1513</v>
      </c>
      <c r="BK66" s="146">
        <f t="shared" si="477"/>
        <v>1102.8</v>
      </c>
      <c r="BL66" s="146">
        <f t="shared" si="477"/>
        <v>1032.8</v>
      </c>
      <c r="BM66" s="2532">
        <f t="shared" ref="BM66:BN66" si="478">+BM207</f>
        <v>634.1128254648745</v>
      </c>
      <c r="BN66" s="146">
        <f t="shared" si="478"/>
        <v>529.32799999999997</v>
      </c>
      <c r="BO66" s="146">
        <f t="shared" ref="BO66" si="479">+BO207</f>
        <v>515.81302663935526</v>
      </c>
      <c r="BP66" s="270">
        <f t="shared" si="477"/>
        <v>570.58168301187015</v>
      </c>
      <c r="BQ66" s="270">
        <f t="shared" ref="BQ66:BS66" si="480">+BQ207</f>
        <v>592.5910010605453</v>
      </c>
      <c r="BR66" s="270">
        <f t="shared" si="480"/>
        <v>615.15744569525884</v>
      </c>
      <c r="BS66" s="270">
        <f t="shared" si="480"/>
        <v>636.89989883449232</v>
      </c>
    </row>
    <row r="67" spans="2:71">
      <c r="B67" s="102" t="s">
        <v>489</v>
      </c>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146"/>
      <c r="AH67" s="146"/>
      <c r="AI67" s="146"/>
      <c r="AJ67" s="146"/>
      <c r="AK67" s="146"/>
      <c r="AL67" s="1504">
        <f>+Resumo!$J$120</f>
        <v>11617</v>
      </c>
      <c r="AM67" s="2533">
        <v>260</v>
      </c>
      <c r="AN67" s="1504"/>
      <c r="AO67" s="270"/>
      <c r="AP67" s="270"/>
      <c r="AQ67" s="270"/>
      <c r="AR67" s="270"/>
      <c r="AS67" s="270"/>
      <c r="AT67" s="270"/>
      <c r="AU67" s="270"/>
      <c r="AV67" s="270"/>
      <c r="AW67" s="270"/>
      <c r="AX67" s="270"/>
      <c r="AZ67" s="1504"/>
      <c r="BD67" s="146"/>
      <c r="BE67" s="146"/>
      <c r="BF67" s="146"/>
      <c r="BG67" s="146"/>
      <c r="BH67" s="146"/>
      <c r="BI67" s="324">
        <f>+SUM(W67:Z67)</f>
        <v>0</v>
      </c>
      <c r="BJ67" s="324">
        <f>+SUM(AA67:AD67)</f>
        <v>0</v>
      </c>
      <c r="BK67" s="324">
        <f>+SUM(AE67:AH67)</f>
        <v>0</v>
      </c>
      <c r="BL67" s="324">
        <f>+SUM(AI67:AK67)</f>
        <v>0</v>
      </c>
      <c r="BM67" s="2522">
        <f>+SUM(AM67:AP67)</f>
        <v>260</v>
      </c>
      <c r="BN67" s="324">
        <f>+SUM(AQ67:AT67)</f>
        <v>0</v>
      </c>
      <c r="BO67" s="324">
        <f>+SUM(AU67:AX67)</f>
        <v>0</v>
      </c>
      <c r="BP67" s="1504">
        <f>+BO67*(1+MACRO!BP5)</f>
        <v>0</v>
      </c>
      <c r="BQ67" s="1504">
        <f>+BP67*(1+MACRO!BQ5)</f>
        <v>0</v>
      </c>
      <c r="BR67" s="270"/>
      <c r="BS67" s="270"/>
    </row>
    <row r="68" spans="2:71">
      <c r="B68" s="121" t="s">
        <v>490</v>
      </c>
      <c r="C68" s="147" t="e">
        <f t="shared" ref="C68:AE68" si="481">C62+C63+C64-C65-C66+C67</f>
        <v>#REF!</v>
      </c>
      <c r="D68" s="147" t="e">
        <f t="shared" si="481"/>
        <v>#REF!</v>
      </c>
      <c r="E68" s="147" t="e">
        <f t="shared" si="481"/>
        <v>#REF!</v>
      </c>
      <c r="F68" s="147" t="e">
        <f t="shared" si="481"/>
        <v>#REF!</v>
      </c>
      <c r="G68" s="147" t="e">
        <f t="shared" si="481"/>
        <v>#REF!</v>
      </c>
      <c r="H68" s="147" t="e">
        <f t="shared" si="481"/>
        <v>#REF!</v>
      </c>
      <c r="I68" s="147" t="e">
        <f t="shared" si="481"/>
        <v>#REF!</v>
      </c>
      <c r="J68" s="147" t="e">
        <f t="shared" si="481"/>
        <v>#REF!</v>
      </c>
      <c r="K68" s="147" t="e">
        <f t="shared" si="481"/>
        <v>#REF!</v>
      </c>
      <c r="L68" s="147" t="e">
        <f t="shared" si="481"/>
        <v>#REF!</v>
      </c>
      <c r="M68" s="147" t="e">
        <f t="shared" si="481"/>
        <v>#REF!</v>
      </c>
      <c r="N68" s="147" t="e">
        <f t="shared" si="481"/>
        <v>#REF!</v>
      </c>
      <c r="O68" s="147" t="e">
        <f t="shared" si="481"/>
        <v>#REF!</v>
      </c>
      <c r="P68" s="147" t="e">
        <f t="shared" si="481"/>
        <v>#REF!</v>
      </c>
      <c r="Q68" s="147" t="e">
        <f t="shared" si="481"/>
        <v>#REF!</v>
      </c>
      <c r="R68" s="147" t="e">
        <f t="shared" si="481"/>
        <v>#REF!</v>
      </c>
      <c r="S68" s="147" t="e">
        <f t="shared" si="481"/>
        <v>#REF!</v>
      </c>
      <c r="T68" s="147" t="e">
        <f t="shared" si="481"/>
        <v>#REF!</v>
      </c>
      <c r="U68" s="147" t="e">
        <f t="shared" si="481"/>
        <v>#REF!</v>
      </c>
      <c r="V68" s="147" t="e">
        <f t="shared" si="481"/>
        <v>#REF!</v>
      </c>
      <c r="W68" s="147" t="e">
        <f t="shared" si="481"/>
        <v>#REF!</v>
      </c>
      <c r="X68" s="147" t="e">
        <f t="shared" si="481"/>
        <v>#REF!</v>
      </c>
      <c r="Y68" s="147" t="e">
        <f t="shared" si="481"/>
        <v>#REF!</v>
      </c>
      <c r="Z68" s="147" t="e">
        <f t="shared" si="481"/>
        <v>#REF!</v>
      </c>
      <c r="AA68" s="147" t="e">
        <f t="shared" si="481"/>
        <v>#REF!</v>
      </c>
      <c r="AB68" s="147" t="e">
        <f t="shared" si="481"/>
        <v>#REF!</v>
      </c>
      <c r="AC68" s="147" t="e">
        <f t="shared" si="481"/>
        <v>#REF!</v>
      </c>
      <c r="AD68" s="147" t="e">
        <f t="shared" si="481"/>
        <v>#REF!</v>
      </c>
      <c r="AE68" s="147" t="e">
        <f t="shared" si="481"/>
        <v>#REF!</v>
      </c>
      <c r="AF68" s="147" t="e">
        <f t="shared" ref="AF68:AJ68" si="482">AF62+AF63+AF64-AF65-AF66+AF67</f>
        <v>#REF!</v>
      </c>
      <c r="AG68" s="147" t="e">
        <f t="shared" si="482"/>
        <v>#REF!</v>
      </c>
      <c r="AH68" s="147" t="e">
        <f t="shared" si="482"/>
        <v>#REF!</v>
      </c>
      <c r="AI68" s="147" t="e">
        <f t="shared" si="482"/>
        <v>#REF!</v>
      </c>
      <c r="AJ68" s="147" t="e">
        <f t="shared" si="482"/>
        <v>#REF!</v>
      </c>
      <c r="AK68" s="147" t="e">
        <f t="shared" ref="AK68:AL68" si="483">AK62+AK63+AK64-AK65-AK66+AK67</f>
        <v>#REF!</v>
      </c>
      <c r="AL68" s="147" t="e">
        <f t="shared" si="483"/>
        <v>#REF!</v>
      </c>
      <c r="AM68" s="2534">
        <f t="shared" ref="AM68:AQ68" si="484">AM62+AM63+AM64-AM65-AM66+AM67</f>
        <v>-112.21699999999726</v>
      </c>
      <c r="AN68" s="147">
        <f t="shared" si="484"/>
        <v>-455.58306000000118</v>
      </c>
      <c r="AO68" s="147">
        <f t="shared" si="484"/>
        <v>62.760459763035847</v>
      </c>
      <c r="AP68" s="147">
        <f t="shared" si="484"/>
        <v>208.71202500000021</v>
      </c>
      <c r="AQ68" s="147">
        <f t="shared" si="484"/>
        <v>266.86421423151035</v>
      </c>
      <c r="AR68" s="147">
        <f t="shared" ref="AR68:AS68" si="485">AR62+AR63+AR64-AR65-AR66+AR67</f>
        <v>-279.30700000000002</v>
      </c>
      <c r="AS68" s="147">
        <f t="shared" si="485"/>
        <v>-267.02103999999866</v>
      </c>
      <c r="AT68" s="147">
        <f t="shared" ref="AT68" si="486">AT62+AT63+AT64-AT65-AT66+AT67</f>
        <v>-453.61544829824396</v>
      </c>
      <c r="AU68" s="687">
        <f t="shared" ref="AU68:AX68" si="487">AU62+AU63+AU64-AU65-AU66+AU67</f>
        <v>847.42814516932685</v>
      </c>
      <c r="AV68" s="687">
        <f t="shared" si="487"/>
        <v>128.25533794671671</v>
      </c>
      <c r="AW68" s="687">
        <f t="shared" si="487"/>
        <v>38.66778264838257</v>
      </c>
      <c r="AX68" s="687">
        <f t="shared" si="487"/>
        <v>92.466621372177542</v>
      </c>
      <c r="AZ68" s="687">
        <v>183.38587077575923</v>
      </c>
      <c r="BD68" s="147" t="e">
        <f t="shared" ref="BD68:BP68" si="488">BD62+BD63+BD64-BD65-BD66+BD67</f>
        <v>#REF!</v>
      </c>
      <c r="BE68" s="147" t="e">
        <f t="shared" si="488"/>
        <v>#REF!</v>
      </c>
      <c r="BF68" s="147" t="e">
        <f t="shared" si="488"/>
        <v>#REF!</v>
      </c>
      <c r="BG68" s="147" t="e">
        <f t="shared" si="488"/>
        <v>#REF!</v>
      </c>
      <c r="BH68" s="147" t="e">
        <f t="shared" si="488"/>
        <v>#REF!</v>
      </c>
      <c r="BI68" s="147" t="e">
        <f t="shared" si="488"/>
        <v>#REF!</v>
      </c>
      <c r="BJ68" s="147" t="e">
        <f t="shared" si="488"/>
        <v>#REF!</v>
      </c>
      <c r="BK68" s="147" t="e">
        <f t="shared" si="488"/>
        <v>#REF!</v>
      </c>
      <c r="BL68" s="147" t="e">
        <f>BL62+BL63+BL64-BL65-BL66+BL67</f>
        <v>#REF!</v>
      </c>
      <c r="BM68" s="2534">
        <f>BM62+BM63+BM64-BM65-BM66+BM67</f>
        <v>-296.3275752369625</v>
      </c>
      <c r="BN68" s="147">
        <f>BN62+BN63+BN64-BN65-BN66+BN67</f>
        <v>-733.07927406673002</v>
      </c>
      <c r="BO68" s="147">
        <f>BO62+BO63+BO64-BO65-BO66+BO67</f>
        <v>1106.8178871366033</v>
      </c>
      <c r="BP68" s="687">
        <f t="shared" si="488"/>
        <v>1263.7786680470881</v>
      </c>
      <c r="BQ68" s="687">
        <f t="shared" ref="BQ68:BS68" si="489">BQ62+BQ63+BQ64-BQ65-BQ66+BQ67</f>
        <v>1172.0041932157137</v>
      </c>
      <c r="BR68" s="687">
        <f t="shared" si="489"/>
        <v>1190.0232245080156</v>
      </c>
      <c r="BS68" s="687">
        <f t="shared" si="489"/>
        <v>1230.988137589306</v>
      </c>
    </row>
    <row r="69" spans="2:71">
      <c r="B69" s="102" t="s">
        <v>491</v>
      </c>
      <c r="C69" s="145" t="e">
        <f t="shared" ref="C69:AE69" si="490">C165-B165</f>
        <v>#VALUE!</v>
      </c>
      <c r="D69" s="145">
        <f t="shared" si="490"/>
        <v>-338.49899999999991</v>
      </c>
      <c r="E69" s="145">
        <f t="shared" si="490"/>
        <v>250.91899999999976</v>
      </c>
      <c r="F69" s="145">
        <f t="shared" si="490"/>
        <v>95.795000000000073</v>
      </c>
      <c r="G69" s="145">
        <f t="shared" si="490"/>
        <v>-308.51900000000001</v>
      </c>
      <c r="H69" s="145">
        <f t="shared" si="490"/>
        <v>-576.12099999999998</v>
      </c>
      <c r="I69" s="145">
        <f t="shared" si="490"/>
        <v>-105.06799999999993</v>
      </c>
      <c r="J69" s="145">
        <f t="shared" si="490"/>
        <v>28.853999999999985</v>
      </c>
      <c r="K69" s="145">
        <f t="shared" si="490"/>
        <v>-114.27300000000014</v>
      </c>
      <c r="L69" s="145">
        <f t="shared" si="490"/>
        <v>162.44799999999998</v>
      </c>
      <c r="M69" s="145">
        <f t="shared" si="490"/>
        <v>3.0650000000000546</v>
      </c>
      <c r="N69" s="145">
        <f t="shared" si="490"/>
        <v>-30.416999999999916</v>
      </c>
      <c r="O69" s="145">
        <f t="shared" si="490"/>
        <v>-75.839999999999918</v>
      </c>
      <c r="P69" s="145">
        <f t="shared" si="490"/>
        <v>444.97700000000009</v>
      </c>
      <c r="Q69" s="145">
        <f t="shared" si="490"/>
        <v>314.68999999999994</v>
      </c>
      <c r="R69" s="145">
        <f t="shared" si="490"/>
        <v>-60.469000000000165</v>
      </c>
      <c r="S69" s="145">
        <f t="shared" si="490"/>
        <v>117.36000000000013</v>
      </c>
      <c r="T69" s="145">
        <f t="shared" si="490"/>
        <v>48.568999999999733</v>
      </c>
      <c r="U69" s="145">
        <f t="shared" si="490"/>
        <v>175.70600000000036</v>
      </c>
      <c r="V69" s="145">
        <f t="shared" si="490"/>
        <v>335.92399999999998</v>
      </c>
      <c r="W69" s="145">
        <f t="shared" si="490"/>
        <v>784.74400000000014</v>
      </c>
      <c r="X69" s="145">
        <f t="shared" si="490"/>
        <v>540.89999999999964</v>
      </c>
      <c r="Y69" s="145">
        <f t="shared" si="490"/>
        <v>-380.69999999999982</v>
      </c>
      <c r="Z69" s="145">
        <f t="shared" si="490"/>
        <v>-998.79999999999973</v>
      </c>
      <c r="AA69" s="145">
        <f t="shared" si="490"/>
        <v>402</v>
      </c>
      <c r="AB69" s="145">
        <f t="shared" si="490"/>
        <v>-1523.8000000000006</v>
      </c>
      <c r="AC69" s="145">
        <f t="shared" si="490"/>
        <v>-185.09999999999991</v>
      </c>
      <c r="AD69" s="145">
        <f t="shared" si="490"/>
        <v>533.70000000000118</v>
      </c>
      <c r="AE69" s="145">
        <f t="shared" si="490"/>
        <v>-1129.6000000000017</v>
      </c>
      <c r="AF69" s="145">
        <f t="shared" ref="AF69:AJ69" si="491">AF165-AE165</f>
        <v>226.90000000000055</v>
      </c>
      <c r="AG69" s="145">
        <f t="shared" si="491"/>
        <v>-323.29999999999927</v>
      </c>
      <c r="AH69" s="145">
        <f t="shared" si="491"/>
        <v>-360.70000000000027</v>
      </c>
      <c r="AI69" s="145">
        <f t="shared" si="491"/>
        <v>1123.9000000000001</v>
      </c>
      <c r="AJ69" s="145">
        <f t="shared" si="491"/>
        <v>-95.400000000000546</v>
      </c>
      <c r="AK69" s="145">
        <f t="shared" ref="AK69" si="492">AK165-AJ165</f>
        <v>262.79999999999973</v>
      </c>
      <c r="AL69" s="145">
        <f t="shared" ref="AL69" si="493">AL165-AK165</f>
        <v>217.40000000000055</v>
      </c>
      <c r="AM69" s="2527">
        <f t="shared" ref="AM69" si="494">AM165-AL165</f>
        <v>2134.6970000000001</v>
      </c>
      <c r="AN69" s="145">
        <f t="shared" ref="AN69" si="495">AN165-AM165</f>
        <v>203.44800000000032</v>
      </c>
      <c r="AO69" s="145">
        <f t="shared" ref="AO69" si="496">AO165-AN165</f>
        <v>-274.83500000000049</v>
      </c>
      <c r="AP69" s="145">
        <f t="shared" ref="AP69" si="497">AP165-AO165</f>
        <v>-231.72097500000018</v>
      </c>
      <c r="AQ69" s="145">
        <f t="shared" ref="AQ69" si="498">AQ165-AP165</f>
        <v>401.96697499999982</v>
      </c>
      <c r="AR69" s="145">
        <f t="shared" ref="AR69" si="499">AR165-AQ165</f>
        <v>546.62900000000036</v>
      </c>
      <c r="AS69" s="145">
        <f t="shared" ref="AS69:AT69" si="500">AS165-AR165</f>
        <v>-3053.0389999999998</v>
      </c>
      <c r="AT69" s="145">
        <f t="shared" si="500"/>
        <v>-1492.9960000000001</v>
      </c>
      <c r="AU69" s="686">
        <f t="shared" ref="AU69" si="501">AU165-AT165</f>
        <v>102.69012136162678</v>
      </c>
      <c r="AV69" s="686">
        <f t="shared" ref="AV69" si="502">AV165-AU165</f>
        <v>-22.780827978106799</v>
      </c>
      <c r="AW69" s="686">
        <f t="shared" ref="AW69" si="503">AW165-AV165</f>
        <v>51.831102538049663</v>
      </c>
      <c r="AX69" s="686">
        <f t="shared" ref="AX69" si="504">AX165-AW165</f>
        <v>-40.662384202815929</v>
      </c>
      <c r="AZ69" s="686">
        <v>-529.16349911389716</v>
      </c>
      <c r="BD69" s="145">
        <f>BD165-BB165</f>
        <v>941.56999999999994</v>
      </c>
      <c r="BE69" s="145">
        <f t="shared" ref="BE69:BP69" si="505">BE165-BD165</f>
        <v>-960.85399999999993</v>
      </c>
      <c r="BF69" s="145">
        <f t="shared" si="505"/>
        <v>20.822999999999979</v>
      </c>
      <c r="BG69" s="145">
        <f t="shared" si="505"/>
        <v>623.35799999999995</v>
      </c>
      <c r="BH69" s="145">
        <f t="shared" si="505"/>
        <v>677.5590000000002</v>
      </c>
      <c r="BI69" s="145">
        <f t="shared" si="505"/>
        <v>-53.855999999999767</v>
      </c>
      <c r="BJ69" s="145">
        <f t="shared" si="505"/>
        <v>-773.19999999999936</v>
      </c>
      <c r="BK69" s="145">
        <f t="shared" si="505"/>
        <v>-1586.7000000000007</v>
      </c>
      <c r="BL69" s="145">
        <f t="shared" si="505"/>
        <v>1508.6999999999998</v>
      </c>
      <c r="BM69" s="2527">
        <f t="shared" si="505"/>
        <v>1831.5890249999998</v>
      </c>
      <c r="BN69" s="145">
        <f t="shared" si="505"/>
        <v>-3597.4390249999997</v>
      </c>
      <c r="BO69" s="145">
        <f t="shared" si="505"/>
        <v>91.078011718753714</v>
      </c>
      <c r="BP69" s="686">
        <f t="shared" si="505"/>
        <v>71.820742079991078</v>
      </c>
      <c r="BQ69" s="686">
        <f t="shared" ref="BQ69" si="506">BQ165-BP165</f>
        <v>-9.7438728782346971</v>
      </c>
      <c r="BR69" s="686">
        <f t="shared" ref="BR69" si="507">BR165-BQ165</f>
        <v>-8.7973326019480282</v>
      </c>
      <c r="BS69" s="686">
        <f t="shared" ref="BS69" si="508">BS165-BR165</f>
        <v>-9.1053944537072766</v>
      </c>
    </row>
    <row r="70" spans="2:71">
      <c r="B70" s="102" t="s">
        <v>492</v>
      </c>
      <c r="C70" s="145">
        <f t="shared" ref="C70:AF70" si="509">C19</f>
        <v>8.5</v>
      </c>
      <c r="D70" s="145">
        <f t="shared" si="509"/>
        <v>9.9</v>
      </c>
      <c r="E70" s="145">
        <f t="shared" si="509"/>
        <v>36.6</v>
      </c>
      <c r="F70" s="145">
        <f t="shared" si="509"/>
        <v>10.8</v>
      </c>
      <c r="G70" s="145">
        <f t="shared" si="509"/>
        <v>7.7405845346991047</v>
      </c>
      <c r="H70" s="145">
        <f t="shared" si="509"/>
        <v>-4.4156492948109216</v>
      </c>
      <c r="I70" s="145">
        <f t="shared" si="509"/>
        <v>7.5</v>
      </c>
      <c r="J70" s="145">
        <f t="shared" si="509"/>
        <v>43.561688238603764</v>
      </c>
      <c r="K70" s="145">
        <f t="shared" si="509"/>
        <v>180.06242820148304</v>
      </c>
      <c r="L70" s="145">
        <f t="shared" si="509"/>
        <v>-22.649430813208348</v>
      </c>
      <c r="M70" s="145">
        <f t="shared" si="509"/>
        <v>60.302308694357258</v>
      </c>
      <c r="N70" s="145">
        <f t="shared" si="509"/>
        <v>-77.508838281376541</v>
      </c>
      <c r="O70" s="145">
        <f t="shared" si="509"/>
        <v>-29.289171706378802</v>
      </c>
      <c r="P70" s="145">
        <f t="shared" si="509"/>
        <v>-62.248851950517228</v>
      </c>
      <c r="Q70" s="145">
        <f t="shared" si="509"/>
        <v>-11.561233760966523</v>
      </c>
      <c r="R70" s="145">
        <f t="shared" si="509"/>
        <v>-38.537006795890868</v>
      </c>
      <c r="S70" s="145">
        <f t="shared" si="509"/>
        <v>-24.3</v>
      </c>
      <c r="T70" s="145">
        <f t="shared" si="509"/>
        <v>-27.700000000000003</v>
      </c>
      <c r="U70" s="145">
        <f t="shared" si="509"/>
        <v>-58.199999999999996</v>
      </c>
      <c r="V70" s="145">
        <f t="shared" si="509"/>
        <v>-93</v>
      </c>
      <c r="W70" s="145">
        <f t="shared" si="509"/>
        <v>-368.70000000000005</v>
      </c>
      <c r="X70" s="145">
        <f t="shared" si="509"/>
        <v>-19.399999999999999</v>
      </c>
      <c r="Y70" s="145">
        <f t="shared" si="509"/>
        <v>-228.7</v>
      </c>
      <c r="Z70" s="145">
        <f t="shared" si="509"/>
        <v>-277.10000000000002</v>
      </c>
      <c r="AA70" s="145">
        <f t="shared" si="509"/>
        <v>-236.3</v>
      </c>
      <c r="AB70" s="145">
        <f t="shared" si="509"/>
        <v>-350.3</v>
      </c>
      <c r="AC70" s="145">
        <f t="shared" si="509"/>
        <v>-2.8000000000000114</v>
      </c>
      <c r="AD70" s="145">
        <f t="shared" si="509"/>
        <v>-212.2</v>
      </c>
      <c r="AE70" s="145">
        <f t="shared" si="509"/>
        <v>-168.6</v>
      </c>
      <c r="AF70" s="145">
        <f t="shared" si="509"/>
        <v>-276.70000000000005</v>
      </c>
      <c r="AG70" s="145">
        <f t="shared" ref="AG70:AY70" si="510">+AG40</f>
        <v>-75.5</v>
      </c>
      <c r="AH70" s="145">
        <f t="shared" si="510"/>
        <v>-199.2</v>
      </c>
      <c r="AI70" s="145">
        <f t="shared" si="510"/>
        <v>-120.5</v>
      </c>
      <c r="AJ70" s="145">
        <f t="shared" si="510"/>
        <v>-99.1</v>
      </c>
      <c r="AK70" s="145">
        <f t="shared" si="510"/>
        <v>7175.5919999999996</v>
      </c>
      <c r="AL70" s="145">
        <f t="shared" si="510"/>
        <v>-1031.5</v>
      </c>
      <c r="AM70" s="2527">
        <f t="shared" si="510"/>
        <v>-1073.7</v>
      </c>
      <c r="AN70" s="145">
        <f t="shared" si="510"/>
        <v>13.8</v>
      </c>
      <c r="AO70" s="145">
        <f t="shared" si="510"/>
        <v>-6995.4</v>
      </c>
      <c r="AP70" s="145">
        <f t="shared" si="510"/>
        <v>-108.1</v>
      </c>
      <c r="AQ70" s="145">
        <f t="shared" si="510"/>
        <v>-101.69999999999999</v>
      </c>
      <c r="AR70" s="145">
        <f t="shared" si="510"/>
        <v>-249.7</v>
      </c>
      <c r="AS70" s="145">
        <f t="shared" si="510"/>
        <v>-1807</v>
      </c>
      <c r="AT70" s="145">
        <f t="shared" ref="AT70" si="511">+AT40</f>
        <v>-507</v>
      </c>
      <c r="AU70" s="686">
        <f t="shared" si="510"/>
        <v>0</v>
      </c>
      <c r="AV70" s="686">
        <f t="shared" si="510"/>
        <v>0</v>
      </c>
      <c r="AW70" s="686">
        <f t="shared" si="510"/>
        <v>0</v>
      </c>
      <c r="AX70" s="686">
        <f t="shared" si="510"/>
        <v>0</v>
      </c>
      <c r="AY70">
        <f t="shared" si="510"/>
        <v>0</v>
      </c>
      <c r="AZ70" s="686">
        <v>0</v>
      </c>
      <c r="BA70" s="1067">
        <f>+BA40</f>
        <v>0</v>
      </c>
      <c r="BB70">
        <f>+BB40</f>
        <v>0</v>
      </c>
      <c r="BD70" s="145">
        <f t="shared" ref="BD70:BS70" si="512">+BD40</f>
        <v>0</v>
      </c>
      <c r="BE70" s="145">
        <f t="shared" si="512"/>
        <v>0</v>
      </c>
      <c r="BF70" s="145">
        <f t="shared" si="512"/>
        <v>0</v>
      </c>
      <c r="BG70" s="145">
        <f t="shared" si="512"/>
        <v>0</v>
      </c>
      <c r="BH70" s="145">
        <f t="shared" si="512"/>
        <v>0</v>
      </c>
      <c r="BI70" s="145">
        <f t="shared" si="512"/>
        <v>-143.10000000000002</v>
      </c>
      <c r="BJ70" s="145">
        <f t="shared" si="512"/>
        <v>-98.6</v>
      </c>
      <c r="BK70" s="145">
        <f t="shared" si="512"/>
        <v>-380.4</v>
      </c>
      <c r="BL70" s="145">
        <f t="shared" si="512"/>
        <v>5924.4919999999993</v>
      </c>
      <c r="BM70" s="2527">
        <f t="shared" si="512"/>
        <v>-8163.4</v>
      </c>
      <c r="BN70" s="145">
        <f t="shared" si="512"/>
        <v>-2665.4</v>
      </c>
      <c r="BO70" s="145">
        <f t="shared" si="512"/>
        <v>0</v>
      </c>
      <c r="BP70" s="686">
        <f t="shared" si="512"/>
        <v>0</v>
      </c>
      <c r="BQ70" s="686">
        <f t="shared" si="512"/>
        <v>0</v>
      </c>
      <c r="BR70" s="686">
        <f t="shared" si="512"/>
        <v>0</v>
      </c>
      <c r="BS70" s="686">
        <f t="shared" si="512"/>
        <v>0</v>
      </c>
    </row>
    <row r="71" spans="2:71">
      <c r="B71" s="102" t="s">
        <v>493</v>
      </c>
      <c r="C71" s="145" t="e">
        <f t="shared" ref="C71:AX71" si="513">C26-C57</f>
        <v>#REF!</v>
      </c>
      <c r="D71" s="145" t="e">
        <f t="shared" si="513"/>
        <v>#REF!</v>
      </c>
      <c r="E71" s="145" t="e">
        <f t="shared" si="513"/>
        <v>#REF!</v>
      </c>
      <c r="F71" s="145" t="e">
        <f t="shared" si="513"/>
        <v>#REF!</v>
      </c>
      <c r="G71" s="145" t="e">
        <f t="shared" si="513"/>
        <v>#REF!</v>
      </c>
      <c r="H71" s="145" t="e">
        <f t="shared" si="513"/>
        <v>#REF!</v>
      </c>
      <c r="I71" s="145" t="e">
        <f t="shared" si="513"/>
        <v>#REF!</v>
      </c>
      <c r="J71" s="145" t="e">
        <f t="shared" si="513"/>
        <v>#REF!</v>
      </c>
      <c r="K71" s="145" t="e">
        <f t="shared" si="513"/>
        <v>#REF!</v>
      </c>
      <c r="L71" s="145" t="e">
        <f t="shared" si="513"/>
        <v>#REF!</v>
      </c>
      <c r="M71" s="145" t="e">
        <f t="shared" si="513"/>
        <v>#REF!</v>
      </c>
      <c r="N71" s="145" t="e">
        <f t="shared" si="513"/>
        <v>#REF!</v>
      </c>
      <c r="O71" s="145" t="e">
        <f t="shared" si="513"/>
        <v>#REF!</v>
      </c>
      <c r="P71" s="145" t="e">
        <f t="shared" si="513"/>
        <v>#REF!</v>
      </c>
      <c r="Q71" s="145" t="e">
        <f t="shared" si="513"/>
        <v>#REF!</v>
      </c>
      <c r="R71" s="145" t="e">
        <f t="shared" si="513"/>
        <v>#REF!</v>
      </c>
      <c r="S71" s="145" t="e">
        <f t="shared" si="513"/>
        <v>#REF!</v>
      </c>
      <c r="T71" s="145" t="e">
        <f t="shared" si="513"/>
        <v>#REF!</v>
      </c>
      <c r="U71" s="145" t="e">
        <f t="shared" si="513"/>
        <v>#REF!</v>
      </c>
      <c r="V71" s="145" t="e">
        <f t="shared" si="513"/>
        <v>#REF!</v>
      </c>
      <c r="W71" s="145" t="e">
        <f t="shared" si="513"/>
        <v>#REF!</v>
      </c>
      <c r="X71" s="145" t="e">
        <f t="shared" si="513"/>
        <v>#REF!</v>
      </c>
      <c r="Y71" s="145" t="e">
        <f t="shared" si="513"/>
        <v>#REF!</v>
      </c>
      <c r="Z71" s="145" t="e">
        <f t="shared" si="513"/>
        <v>#REF!</v>
      </c>
      <c r="AA71" s="145" t="e">
        <f t="shared" si="513"/>
        <v>#REF!</v>
      </c>
      <c r="AB71" s="145" t="e">
        <f t="shared" si="513"/>
        <v>#REF!</v>
      </c>
      <c r="AC71" s="145" t="e">
        <f t="shared" si="513"/>
        <v>#REF!</v>
      </c>
      <c r="AD71" s="145" t="e">
        <f t="shared" si="513"/>
        <v>#REF!</v>
      </c>
      <c r="AE71" s="145" t="e">
        <f t="shared" si="513"/>
        <v>#REF!</v>
      </c>
      <c r="AF71" s="145" t="e">
        <f t="shared" si="513"/>
        <v>#REF!</v>
      </c>
      <c r="AG71" s="145" t="e">
        <f t="shared" si="513"/>
        <v>#REF!</v>
      </c>
      <c r="AH71" s="145" t="e">
        <f t="shared" si="513"/>
        <v>#REF!</v>
      </c>
      <c r="AI71" s="145" t="e">
        <f t="shared" si="513"/>
        <v>#REF!</v>
      </c>
      <c r="AJ71" s="145" t="e">
        <f t="shared" si="513"/>
        <v>#REF!</v>
      </c>
      <c r="AK71" s="145" t="e">
        <f t="shared" si="513"/>
        <v>#REF!</v>
      </c>
      <c r="AL71" s="145" t="e">
        <f t="shared" si="513"/>
        <v>#REF!</v>
      </c>
      <c r="AM71" s="2527">
        <f t="shared" si="513"/>
        <v>-51.059000000000012</v>
      </c>
      <c r="AN71" s="145">
        <f t="shared" si="513"/>
        <v>-369.53700000000003</v>
      </c>
      <c r="AO71" s="145">
        <f t="shared" si="513"/>
        <v>-148.68700000000001</v>
      </c>
      <c r="AP71" s="145">
        <f t="shared" si="513"/>
        <v>-46.900000000000006</v>
      </c>
      <c r="AQ71" s="145">
        <f t="shared" si="513"/>
        <v>-319.09999999999997</v>
      </c>
      <c r="AR71" s="145">
        <f t="shared" si="513"/>
        <v>43.599999999999952</v>
      </c>
      <c r="AS71" s="145">
        <f t="shared" si="513"/>
        <v>-396.05600000000004</v>
      </c>
      <c r="AT71" s="145">
        <f t="shared" ref="AT71" si="514">AT26-AT57</f>
        <v>-99.776593487509473</v>
      </c>
      <c r="AU71" s="686">
        <f t="shared" si="513"/>
        <v>-158.56761202417067</v>
      </c>
      <c r="AV71" s="686">
        <f t="shared" si="513"/>
        <v>-142.29210117894345</v>
      </c>
      <c r="AW71" s="686">
        <f t="shared" si="513"/>
        <v>-136.42090719219419</v>
      </c>
      <c r="AX71" s="686">
        <f t="shared" si="513"/>
        <v>-132.47051999032999</v>
      </c>
      <c r="AZ71" s="686">
        <v>-181.19238421288833</v>
      </c>
      <c r="BD71" s="145" t="e">
        <f t="shared" ref="BD71:BS71" si="515">BD26-BD57</f>
        <v>#REF!</v>
      </c>
      <c r="BE71" s="145" t="e">
        <f t="shared" si="515"/>
        <v>#REF!</v>
      </c>
      <c r="BF71" s="145" t="e">
        <f t="shared" si="515"/>
        <v>#REF!</v>
      </c>
      <c r="BG71" s="145" t="e">
        <f t="shared" si="515"/>
        <v>#REF!</v>
      </c>
      <c r="BH71" s="145" t="e">
        <f t="shared" si="515"/>
        <v>#REF!</v>
      </c>
      <c r="BI71" s="145" t="e">
        <f t="shared" si="515"/>
        <v>#REF!</v>
      </c>
      <c r="BJ71" s="145" t="e">
        <f t="shared" si="515"/>
        <v>#REF!</v>
      </c>
      <c r="BK71" s="145" t="e">
        <f t="shared" si="515"/>
        <v>#REF!</v>
      </c>
      <c r="BL71" s="145" t="e">
        <f t="shared" si="515"/>
        <v>#REF!</v>
      </c>
      <c r="BM71" s="2527">
        <f t="shared" si="515"/>
        <v>-616.18300000000011</v>
      </c>
      <c r="BN71" s="145">
        <f t="shared" si="515"/>
        <v>-771.3325934875096</v>
      </c>
      <c r="BO71" s="145">
        <f t="shared" si="515"/>
        <v>-569.75114038563822</v>
      </c>
      <c r="BP71" s="686">
        <f t="shared" si="515"/>
        <v>-516.5059688779811</v>
      </c>
      <c r="BQ71" s="686">
        <f t="shared" si="515"/>
        <v>-437.35830385172335</v>
      </c>
      <c r="BR71" s="686">
        <f t="shared" si="515"/>
        <v>-314.04344148774999</v>
      </c>
      <c r="BS71" s="686">
        <f t="shared" si="515"/>
        <v>-234.18451796151277</v>
      </c>
    </row>
    <row r="72" spans="2:71">
      <c r="B72" s="103" t="s">
        <v>494</v>
      </c>
      <c r="C72" s="145" t="e">
        <f t="shared" ref="C72:AX72" si="516">+C34-C59</f>
        <v>#REF!</v>
      </c>
      <c r="D72" s="145" t="e">
        <f t="shared" si="516"/>
        <v>#REF!</v>
      </c>
      <c r="E72" s="145" t="e">
        <f t="shared" si="516"/>
        <v>#REF!</v>
      </c>
      <c r="F72" s="145" t="e">
        <f t="shared" si="516"/>
        <v>#REF!</v>
      </c>
      <c r="G72" s="145" t="e">
        <f t="shared" si="516"/>
        <v>#REF!</v>
      </c>
      <c r="H72" s="145" t="e">
        <f t="shared" si="516"/>
        <v>#REF!</v>
      </c>
      <c r="I72" s="145" t="e">
        <f t="shared" si="516"/>
        <v>#REF!</v>
      </c>
      <c r="J72" s="145" t="e">
        <f t="shared" si="516"/>
        <v>#REF!</v>
      </c>
      <c r="K72" s="145" t="e">
        <f t="shared" si="516"/>
        <v>#REF!</v>
      </c>
      <c r="L72" s="145" t="e">
        <f t="shared" si="516"/>
        <v>#REF!</v>
      </c>
      <c r="M72" s="145" t="e">
        <f t="shared" si="516"/>
        <v>#REF!</v>
      </c>
      <c r="N72" s="145" t="e">
        <f t="shared" si="516"/>
        <v>#REF!</v>
      </c>
      <c r="O72" s="145" t="e">
        <f t="shared" si="516"/>
        <v>#REF!</v>
      </c>
      <c r="P72" s="145" t="e">
        <f t="shared" si="516"/>
        <v>#REF!</v>
      </c>
      <c r="Q72" s="145" t="e">
        <f t="shared" si="516"/>
        <v>#REF!</v>
      </c>
      <c r="R72" s="145" t="e">
        <f t="shared" si="516"/>
        <v>#REF!</v>
      </c>
      <c r="S72" s="145" t="e">
        <f t="shared" si="516"/>
        <v>#REF!</v>
      </c>
      <c r="T72" s="145" t="e">
        <f t="shared" si="516"/>
        <v>#REF!</v>
      </c>
      <c r="U72" s="145" t="e">
        <f t="shared" si="516"/>
        <v>#REF!</v>
      </c>
      <c r="V72" s="145" t="e">
        <f t="shared" si="516"/>
        <v>#REF!</v>
      </c>
      <c r="W72" s="145" t="e">
        <f t="shared" si="516"/>
        <v>#REF!</v>
      </c>
      <c r="X72" s="145" t="e">
        <f t="shared" si="516"/>
        <v>#REF!</v>
      </c>
      <c r="Y72" s="145" t="e">
        <f t="shared" si="516"/>
        <v>#REF!</v>
      </c>
      <c r="Z72" s="145" t="e">
        <f t="shared" si="516"/>
        <v>#REF!</v>
      </c>
      <c r="AA72" s="145" t="e">
        <f t="shared" si="516"/>
        <v>#REF!</v>
      </c>
      <c r="AB72" s="145" t="e">
        <f t="shared" si="516"/>
        <v>#REF!</v>
      </c>
      <c r="AC72" s="145" t="e">
        <f t="shared" si="516"/>
        <v>#REF!</v>
      </c>
      <c r="AD72" s="145" t="e">
        <f t="shared" si="516"/>
        <v>#REF!</v>
      </c>
      <c r="AE72" s="145" t="e">
        <f t="shared" si="516"/>
        <v>#REF!</v>
      </c>
      <c r="AF72" s="145" t="e">
        <f t="shared" si="516"/>
        <v>#REF!</v>
      </c>
      <c r="AG72" s="145" t="e">
        <f t="shared" si="516"/>
        <v>#REF!</v>
      </c>
      <c r="AH72" s="145" t="e">
        <f t="shared" si="516"/>
        <v>#REF!</v>
      </c>
      <c r="AI72" s="145" t="e">
        <f t="shared" si="516"/>
        <v>#REF!</v>
      </c>
      <c r="AJ72" s="145" t="e">
        <f t="shared" si="516"/>
        <v>#REF!</v>
      </c>
      <c r="AK72" s="145" t="e">
        <f t="shared" si="516"/>
        <v>#REF!</v>
      </c>
      <c r="AL72" s="145" t="e">
        <f t="shared" si="516"/>
        <v>#REF!</v>
      </c>
      <c r="AM72" s="2527">
        <f t="shared" si="516"/>
        <v>-79.452000000000027</v>
      </c>
      <c r="AN72" s="145">
        <f t="shared" si="516"/>
        <v>-798.36993999999981</v>
      </c>
      <c r="AO72" s="145">
        <f t="shared" si="516"/>
        <v>180.0456620871054</v>
      </c>
      <c r="AP72" s="145">
        <f t="shared" si="516"/>
        <v>14.422000000000054</v>
      </c>
      <c r="AQ72" s="145">
        <f t="shared" si="516"/>
        <v>6.2934868768389549</v>
      </c>
      <c r="AR72" s="145">
        <f t="shared" si="516"/>
        <v>119.678</v>
      </c>
      <c r="AS72" s="145">
        <f t="shared" si="516"/>
        <v>151.22104000000002</v>
      </c>
      <c r="AT72" s="145">
        <f t="shared" ref="AT72" si="517">+AT34-AT59</f>
        <v>170.42404178575322</v>
      </c>
      <c r="AU72" s="686">
        <f t="shared" si="516"/>
        <v>135.40535860832921</v>
      </c>
      <c r="AV72" s="686">
        <f t="shared" si="516"/>
        <v>111.91234195526283</v>
      </c>
      <c r="AW72" s="686">
        <f t="shared" si="516"/>
        <v>101.85300980102407</v>
      </c>
      <c r="AX72" s="686">
        <f t="shared" si="516"/>
        <v>186.41507581512047</v>
      </c>
      <c r="AZ72" s="686">
        <v>61.605410632382039</v>
      </c>
      <c r="BD72" s="145" t="e">
        <f t="shared" ref="BD72:BS72" si="518">+BD34-BD59</f>
        <v>#REF!</v>
      </c>
      <c r="BE72" s="145" t="e">
        <f t="shared" si="518"/>
        <v>#REF!</v>
      </c>
      <c r="BF72" s="145" t="e">
        <f t="shared" si="518"/>
        <v>#REF!</v>
      </c>
      <c r="BG72" s="145" t="e">
        <f t="shared" si="518"/>
        <v>#REF!</v>
      </c>
      <c r="BH72" s="145" t="e">
        <f t="shared" si="518"/>
        <v>#REF!</v>
      </c>
      <c r="BI72" s="145" t="e">
        <f t="shared" si="518"/>
        <v>#REF!</v>
      </c>
      <c r="BJ72" s="145" t="e">
        <f t="shared" si="518"/>
        <v>#REF!</v>
      </c>
      <c r="BK72" s="145" t="e">
        <f t="shared" si="518"/>
        <v>#REF!</v>
      </c>
      <c r="BL72" s="145" t="e">
        <f t="shared" si="518"/>
        <v>#REF!</v>
      </c>
      <c r="BM72" s="2527">
        <f t="shared" si="518"/>
        <v>-683.35427791289453</v>
      </c>
      <c r="BN72" s="145">
        <f t="shared" si="518"/>
        <v>447.61656866259329</v>
      </c>
      <c r="BO72" s="145">
        <f t="shared" si="518"/>
        <v>535.58578617973626</v>
      </c>
      <c r="BP72" s="686">
        <f t="shared" si="518"/>
        <v>635.45622170351805</v>
      </c>
      <c r="BQ72" s="686">
        <f t="shared" si="518"/>
        <v>627.41398201297989</v>
      </c>
      <c r="BR72" s="686">
        <f t="shared" si="518"/>
        <v>609.17153677549936</v>
      </c>
      <c r="BS72" s="686">
        <f t="shared" si="518"/>
        <v>462.55239499473458</v>
      </c>
    </row>
    <row r="73" spans="2:71">
      <c r="B73" s="102" t="s">
        <v>495</v>
      </c>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148"/>
      <c r="AH73" s="148"/>
      <c r="AI73" s="148"/>
      <c r="AJ73" s="148"/>
      <c r="AK73" s="148"/>
      <c r="AL73" s="148"/>
      <c r="AM73" s="2535"/>
      <c r="AN73" s="688"/>
      <c r="AO73" s="688"/>
      <c r="AP73" s="688"/>
      <c r="AQ73" s="688"/>
      <c r="AR73" s="688"/>
      <c r="AS73" s="688"/>
      <c r="AT73" s="688"/>
      <c r="AU73" s="688"/>
      <c r="AV73" s="688"/>
      <c r="AW73" s="688"/>
      <c r="AX73" s="688"/>
      <c r="AZ73" s="688"/>
      <c r="BP73" s="688"/>
      <c r="BQ73" s="688"/>
      <c r="BR73" s="688"/>
      <c r="BS73" s="688"/>
    </row>
    <row r="74" spans="2:71" s="105" customFormat="1">
      <c r="B74" s="138" t="s">
        <v>496</v>
      </c>
      <c r="C74" s="144" t="e">
        <f t="shared" ref="C74:AE74" si="519">C68-C69+C70+C71+C72+C73</f>
        <v>#REF!</v>
      </c>
      <c r="D74" s="144" t="e">
        <f t="shared" si="519"/>
        <v>#REF!</v>
      </c>
      <c r="E74" s="144" t="e">
        <f t="shared" si="519"/>
        <v>#REF!</v>
      </c>
      <c r="F74" s="144" t="e">
        <f t="shared" si="519"/>
        <v>#REF!</v>
      </c>
      <c r="G74" s="144" t="e">
        <f t="shared" si="519"/>
        <v>#REF!</v>
      </c>
      <c r="H74" s="144" t="e">
        <f t="shared" si="519"/>
        <v>#REF!</v>
      </c>
      <c r="I74" s="144" t="e">
        <f t="shared" si="519"/>
        <v>#REF!</v>
      </c>
      <c r="J74" s="144" t="e">
        <f t="shared" si="519"/>
        <v>#REF!</v>
      </c>
      <c r="K74" s="144" t="e">
        <f t="shared" si="519"/>
        <v>#REF!</v>
      </c>
      <c r="L74" s="144" t="e">
        <f t="shared" si="519"/>
        <v>#REF!</v>
      </c>
      <c r="M74" s="144" t="e">
        <f t="shared" si="519"/>
        <v>#REF!</v>
      </c>
      <c r="N74" s="144" t="e">
        <f t="shared" si="519"/>
        <v>#REF!</v>
      </c>
      <c r="O74" s="144" t="e">
        <f t="shared" si="519"/>
        <v>#REF!</v>
      </c>
      <c r="P74" s="144" t="e">
        <f t="shared" si="519"/>
        <v>#REF!</v>
      </c>
      <c r="Q74" s="144" t="e">
        <f t="shared" si="519"/>
        <v>#REF!</v>
      </c>
      <c r="R74" s="144" t="e">
        <f t="shared" si="519"/>
        <v>#REF!</v>
      </c>
      <c r="S74" s="144" t="e">
        <f t="shared" si="519"/>
        <v>#REF!</v>
      </c>
      <c r="T74" s="144" t="e">
        <f t="shared" si="519"/>
        <v>#REF!</v>
      </c>
      <c r="U74" s="144" t="e">
        <f t="shared" si="519"/>
        <v>#REF!</v>
      </c>
      <c r="V74" s="144" t="e">
        <f t="shared" si="519"/>
        <v>#REF!</v>
      </c>
      <c r="W74" s="144" t="e">
        <f t="shared" si="519"/>
        <v>#REF!</v>
      </c>
      <c r="X74" s="144" t="e">
        <f t="shared" si="519"/>
        <v>#REF!</v>
      </c>
      <c r="Y74" s="144" t="e">
        <f t="shared" si="519"/>
        <v>#REF!</v>
      </c>
      <c r="Z74" s="144" t="e">
        <f t="shared" si="519"/>
        <v>#REF!</v>
      </c>
      <c r="AA74" s="144" t="e">
        <f t="shared" si="519"/>
        <v>#REF!</v>
      </c>
      <c r="AB74" s="144" t="e">
        <f t="shared" si="519"/>
        <v>#REF!</v>
      </c>
      <c r="AC74" s="144" t="e">
        <f t="shared" si="519"/>
        <v>#REF!</v>
      </c>
      <c r="AD74" s="144" t="e">
        <f t="shared" si="519"/>
        <v>#REF!</v>
      </c>
      <c r="AE74" s="144" t="e">
        <f t="shared" si="519"/>
        <v>#REF!</v>
      </c>
      <c r="AF74" s="144" t="e">
        <f t="shared" ref="AF74:AG74" si="520">AF68-AF69+AF70+AF71+AF72+AF73</f>
        <v>#REF!</v>
      </c>
      <c r="AG74" s="144" t="e">
        <f t="shared" si="520"/>
        <v>#REF!</v>
      </c>
      <c r="AH74" s="144" t="e">
        <f t="shared" ref="AH74:AI74" si="521">AH68-AH69+AH70+AH71+AH72+AH73</f>
        <v>#REF!</v>
      </c>
      <c r="AI74" s="144" t="e">
        <f t="shared" si="521"/>
        <v>#REF!</v>
      </c>
      <c r="AJ74" s="144" t="e">
        <f t="shared" ref="AJ74" si="522">AJ68-AJ69+AJ70+AJ71+AJ72+AJ73</f>
        <v>#REF!</v>
      </c>
      <c r="AK74" s="144" t="e">
        <f t="shared" ref="AK74:AL74" si="523">AK68-AK69+AK70+AK71+AK72+AK73</f>
        <v>#REF!</v>
      </c>
      <c r="AL74" s="144" t="e">
        <f t="shared" si="523"/>
        <v>#REF!</v>
      </c>
      <c r="AM74" s="2528">
        <f t="shared" ref="AM74" si="524">AM68-AM69+AM70+AM71+AM72+AM73</f>
        <v>-3451.1249999999982</v>
      </c>
      <c r="AN74" s="144">
        <f t="shared" ref="AN74" si="525">AN68-AN69+AN70+AN71+AN72+AN73</f>
        <v>-1813.1380000000013</v>
      </c>
      <c r="AO74" s="144">
        <f t="shared" ref="AO74:AQ74" si="526">AO68-AO69+AO70+AO71+AO72+AO73</f>
        <v>-6626.4458781498579</v>
      </c>
      <c r="AP74" s="144">
        <f t="shared" si="526"/>
        <v>299.85500000000047</v>
      </c>
      <c r="AQ74" s="144">
        <f t="shared" si="526"/>
        <v>-549.60927389165045</v>
      </c>
      <c r="AR74" s="144">
        <f t="shared" ref="AR74:AS74" si="527">AR68-AR69+AR70+AR71+AR72+AR73</f>
        <v>-912.35800000000052</v>
      </c>
      <c r="AS74" s="144">
        <f t="shared" si="527"/>
        <v>734.18300000000102</v>
      </c>
      <c r="AT74" s="144">
        <f t="shared" ref="AT74" si="528">AT68-AT69+AT70+AT71+AT72+AT73</f>
        <v>603.02799999999979</v>
      </c>
      <c r="AU74" s="685">
        <f t="shared" ref="AU74:AX74" si="529">AU68-AU69+AU70+AU71+AU72+AU73</f>
        <v>721.57577039185867</v>
      </c>
      <c r="AV74" s="685">
        <f t="shared" si="529"/>
        <v>120.65640670114288</v>
      </c>
      <c r="AW74" s="685">
        <f t="shared" si="529"/>
        <v>-47.731217280837214</v>
      </c>
      <c r="AX74" s="685">
        <f t="shared" si="529"/>
        <v>187.07356139978396</v>
      </c>
      <c r="AZ74" s="685">
        <v>592.96239630915011</v>
      </c>
      <c r="BA74" s="1070"/>
      <c r="BD74" s="144" t="e">
        <f t="shared" ref="BD74:BP74" si="530">BD68-BD69+BD70+BD71+BD72+BD73</f>
        <v>#REF!</v>
      </c>
      <c r="BE74" s="144" t="e">
        <f t="shared" si="530"/>
        <v>#REF!</v>
      </c>
      <c r="BF74" s="144" t="e">
        <f t="shared" si="530"/>
        <v>#REF!</v>
      </c>
      <c r="BG74" s="144" t="e">
        <f t="shared" si="530"/>
        <v>#REF!</v>
      </c>
      <c r="BH74" s="144" t="e">
        <f t="shared" si="530"/>
        <v>#REF!</v>
      </c>
      <c r="BI74" s="144" t="e">
        <f t="shared" si="530"/>
        <v>#REF!</v>
      </c>
      <c r="BJ74" s="144" t="e">
        <f t="shared" si="530"/>
        <v>#REF!</v>
      </c>
      <c r="BK74" s="144" t="e">
        <f t="shared" si="530"/>
        <v>#REF!</v>
      </c>
      <c r="BL74" s="144" t="e">
        <f t="shared" si="530"/>
        <v>#REF!</v>
      </c>
      <c r="BM74" s="2528">
        <f t="shared" ref="BM74:BN74" si="531">BM68-BM69+BM70+BM71+BM72+BM73</f>
        <v>-11590.853878149857</v>
      </c>
      <c r="BN74" s="144">
        <f t="shared" si="531"/>
        <v>-124.75627389164697</v>
      </c>
      <c r="BO74" s="144">
        <f t="shared" ref="BO74" si="532">BO68-BO69+BO70+BO71+BO72+BO73</f>
        <v>981.57452121194763</v>
      </c>
      <c r="BP74" s="685">
        <f t="shared" si="530"/>
        <v>1310.9081787926339</v>
      </c>
      <c r="BQ74" s="685">
        <f t="shared" ref="BQ74:BS74" si="533">BQ68-BQ69+BQ70+BQ71+BQ72+BQ73</f>
        <v>1371.8037442552049</v>
      </c>
      <c r="BR74" s="685">
        <f t="shared" si="533"/>
        <v>1493.948652397713</v>
      </c>
      <c r="BS74" s="685">
        <f t="shared" si="533"/>
        <v>1468.4614090762352</v>
      </c>
    </row>
    <row r="75" spans="2:71">
      <c r="B75" s="123" t="s">
        <v>497</v>
      </c>
      <c r="C75" s="145" t="e">
        <f t="shared" ref="C75:AX75" si="534">+C233-(C121-B121)</f>
        <v>#VALUE!</v>
      </c>
      <c r="D75" s="145">
        <f t="shared" si="534"/>
        <v>0</v>
      </c>
      <c r="E75" s="145">
        <f t="shared" si="534"/>
        <v>236.32599999999999</v>
      </c>
      <c r="F75" s="145">
        <f t="shared" si="534"/>
        <v>0</v>
      </c>
      <c r="G75" s="145">
        <f t="shared" si="534"/>
        <v>0</v>
      </c>
      <c r="H75" s="145">
        <f t="shared" si="534"/>
        <v>123.13200000000001</v>
      </c>
      <c r="I75" s="145">
        <f t="shared" si="534"/>
        <v>0</v>
      </c>
      <c r="J75" s="145">
        <f t="shared" si="534"/>
        <v>0</v>
      </c>
      <c r="K75" s="145">
        <f t="shared" si="534"/>
        <v>113.07900000000001</v>
      </c>
      <c r="L75" s="145">
        <f t="shared" si="534"/>
        <v>56.875</v>
      </c>
      <c r="M75" s="145">
        <f t="shared" si="534"/>
        <v>0</v>
      </c>
      <c r="N75" s="145">
        <f t="shared" si="534"/>
        <v>-123.40999999999998</v>
      </c>
      <c r="O75" s="145">
        <f t="shared" si="534"/>
        <v>337.25</v>
      </c>
      <c r="P75" s="145">
        <f t="shared" si="534"/>
        <v>0</v>
      </c>
      <c r="Q75" s="145">
        <f t="shared" si="534"/>
        <v>0</v>
      </c>
      <c r="R75" s="145">
        <f t="shared" si="534"/>
        <v>-41.530000000000015</v>
      </c>
      <c r="S75" s="145">
        <f t="shared" si="534"/>
        <v>152.94</v>
      </c>
      <c r="T75" s="145">
        <f t="shared" si="534"/>
        <v>56.7</v>
      </c>
      <c r="U75" s="145">
        <f t="shared" si="534"/>
        <v>0</v>
      </c>
      <c r="V75" s="145">
        <f t="shared" si="534"/>
        <v>14.799999999999997</v>
      </c>
      <c r="W75" s="145">
        <f t="shared" si="534"/>
        <v>95.9</v>
      </c>
      <c r="X75" s="145">
        <f t="shared" si="534"/>
        <v>0</v>
      </c>
      <c r="Y75" s="145">
        <f t="shared" si="534"/>
        <v>0</v>
      </c>
      <c r="Z75" s="145">
        <f t="shared" si="534"/>
        <v>0</v>
      </c>
      <c r="AA75" s="145">
        <f t="shared" si="534"/>
        <v>0</v>
      </c>
      <c r="AB75" s="145">
        <f t="shared" si="534"/>
        <v>0</v>
      </c>
      <c r="AC75" s="145">
        <f t="shared" si="534"/>
        <v>0</v>
      </c>
      <c r="AD75" s="145">
        <f t="shared" si="534"/>
        <v>-180.8</v>
      </c>
      <c r="AE75" s="145">
        <f t="shared" si="534"/>
        <v>0</v>
      </c>
      <c r="AF75" s="145">
        <f t="shared" si="534"/>
        <v>0</v>
      </c>
      <c r="AG75" s="145">
        <f t="shared" si="534"/>
        <v>0</v>
      </c>
      <c r="AH75" s="145">
        <f t="shared" si="534"/>
        <v>180.5</v>
      </c>
      <c r="AI75" s="145">
        <f t="shared" si="534"/>
        <v>9.9999999999999978E-2</v>
      </c>
      <c r="AJ75" s="145">
        <f t="shared" si="534"/>
        <v>0</v>
      </c>
      <c r="AK75" s="145">
        <f t="shared" si="534"/>
        <v>0</v>
      </c>
      <c r="AL75" s="145">
        <f t="shared" si="534"/>
        <v>-294</v>
      </c>
      <c r="AM75" s="2527">
        <f t="shared" si="534"/>
        <v>1273.376</v>
      </c>
      <c r="AN75" s="145">
        <f t="shared" si="534"/>
        <v>0</v>
      </c>
      <c r="AO75" s="145">
        <f t="shared" si="534"/>
        <v>0</v>
      </c>
      <c r="AP75" s="145">
        <f t="shared" si="534"/>
        <v>-99.981825000000015</v>
      </c>
      <c r="AQ75" s="145">
        <f t="shared" si="534"/>
        <v>111.5</v>
      </c>
      <c r="AR75" s="145">
        <f t="shared" si="534"/>
        <v>33.335000000000001</v>
      </c>
      <c r="AS75" s="145">
        <f t="shared" si="534"/>
        <v>0</v>
      </c>
      <c r="AT75" s="145">
        <f t="shared" si="534"/>
        <v>0</v>
      </c>
      <c r="AU75" s="686">
        <f t="shared" si="534"/>
        <v>0</v>
      </c>
      <c r="AV75" s="686">
        <f t="shared" si="534"/>
        <v>0</v>
      </c>
      <c r="AW75" s="686">
        <f t="shared" si="534"/>
        <v>0</v>
      </c>
      <c r="AX75" s="686">
        <f t="shared" si="534"/>
        <v>0</v>
      </c>
      <c r="AZ75" s="686">
        <v>0</v>
      </c>
      <c r="BD75" s="145">
        <f>+BD233-(BD121-BB121)</f>
        <v>207.29</v>
      </c>
      <c r="BE75" s="145">
        <f t="shared" ref="BE75:BS75" si="535">+BE233-(BE121-BD121)</f>
        <v>105.732</v>
      </c>
      <c r="BF75" s="145">
        <f t="shared" si="535"/>
        <v>-99.149999999999991</v>
      </c>
      <c r="BG75" s="145">
        <f t="shared" si="535"/>
        <v>177.46199999999999</v>
      </c>
      <c r="BH75" s="145">
        <f t="shared" si="535"/>
        <v>224.44</v>
      </c>
      <c r="BI75" s="145">
        <f t="shared" si="535"/>
        <v>95.9</v>
      </c>
      <c r="BJ75" s="145">
        <f t="shared" si="535"/>
        <v>-180.8</v>
      </c>
      <c r="BK75" s="145">
        <f t="shared" si="535"/>
        <v>180.5</v>
      </c>
      <c r="BL75" s="145">
        <f t="shared" si="535"/>
        <v>-293.89999999999998</v>
      </c>
      <c r="BM75" s="2527">
        <f t="shared" si="535"/>
        <v>1173.3941750000001</v>
      </c>
      <c r="BN75" s="145">
        <f t="shared" si="535"/>
        <v>144.83500000000001</v>
      </c>
      <c r="BO75" s="145">
        <f t="shared" si="535"/>
        <v>0</v>
      </c>
      <c r="BP75" s="686">
        <f t="shared" si="535"/>
        <v>320.41047724043602</v>
      </c>
      <c r="BQ75" s="686">
        <f t="shared" si="535"/>
        <v>351.87662217218553</v>
      </c>
      <c r="BR75" s="686">
        <f t="shared" si="535"/>
        <v>396.79163247390079</v>
      </c>
      <c r="BS75" s="686">
        <f t="shared" si="535"/>
        <v>433.40844826692341</v>
      </c>
    </row>
    <row r="76" spans="2:71">
      <c r="B76" s="102" t="s">
        <v>498</v>
      </c>
      <c r="C76" s="145" t="e">
        <f t="shared" ref="C76:AQ76" si="536">+C117-B117</f>
        <v>#VALUE!</v>
      </c>
      <c r="D76" s="145">
        <f t="shared" si="536"/>
        <v>50.148000000000138</v>
      </c>
      <c r="E76" s="145">
        <f t="shared" si="536"/>
        <v>459.98299999999995</v>
      </c>
      <c r="F76" s="145">
        <f t="shared" si="536"/>
        <v>275.62299999999982</v>
      </c>
      <c r="G76" s="145">
        <f t="shared" si="536"/>
        <v>40.384000000000015</v>
      </c>
      <c r="H76" s="145">
        <f t="shared" si="536"/>
        <v>-68.410999999999603</v>
      </c>
      <c r="I76" s="145">
        <f t="shared" si="536"/>
        <v>-182.67500000000018</v>
      </c>
      <c r="J76" s="145">
        <f t="shared" si="536"/>
        <v>-186.19299999999998</v>
      </c>
      <c r="K76" s="145">
        <f t="shared" si="536"/>
        <v>225.21299999999997</v>
      </c>
      <c r="L76" s="145">
        <f t="shared" si="536"/>
        <v>335.13200000000006</v>
      </c>
      <c r="M76" s="145">
        <f t="shared" si="536"/>
        <v>-372.86000000000013</v>
      </c>
      <c r="N76" s="145">
        <f t="shared" si="536"/>
        <v>2124.6959999999999</v>
      </c>
      <c r="O76" s="145">
        <f t="shared" si="536"/>
        <v>-2494.2529999999997</v>
      </c>
      <c r="P76" s="145">
        <f t="shared" si="536"/>
        <v>-554.10099999999989</v>
      </c>
      <c r="Q76" s="145">
        <f t="shared" si="536"/>
        <v>244.96399999999994</v>
      </c>
      <c r="R76" s="145">
        <f t="shared" si="536"/>
        <v>-160.18399999999997</v>
      </c>
      <c r="S76" s="145">
        <f t="shared" si="536"/>
        <v>-365.04000000000008</v>
      </c>
      <c r="T76" s="145">
        <f t="shared" si="536"/>
        <v>67.387000000000057</v>
      </c>
      <c r="U76" s="145">
        <f t="shared" si="536"/>
        <v>-375.94200000000001</v>
      </c>
      <c r="V76" s="145">
        <f t="shared" si="536"/>
        <v>2914.9</v>
      </c>
      <c r="W76" s="145">
        <f t="shared" si="536"/>
        <v>-1411.9</v>
      </c>
      <c r="X76" s="145">
        <f t="shared" si="536"/>
        <v>688.59999999999991</v>
      </c>
      <c r="Y76" s="145">
        <f t="shared" si="536"/>
        <v>1904.5000000000005</v>
      </c>
      <c r="Z76" s="145">
        <f t="shared" si="536"/>
        <v>-730.00000000000045</v>
      </c>
      <c r="AA76" s="145">
        <f t="shared" si="536"/>
        <v>-571.09999999999991</v>
      </c>
      <c r="AB76" s="145">
        <f t="shared" si="536"/>
        <v>-162.69999999999982</v>
      </c>
      <c r="AC76" s="145">
        <f t="shared" si="536"/>
        <v>-1916.1000000000001</v>
      </c>
      <c r="AD76" s="145">
        <f t="shared" si="536"/>
        <v>-210.60000000000002</v>
      </c>
      <c r="AE76" s="145">
        <f t="shared" si="536"/>
        <v>2918.4</v>
      </c>
      <c r="AF76" s="145">
        <f t="shared" si="536"/>
        <v>-3137.5</v>
      </c>
      <c r="AG76" s="145">
        <f t="shared" si="536"/>
        <v>-296.7</v>
      </c>
      <c r="AH76" s="145">
        <f t="shared" si="536"/>
        <v>-98.100000000000023</v>
      </c>
      <c r="AI76" s="145">
        <f t="shared" si="536"/>
        <v>-42</v>
      </c>
      <c r="AJ76" s="145">
        <f t="shared" si="536"/>
        <v>73.5</v>
      </c>
      <c r="AK76" s="145">
        <f t="shared" si="536"/>
        <v>-221.6</v>
      </c>
      <c r="AL76" s="145">
        <f t="shared" si="536"/>
        <v>22.700000000000017</v>
      </c>
      <c r="AM76" s="2527">
        <f t="shared" si="536"/>
        <v>-83.789000000000016</v>
      </c>
      <c r="AN76" s="145">
        <f t="shared" si="536"/>
        <v>-2.296999999999997</v>
      </c>
      <c r="AO76" s="145">
        <f t="shared" si="536"/>
        <v>-2.715999999999994</v>
      </c>
      <c r="AP76" s="145">
        <f t="shared" si="536"/>
        <v>-38.653000000000006</v>
      </c>
      <c r="AQ76" s="145">
        <f t="shared" si="536"/>
        <v>35.756</v>
      </c>
      <c r="AR76" s="145">
        <f t="shared" ref="AR76:AT76" si="537">+AR117-AQ117</f>
        <v>5.3329999999999984</v>
      </c>
      <c r="AS76" s="145">
        <f t="shared" si="537"/>
        <v>99.26400000000001</v>
      </c>
      <c r="AT76" s="145">
        <f t="shared" si="537"/>
        <v>-76.196000000000012</v>
      </c>
      <c r="AU76" s="145">
        <f>+AU117-AT117</f>
        <v>76.196000000000012</v>
      </c>
      <c r="AV76" s="145">
        <f>+AV117-AU117</f>
        <v>0</v>
      </c>
      <c r="AW76" s="145">
        <f>+AW117-AV117</f>
        <v>0</v>
      </c>
      <c r="AX76" s="145">
        <f>+AX117-AW117</f>
        <v>0</v>
      </c>
      <c r="AZ76" s="689">
        <v>0</v>
      </c>
      <c r="BA76" s="1072"/>
      <c r="BB76" s="994"/>
      <c r="BC76" s="994"/>
      <c r="BD76" s="145">
        <f>+BD117-BB117</f>
        <v>2161.3829999999998</v>
      </c>
      <c r="BE76" s="145">
        <f t="shared" ref="BE76:BO76" si="538">+BE117-BD117</f>
        <v>-396.89499999999975</v>
      </c>
      <c r="BF76" s="145">
        <f t="shared" si="538"/>
        <v>2312.1809999999996</v>
      </c>
      <c r="BG76" s="145">
        <f t="shared" si="538"/>
        <v>-2963.5739999999996</v>
      </c>
      <c r="BH76" s="145">
        <f t="shared" si="538"/>
        <v>2241.3050000000003</v>
      </c>
      <c r="BI76" s="145">
        <f t="shared" si="538"/>
        <v>451.19999999999982</v>
      </c>
      <c r="BJ76" s="145">
        <f t="shared" si="538"/>
        <v>-2860.5</v>
      </c>
      <c r="BK76" s="145">
        <f t="shared" si="538"/>
        <v>-613.90000000000009</v>
      </c>
      <c r="BL76" s="145">
        <f t="shared" si="538"/>
        <v>-167.39999999999998</v>
      </c>
      <c r="BM76" s="2527">
        <f t="shared" si="538"/>
        <v>-127.45500000000001</v>
      </c>
      <c r="BN76" s="145">
        <f t="shared" si="538"/>
        <v>64.156999999999996</v>
      </c>
      <c r="BO76" s="145">
        <f t="shared" si="538"/>
        <v>76.196000000000012</v>
      </c>
      <c r="BP76" s="145">
        <f t="shared" ref="BP76:BS76" si="539">+BP117-BO117</f>
        <v>0</v>
      </c>
      <c r="BQ76" s="145">
        <f t="shared" si="539"/>
        <v>0</v>
      </c>
      <c r="BR76" s="145">
        <f t="shared" si="539"/>
        <v>0</v>
      </c>
      <c r="BS76" s="145">
        <f t="shared" si="539"/>
        <v>0</v>
      </c>
    </row>
    <row r="77" spans="2:71">
      <c r="B77" s="102" t="s">
        <v>499</v>
      </c>
      <c r="C77" s="145" t="e">
        <f t="shared" ref="C77" si="540">C130-B130</f>
        <v>#VALUE!</v>
      </c>
      <c r="D77" s="145">
        <f t="shared" ref="D77" si="541">D130-C130</f>
        <v>-79.04300000000012</v>
      </c>
      <c r="E77" s="145">
        <f t="shared" ref="E77" si="542">E130-D130</f>
        <v>208.65900000000011</v>
      </c>
      <c r="F77" s="145">
        <f t="shared" ref="F77" si="543">F130-E130</f>
        <v>-670.98500000000013</v>
      </c>
      <c r="G77" s="145">
        <f t="shared" ref="G77" si="544">G130-F130</f>
        <v>-391.10099999999966</v>
      </c>
      <c r="H77" s="145">
        <f t="shared" ref="H77" si="545">H130-G130</f>
        <v>-381.67100000000028</v>
      </c>
      <c r="I77" s="145">
        <f t="shared" ref="I77" si="546">I130-H130</f>
        <v>-477.50999999999976</v>
      </c>
      <c r="J77" s="145">
        <f t="shared" ref="J77" si="547">J130-I130</f>
        <v>501.46799999999985</v>
      </c>
      <c r="K77" s="145">
        <f t="shared" ref="K77" si="548">K130-J130</f>
        <v>-711.76700000000005</v>
      </c>
      <c r="L77" s="145">
        <f t="shared" ref="L77" si="549">L130-K130</f>
        <v>-632.46299999999997</v>
      </c>
      <c r="M77" s="145">
        <f t="shared" ref="M77" si="550">M130-L130</f>
        <v>6377.4940000000006</v>
      </c>
      <c r="N77" s="145">
        <f t="shared" ref="N77" si="551">N130-M130</f>
        <v>-2403.7160000000003</v>
      </c>
      <c r="O77" s="145">
        <f t="shared" ref="O77" si="552">O130-N130</f>
        <v>1988.4920000000002</v>
      </c>
      <c r="P77" s="145">
        <f t="shared" ref="P77" si="553">P130-O130</f>
        <v>269.15800000000036</v>
      </c>
      <c r="Q77" s="145">
        <f t="shared" ref="Q77" si="554">Q130-P130</f>
        <v>-95.365000000000691</v>
      </c>
      <c r="R77" s="145">
        <f t="shared" ref="R77" si="555">R130-Q130</f>
        <v>-536.46599999999944</v>
      </c>
      <c r="S77" s="145">
        <f t="shared" ref="S77" si="556">S130-R130</f>
        <v>-229.73900000000049</v>
      </c>
      <c r="T77" s="145">
        <f t="shared" ref="T77" si="557">T130-S130</f>
        <v>136.97100000000046</v>
      </c>
      <c r="U77" s="145">
        <f t="shared" ref="U77" si="558">U130-T130</f>
        <v>785.81800000000021</v>
      </c>
      <c r="V77" s="145">
        <f t="shared" ref="V77" si="559">V130-U130</f>
        <v>-142.10000000000036</v>
      </c>
      <c r="W77" s="145">
        <f t="shared" ref="W77" si="560">W130-V130</f>
        <v>9958.5</v>
      </c>
      <c r="X77" s="145">
        <f t="shared" ref="X77" si="561">X130-W130</f>
        <v>644.5</v>
      </c>
      <c r="Y77" s="145">
        <f t="shared" ref="Y77" si="562">Y130-X130</f>
        <v>-2052.6000000000004</v>
      </c>
      <c r="Z77" s="145">
        <f t="shared" ref="Z77" si="563">Z130-Y130</f>
        <v>-5965.1</v>
      </c>
      <c r="AA77" s="145">
        <f t="shared" ref="AA77" si="564">AA130-Z130</f>
        <v>759.10000000000036</v>
      </c>
      <c r="AB77" s="145">
        <f t="shared" ref="AB77" si="565">AB130-AA130</f>
        <v>294.10000000000036</v>
      </c>
      <c r="AC77" s="145">
        <f t="shared" ref="AC77" si="566">AC130-AB130</f>
        <v>467.60000000000036</v>
      </c>
      <c r="AD77" s="145">
        <f t="shared" ref="AD77" si="567">AD130-AC130</f>
        <v>233.69999999999891</v>
      </c>
      <c r="AE77" s="145">
        <f t="shared" ref="AE77" si="568">AE130-AD130</f>
        <v>-3768.2999999999993</v>
      </c>
      <c r="AF77" s="145">
        <f t="shared" ref="AF77:AJ77" si="569">AF130-AE130</f>
        <v>4310</v>
      </c>
      <c r="AG77" s="145">
        <f t="shared" si="569"/>
        <v>965.20000000000073</v>
      </c>
      <c r="AH77" s="145">
        <f t="shared" si="569"/>
        <v>-17.600000000000364</v>
      </c>
      <c r="AI77" s="145">
        <f t="shared" si="569"/>
        <v>-295.39999999999964</v>
      </c>
      <c r="AJ77" s="145">
        <f t="shared" si="569"/>
        <v>60.399999999999636</v>
      </c>
      <c r="AK77" s="145">
        <f t="shared" ref="AK77" si="570">AK130-AJ130</f>
        <v>-6956.3</v>
      </c>
      <c r="AL77" s="145">
        <f t="shared" ref="AL77:AO77" si="571">AL130-AK130</f>
        <v>-121.90000000000055</v>
      </c>
      <c r="AM77" s="2527">
        <f t="shared" si="571"/>
        <v>-3593.2739999999994</v>
      </c>
      <c r="AN77" s="145">
        <f t="shared" si="571"/>
        <v>-823.3900000000001</v>
      </c>
      <c r="AO77" s="145">
        <f t="shared" si="571"/>
        <v>820.2360000000001</v>
      </c>
      <c r="AP77" s="145">
        <f t="shared" ref="AP77" si="572">AP130-AO130</f>
        <v>1.5819999999998799</v>
      </c>
      <c r="AQ77" s="145">
        <f t="shared" ref="AQ77" si="573">AQ130-AP130</f>
        <v>1.5819999999998799</v>
      </c>
      <c r="AR77" s="145">
        <f t="shared" ref="AR77" si="574">AR130-AQ130</f>
        <v>1.581000000000131</v>
      </c>
      <c r="AS77" s="145">
        <f t="shared" ref="AS77:AT77" si="575">AS130-AR130</f>
        <v>3800.7930000000001</v>
      </c>
      <c r="AT77" s="145">
        <f t="shared" si="575"/>
        <v>-82.130000000000109</v>
      </c>
      <c r="AU77" s="145">
        <f t="shared" ref="AU77" si="576">AU130-AT130</f>
        <v>66.537697183231103</v>
      </c>
      <c r="AV77" s="145">
        <f t="shared" ref="AV77" si="577">AV130-AU130</f>
        <v>9.786981709599786</v>
      </c>
      <c r="AW77" s="145">
        <f t="shared" ref="AW77" si="578">AW130-AV130</f>
        <v>4.0107394335491335</v>
      </c>
      <c r="AX77" s="145">
        <f t="shared" ref="AX77" si="579">AX130-AW130</f>
        <v>25.307557145580176</v>
      </c>
      <c r="AZ77" s="689">
        <v>111.9994614127063</v>
      </c>
      <c r="BA77" s="1072"/>
      <c r="BB77" s="994"/>
      <c r="BC77" s="994"/>
      <c r="BD77" s="145">
        <f t="shared" ref="BD77" si="580">BD130-BB130</f>
        <v>3374.4969999999998</v>
      </c>
      <c r="BE77" s="145">
        <f t="shared" ref="BE77" si="581">BE130-BD130</f>
        <v>-748.81399999999985</v>
      </c>
      <c r="BF77" s="145">
        <f t="shared" ref="BF77" si="582">BF130-BE130</f>
        <v>2629.5479999999998</v>
      </c>
      <c r="BG77" s="145">
        <f t="shared" ref="BG77" si="583">BG130-BF130</f>
        <v>1625.8190000000004</v>
      </c>
      <c r="BH77" s="145">
        <f t="shared" ref="BH77" si="584">BH130-BG130</f>
        <v>550.94999999999982</v>
      </c>
      <c r="BI77" s="145">
        <f t="shared" ref="BI77" si="585">BI130-BH130</f>
        <v>2585.2999999999993</v>
      </c>
      <c r="BJ77" s="145">
        <f t="shared" ref="BJ77" si="586">BJ130-BI130</f>
        <v>1754.5</v>
      </c>
      <c r="BK77" s="145">
        <f t="shared" ref="BK77" si="587">BK130-BJ130</f>
        <v>1489.3000000000011</v>
      </c>
      <c r="BL77" s="145">
        <f t="shared" ref="BL77:BO77" si="588">BL130-BK130</f>
        <v>-7313.2000000000007</v>
      </c>
      <c r="BM77" s="2527">
        <f t="shared" si="588"/>
        <v>-3594.8459999999995</v>
      </c>
      <c r="BN77" s="145">
        <f t="shared" si="588"/>
        <v>3721.826</v>
      </c>
      <c r="BO77" s="145">
        <f t="shared" si="588"/>
        <v>105.6429754719602</v>
      </c>
      <c r="BP77" s="145">
        <f t="shared" ref="BP77" si="589">BP130-BO130</f>
        <v>68.192249570758577</v>
      </c>
      <c r="BQ77" s="145">
        <f t="shared" ref="BQ77" si="590">BQ130-BP130</f>
        <v>-1464.8922250427186</v>
      </c>
      <c r="BR77" s="145">
        <f t="shared" ref="BR77" si="591">BR130-BQ130</f>
        <v>0</v>
      </c>
      <c r="BS77" s="145">
        <f t="shared" ref="BS77" si="592">BS130-BR130</f>
        <v>0</v>
      </c>
    </row>
    <row r="78" spans="2:71">
      <c r="B78" s="102" t="s">
        <v>500</v>
      </c>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c r="AM78" s="2535"/>
      <c r="AN78" s="688"/>
      <c r="AO78" s="688"/>
      <c r="AP78" s="688"/>
      <c r="AQ78" s="688"/>
      <c r="AR78" s="688"/>
      <c r="AS78" s="688"/>
      <c r="AT78" s="688"/>
      <c r="AU78" s="688"/>
      <c r="AV78" s="688"/>
      <c r="AW78" s="688"/>
      <c r="AX78" s="688"/>
      <c r="AZ78" s="688"/>
      <c r="BP78" s="688"/>
      <c r="BQ78" s="688"/>
      <c r="BR78" s="688"/>
      <c r="BS78" s="688"/>
    </row>
    <row r="79" spans="2:71">
      <c r="B79" s="102" t="s">
        <v>501</v>
      </c>
      <c r="C79" s="145" t="e">
        <f t="shared" ref="C79:AE79" si="593">+C99-B99+C110-B110</f>
        <v>#VALUE!</v>
      </c>
      <c r="D79" s="145">
        <f t="shared" si="593"/>
        <v>125.09099999999995</v>
      </c>
      <c r="E79" s="145">
        <f t="shared" si="593"/>
        <v>439.34699999999987</v>
      </c>
      <c r="F79" s="145">
        <f t="shared" si="593"/>
        <v>4.8260000000000787</v>
      </c>
      <c r="G79" s="145">
        <f t="shared" si="593"/>
        <v>-110.64200000000005</v>
      </c>
      <c r="H79" s="145">
        <f t="shared" si="593"/>
        <v>-1.1459999999998445</v>
      </c>
      <c r="I79" s="145">
        <f t="shared" si="593"/>
        <v>-49.523000000000025</v>
      </c>
      <c r="J79" s="145">
        <f t="shared" si="593"/>
        <v>188.83899999999994</v>
      </c>
      <c r="K79" s="145">
        <f t="shared" si="593"/>
        <v>-43.950000000000045</v>
      </c>
      <c r="L79" s="145">
        <f t="shared" si="593"/>
        <v>-186.94900000000007</v>
      </c>
      <c r="M79" s="145">
        <f t="shared" si="593"/>
        <v>723.54099999999994</v>
      </c>
      <c r="N79" s="145">
        <f t="shared" si="593"/>
        <v>475.18000000000018</v>
      </c>
      <c r="O79" s="145">
        <f t="shared" si="593"/>
        <v>-118.45799999999997</v>
      </c>
      <c r="P79" s="145">
        <f t="shared" si="593"/>
        <v>-551.47300000000007</v>
      </c>
      <c r="Q79" s="145">
        <f t="shared" si="593"/>
        <v>-114.49500000000012</v>
      </c>
      <c r="R79" s="145">
        <f t="shared" si="593"/>
        <v>555.91200000000015</v>
      </c>
      <c r="S79" s="145">
        <f t="shared" si="593"/>
        <v>-686.04</v>
      </c>
      <c r="T79" s="145">
        <f t="shared" si="593"/>
        <v>292.66700000000014</v>
      </c>
      <c r="U79" s="145">
        <f t="shared" si="593"/>
        <v>235.09699999999998</v>
      </c>
      <c r="V79" s="145">
        <f t="shared" si="593"/>
        <v>540.32399999999984</v>
      </c>
      <c r="W79" s="145">
        <f t="shared" si="593"/>
        <v>3663.6439999999993</v>
      </c>
      <c r="X79" s="145">
        <f t="shared" si="593"/>
        <v>1431.5</v>
      </c>
      <c r="Y79" s="145">
        <f t="shared" si="593"/>
        <v>383.10000000000036</v>
      </c>
      <c r="Z79" s="145">
        <f t="shared" si="593"/>
        <v>-604.40000000000055</v>
      </c>
      <c r="AA79" s="145">
        <f t="shared" si="593"/>
        <v>174.59999999999945</v>
      </c>
      <c r="AB79" s="145">
        <f t="shared" si="593"/>
        <v>-1395.6999999999998</v>
      </c>
      <c r="AC79" s="145">
        <f t="shared" si="593"/>
        <v>-448.79999999999973</v>
      </c>
      <c r="AD79" s="145">
        <f t="shared" si="593"/>
        <v>552.80000000000018</v>
      </c>
      <c r="AE79" s="145">
        <f t="shared" si="593"/>
        <v>-1639.8000000000006</v>
      </c>
      <c r="AF79" s="145">
        <f t="shared" ref="AF79:AJ79" si="594">+AF99-AE99+AF110-AE110</f>
        <v>-151.69999999999982</v>
      </c>
      <c r="AG79" s="145">
        <f t="shared" si="594"/>
        <v>186.20000000000027</v>
      </c>
      <c r="AH79" s="145">
        <f t="shared" si="594"/>
        <v>588.79999999999927</v>
      </c>
      <c r="AI79" s="145">
        <f t="shared" si="594"/>
        <v>-401.29999999999973</v>
      </c>
      <c r="AJ79" s="145">
        <f t="shared" si="594"/>
        <v>-1634.7999999999997</v>
      </c>
      <c r="AK79" s="145">
        <f t="shared" ref="AK79" si="595">+AK99-AJ99+AK110-AJ110</f>
        <v>2141.7999999999993</v>
      </c>
      <c r="AL79" s="145">
        <f t="shared" ref="AL79" si="596">+AL99-AK99+AL110-AK110</f>
        <v>1723.4000000000005</v>
      </c>
      <c r="AM79" s="2527">
        <f t="shared" ref="AM79" si="597">+AM99-AL99+AM110-AL110</f>
        <v>-4099.9539999999997</v>
      </c>
      <c r="AN79" s="145">
        <f t="shared" ref="AN79" si="598">+AN99-AM99+AN110-AM110</f>
        <v>334.97400000000039</v>
      </c>
      <c r="AO79" s="145">
        <f t="shared" ref="AO79" si="599">+AO99-AN99+AO110-AN110</f>
        <v>423.11399999999981</v>
      </c>
      <c r="AP79" s="145">
        <f t="shared" ref="AP79" si="600">+AP99-AO99+AP110-AO110</f>
        <v>-436.48700000000031</v>
      </c>
      <c r="AQ79" s="145">
        <f t="shared" ref="AQ79" si="601">+AQ99-AP99+AQ110-AP110</f>
        <v>-344.7170000000001</v>
      </c>
      <c r="AR79" s="145">
        <f t="shared" ref="AR79" si="602">+AR99-AQ99+AR110-AQ110</f>
        <v>-366.02000000000044</v>
      </c>
      <c r="AS79" s="145">
        <f t="shared" ref="AS79:AT79" si="603">+AS99-AR99+AS110-AR110</f>
        <v>-282.96799999999962</v>
      </c>
      <c r="AT79" s="145">
        <f t="shared" si="603"/>
        <v>-345.89300000000003</v>
      </c>
      <c r="AU79" s="686">
        <f t="shared" ref="AU79" si="604">+AU99-AT99+AU110-AT110</f>
        <v>24.128040000000055</v>
      </c>
      <c r="AV79" s="686">
        <f t="shared" ref="AV79" si="605">+AV99-AU99+AV110-AU110</f>
        <v>24.610600799999929</v>
      </c>
      <c r="AW79" s="686">
        <f t="shared" ref="AW79" si="606">+AW99-AV99+AW110-AV110</f>
        <v>25.102812816000096</v>
      </c>
      <c r="AX79" s="686">
        <f t="shared" ref="AX79" si="607">+AX99-AW99+AX110-AW110</f>
        <v>25.604869072320071</v>
      </c>
      <c r="AZ79" s="686">
        <v>35.888239999999996</v>
      </c>
      <c r="BD79" s="145">
        <f>+BD99-BB99+BD110-BB110</f>
        <v>1786.672</v>
      </c>
      <c r="BE79" s="145">
        <f t="shared" ref="BE79:BP79" si="608">+BE99-BD99+BE110-BD110</f>
        <v>27.52800000000002</v>
      </c>
      <c r="BF79" s="145">
        <f t="shared" si="608"/>
        <v>967.82200000000012</v>
      </c>
      <c r="BG79" s="145">
        <f t="shared" si="608"/>
        <v>-228.51400000000001</v>
      </c>
      <c r="BH79" s="145">
        <f t="shared" si="608"/>
        <v>382.048</v>
      </c>
      <c r="BI79" s="145">
        <f t="shared" si="608"/>
        <v>4873.8440000000001</v>
      </c>
      <c r="BJ79" s="145">
        <f t="shared" si="608"/>
        <v>-1117.0999999999995</v>
      </c>
      <c r="BK79" s="145">
        <f t="shared" si="608"/>
        <v>-1016.5000000000009</v>
      </c>
      <c r="BL79" s="145">
        <f t="shared" si="608"/>
        <v>1829.1000000000004</v>
      </c>
      <c r="BM79" s="2527">
        <f t="shared" si="608"/>
        <v>-3778.3530000000001</v>
      </c>
      <c r="BN79" s="145">
        <f t="shared" si="608"/>
        <v>-1339.598</v>
      </c>
      <c r="BO79" s="145">
        <f t="shared" si="608"/>
        <v>99.446322688320151</v>
      </c>
      <c r="BP79" s="686">
        <f t="shared" si="608"/>
        <v>19.452999999999975</v>
      </c>
      <c r="BQ79" s="686">
        <f t="shared" ref="BQ79" si="609">+BQ99-BP99+BQ110-BP110</f>
        <v>0</v>
      </c>
      <c r="BR79" s="686">
        <f t="shared" ref="BR79" si="610">+BR99-BQ99+BR110-BQ110</f>
        <v>0</v>
      </c>
      <c r="BS79" s="686">
        <f t="shared" ref="BS79" si="611">+BS99-BR99+BS110-BR110</f>
        <v>0</v>
      </c>
    </row>
    <row r="80" spans="2:71">
      <c r="B80" s="118" t="s">
        <v>502</v>
      </c>
      <c r="C80" s="145" t="e">
        <f t="shared" ref="C80:AE80" si="612">C81-(C74-C75+C76+C77+C78-C79)</f>
        <v>#VALUE!</v>
      </c>
      <c r="D80" s="145" t="e">
        <f t="shared" si="612"/>
        <v>#REF!</v>
      </c>
      <c r="E80" s="145" t="e">
        <f t="shared" si="612"/>
        <v>#REF!</v>
      </c>
      <c r="F80" s="145" t="e">
        <f t="shared" si="612"/>
        <v>#REF!</v>
      </c>
      <c r="G80" s="145" t="e">
        <f t="shared" si="612"/>
        <v>#REF!</v>
      </c>
      <c r="H80" s="145" t="e">
        <f t="shared" si="612"/>
        <v>#REF!</v>
      </c>
      <c r="I80" s="145" t="e">
        <f t="shared" si="612"/>
        <v>#REF!</v>
      </c>
      <c r="J80" s="145" t="e">
        <f t="shared" si="612"/>
        <v>#REF!</v>
      </c>
      <c r="K80" s="145" t="e">
        <f t="shared" si="612"/>
        <v>#REF!</v>
      </c>
      <c r="L80" s="145" t="e">
        <f t="shared" si="612"/>
        <v>#REF!</v>
      </c>
      <c r="M80" s="145" t="e">
        <f t="shared" si="612"/>
        <v>#REF!</v>
      </c>
      <c r="N80" s="145" t="e">
        <f t="shared" si="612"/>
        <v>#REF!</v>
      </c>
      <c r="O80" s="145" t="e">
        <f t="shared" si="612"/>
        <v>#REF!</v>
      </c>
      <c r="P80" s="145" t="e">
        <f t="shared" si="612"/>
        <v>#REF!</v>
      </c>
      <c r="Q80" s="145" t="e">
        <f t="shared" si="612"/>
        <v>#REF!</v>
      </c>
      <c r="R80" s="145" t="e">
        <f t="shared" si="612"/>
        <v>#REF!</v>
      </c>
      <c r="S80" s="145" t="e">
        <f t="shared" si="612"/>
        <v>#REF!</v>
      </c>
      <c r="T80" s="145" t="e">
        <f t="shared" si="612"/>
        <v>#REF!</v>
      </c>
      <c r="U80" s="145" t="e">
        <f t="shared" si="612"/>
        <v>#REF!</v>
      </c>
      <c r="V80" s="145" t="e">
        <f t="shared" si="612"/>
        <v>#REF!</v>
      </c>
      <c r="W80" s="145" t="e">
        <f t="shared" si="612"/>
        <v>#REF!</v>
      </c>
      <c r="X80" s="145" t="e">
        <f t="shared" si="612"/>
        <v>#REF!</v>
      </c>
      <c r="Y80" s="145" t="e">
        <f t="shared" si="612"/>
        <v>#REF!</v>
      </c>
      <c r="Z80" s="145" t="e">
        <f t="shared" si="612"/>
        <v>#REF!</v>
      </c>
      <c r="AA80" s="145" t="e">
        <f t="shared" si="612"/>
        <v>#REF!</v>
      </c>
      <c r="AB80" s="145" t="e">
        <f t="shared" si="612"/>
        <v>#REF!</v>
      </c>
      <c r="AC80" s="145" t="e">
        <f t="shared" si="612"/>
        <v>#REF!</v>
      </c>
      <c r="AD80" s="145" t="e">
        <f t="shared" si="612"/>
        <v>#REF!</v>
      </c>
      <c r="AE80" s="145" t="e">
        <f t="shared" si="612"/>
        <v>#REF!</v>
      </c>
      <c r="AF80" s="145" t="e">
        <f t="shared" ref="AF80:AG80" si="613">AF81-(AF74-AF75+AF76+AF77+AF78-AF79)</f>
        <v>#REF!</v>
      </c>
      <c r="AG80" s="145" t="e">
        <f t="shared" si="613"/>
        <v>#REF!</v>
      </c>
      <c r="AH80" s="145" t="e">
        <f t="shared" ref="AH80:AI80" si="614">AH81-(AH74-AH75+AH76+AH77+AH78-AH79)</f>
        <v>#REF!</v>
      </c>
      <c r="AI80" s="145" t="e">
        <f t="shared" si="614"/>
        <v>#REF!</v>
      </c>
      <c r="AJ80" s="145" t="e">
        <f t="shared" ref="AJ80" si="615">AJ81-(AJ74-AJ75+AJ76+AJ77+AJ78-AJ79)</f>
        <v>#REF!</v>
      </c>
      <c r="AK80" s="145" t="e">
        <f t="shared" ref="AK80:AL80" si="616">AK81-(AK74-AK75+AK76+AK77+AK78-AK79)</f>
        <v>#REF!</v>
      </c>
      <c r="AL80" s="145" t="e">
        <f t="shared" si="616"/>
        <v>#REF!</v>
      </c>
      <c r="AM80" s="2527">
        <f t="shared" ref="AM80:AQ80" si="617">AM81-(AM74-AM75+AM76+AM77+AM78-AM79)</f>
        <v>3697.6359999999986</v>
      </c>
      <c r="AN80" s="145">
        <f t="shared" si="617"/>
        <v>470.07300000000214</v>
      </c>
      <c r="AO80" s="145">
        <f t="shared" si="617"/>
        <v>6748.0098781498582</v>
      </c>
      <c r="AP80" s="145">
        <f t="shared" si="617"/>
        <v>-217.23582500000089</v>
      </c>
      <c r="AQ80" s="145">
        <f t="shared" si="617"/>
        <v>101.23427389165056</v>
      </c>
      <c r="AR80" s="145">
        <f t="shared" ref="AR80:AS80" si="618">AR81-(AR74-AR75+AR76+AR77+AR78-AR79)</f>
        <v>268.84100000000012</v>
      </c>
      <c r="AS80" s="145">
        <f t="shared" si="618"/>
        <v>-4861.6270000000013</v>
      </c>
      <c r="AT80" s="145">
        <f t="shared" ref="AT80" si="619">AT81-(AT74-AT75+AT76+AT77+AT78-AT79)</f>
        <v>-614.91899999999976</v>
      </c>
      <c r="AU80" s="686">
        <f t="shared" ref="AU80:AX80" si="620">AU81-(AU74-AU75+AU76+AU77+AU78-AU79)</f>
        <v>24.124040000003674</v>
      </c>
      <c r="AV80" s="686">
        <f t="shared" si="620"/>
        <v>24.610600800001123</v>
      </c>
      <c r="AW80" s="686">
        <f t="shared" si="620"/>
        <v>25.102812816003066</v>
      </c>
      <c r="AX80" s="686">
        <f t="shared" si="620"/>
        <v>25.604869072318309</v>
      </c>
      <c r="AZ80" s="686">
        <v>35.888240000000224</v>
      </c>
      <c r="BD80" s="145" t="e">
        <f t="shared" ref="BD80:BP80" si="621">BD81-(BD74-BD75+BD76+BD77+BD78-BD79)</f>
        <v>#REF!</v>
      </c>
      <c r="BE80" s="145" t="e">
        <f t="shared" si="621"/>
        <v>#REF!</v>
      </c>
      <c r="BF80" s="145" t="e">
        <f t="shared" si="621"/>
        <v>#REF!</v>
      </c>
      <c r="BG80" s="145" t="e">
        <f t="shared" si="621"/>
        <v>#REF!</v>
      </c>
      <c r="BH80" s="145" t="e">
        <f t="shared" si="621"/>
        <v>#REF!</v>
      </c>
      <c r="BI80" s="145" t="e">
        <f t="shared" si="621"/>
        <v>#REF!</v>
      </c>
      <c r="BJ80" s="145" t="e">
        <f t="shared" si="621"/>
        <v>#REF!</v>
      </c>
      <c r="BK80" s="145" t="e">
        <f t="shared" si="621"/>
        <v>#REF!</v>
      </c>
      <c r="BL80" s="145" t="e">
        <f t="shared" si="621"/>
        <v>#REF!</v>
      </c>
      <c r="BM80" s="2527">
        <f t="shared" ref="BM80:BN80" si="622">BM81-(BM74-BM75+BM76+BM77+BM78-BM79)</f>
        <v>10698.483053149859</v>
      </c>
      <c r="BN80" s="145">
        <f t="shared" si="622"/>
        <v>-5106.4707261083531</v>
      </c>
      <c r="BO80" s="145">
        <f t="shared" ref="BO80" si="623">BO81-(BO74-BO75+BO76+BO77+BO78-BO79)</f>
        <v>99.44232268832684</v>
      </c>
      <c r="BP80" s="686">
        <f t="shared" si="621"/>
        <v>0</v>
      </c>
      <c r="BQ80" s="686">
        <f t="shared" ref="BQ80:BS80" si="624">BQ81-(BQ74-BQ75+BQ76+BQ77+BQ78-BQ79)</f>
        <v>-2.2597801836725466</v>
      </c>
      <c r="BR80" s="686">
        <f t="shared" si="624"/>
        <v>1.6948351377563995</v>
      </c>
      <c r="BS80" s="686">
        <f t="shared" si="624"/>
        <v>-0.14123626147988944</v>
      </c>
    </row>
    <row r="81" spans="1:71">
      <c r="B81" s="118" t="s">
        <v>503</v>
      </c>
      <c r="C81" s="144" t="e">
        <f t="shared" ref="C81" si="625">C98-B98</f>
        <v>#VALUE!</v>
      </c>
      <c r="D81" s="144">
        <f t="shared" ref="D81" si="626">D98-C98</f>
        <v>-152.76099999999997</v>
      </c>
      <c r="E81" s="144">
        <f t="shared" ref="E81" si="627">E98-D98</f>
        <v>-189.69700000000012</v>
      </c>
      <c r="F81" s="144">
        <f t="shared" ref="F81" si="628">F98-E98</f>
        <v>-31.420999999999822</v>
      </c>
      <c r="G81" s="144">
        <f t="shared" ref="G81" si="629">G98-F98</f>
        <v>-239.82100000000014</v>
      </c>
      <c r="H81" s="144">
        <f t="shared" ref="H81" si="630">H98-G98</f>
        <v>-155.20699999999988</v>
      </c>
      <c r="I81" s="144">
        <f t="shared" ref="I81" si="631">I98-H98</f>
        <v>-411.80300000000011</v>
      </c>
      <c r="J81" s="144">
        <f t="shared" ref="J81" si="632">J98-I98</f>
        <v>306.45800000000008</v>
      </c>
      <c r="K81" s="144">
        <f t="shared" ref="K81" si="633">K98-J98</f>
        <v>-474.10300000000007</v>
      </c>
      <c r="L81" s="144">
        <f t="shared" ref="L81" si="634">L98-K98</f>
        <v>32.450000000000045</v>
      </c>
      <c r="M81" s="144">
        <f t="shared" ref="M81" si="635">M98-L98</f>
        <v>1560.5949999999998</v>
      </c>
      <c r="N81" s="144">
        <f t="shared" ref="N81" si="636">N98-M98</f>
        <v>-517.28099999999972</v>
      </c>
      <c r="O81" s="144">
        <f t="shared" ref="O81" si="637">O98-N98</f>
        <v>-894.50300000000004</v>
      </c>
      <c r="P81" s="144">
        <f t="shared" ref="P81" si="638">P98-O98</f>
        <v>-155.06500000000005</v>
      </c>
      <c r="Q81" s="144">
        <f t="shared" ref="Q81" si="639">Q98-P98</f>
        <v>-56.811000000000035</v>
      </c>
      <c r="R81" s="144">
        <f t="shared" ref="R81" si="640">R98-Q98</f>
        <v>628.29600000000005</v>
      </c>
      <c r="S81" s="144">
        <f t="shared" ref="S81" si="641">S98-R98</f>
        <v>-348.14200000000005</v>
      </c>
      <c r="T81" s="144">
        <f t="shared" ref="T81" si="642">T98-S98</f>
        <v>15.769000000000005</v>
      </c>
      <c r="U81" s="144">
        <f t="shared" ref="U81" si="643">U98-T98</f>
        <v>28.025000000000091</v>
      </c>
      <c r="V81" s="144">
        <f t="shared" ref="V81" si="644">V98-U98</f>
        <v>3602.9000000000005</v>
      </c>
      <c r="W81" s="144">
        <f t="shared" ref="W81" si="645">W98-V98</f>
        <v>-1363.5000000000005</v>
      </c>
      <c r="X81" s="144">
        <f t="shared" ref="X81" si="646">X98-W98</f>
        <v>1670.0000000000005</v>
      </c>
      <c r="Y81" s="144">
        <f t="shared" ref="Y81" si="647">Y98-X98</f>
        <v>239.79999999999927</v>
      </c>
      <c r="Z81" s="144">
        <f t="shared" ref="Z81" si="648">Z98-Y98</f>
        <v>761.80000000000018</v>
      </c>
      <c r="AA81" s="144">
        <f t="shared" ref="AA81" si="649">AA98-Z98</f>
        <v>-1495.3000000000002</v>
      </c>
      <c r="AB81" s="144">
        <f t="shared" ref="AB81" si="650">AB98-AA98</f>
        <v>178.40000000000055</v>
      </c>
      <c r="AC81" s="144">
        <f t="shared" ref="AC81" si="651">AC98-AB98</f>
        <v>-1450.4</v>
      </c>
      <c r="AD81" s="144">
        <f t="shared" ref="AD81" si="652">AD98-AC98</f>
        <v>952.90000000000009</v>
      </c>
      <c r="AE81" s="144">
        <f t="shared" ref="AE81" si="653">AE98-AD98</f>
        <v>-968.80000000000018</v>
      </c>
      <c r="AF81" s="144">
        <f t="shared" ref="AF81:AJ81" si="654">AF98-AE98</f>
        <v>5.3000000000001819</v>
      </c>
      <c r="AG81" s="144">
        <f t="shared" si="654"/>
        <v>208.5</v>
      </c>
      <c r="AH81" s="144">
        <f t="shared" si="654"/>
        <v>943.39999999999964</v>
      </c>
      <c r="AI81" s="144">
        <f t="shared" si="654"/>
        <v>-1971.1999999999998</v>
      </c>
      <c r="AJ81" s="144">
        <f t="shared" si="654"/>
        <v>50.599999999999909</v>
      </c>
      <c r="AK81" s="144">
        <f t="shared" ref="AK81" si="655">AK98-AJ98</f>
        <v>1017.4000000000001</v>
      </c>
      <c r="AL81" s="144">
        <f t="shared" ref="AL81" si="656">AL98-AK98</f>
        <v>458.40000000000009</v>
      </c>
      <c r="AM81" s="2528">
        <f t="shared" ref="AM81" si="657">AM98-AL98</f>
        <v>-603.97400000000016</v>
      </c>
      <c r="AN81" s="144">
        <f t="shared" ref="AN81" si="658">AN98-AM98</f>
        <v>-2503.7259999999997</v>
      </c>
      <c r="AO81" s="144">
        <f t="shared" ref="AO81" si="659">AO98-AN98</f>
        <v>515.97</v>
      </c>
      <c r="AP81" s="144">
        <f t="shared" ref="AP81" si="660">AP98-AO98</f>
        <v>582.01699999999983</v>
      </c>
      <c r="AQ81" s="144">
        <f t="shared" ref="AQ81" si="661">AQ98-AP98</f>
        <v>-177.81999999999994</v>
      </c>
      <c r="AR81" s="144">
        <f t="shared" ref="AR81" si="662">AR98-AQ98</f>
        <v>-303.91799999999989</v>
      </c>
      <c r="AS81" s="144">
        <f t="shared" ref="AS81:AT81" si="663">AS98-AR98</f>
        <v>55.580999999999904</v>
      </c>
      <c r="AT81" s="144">
        <f t="shared" si="663"/>
        <v>175.67599999999993</v>
      </c>
      <c r="AU81" s="685">
        <f t="shared" ref="AU81" si="664">AU98-AT98</f>
        <v>864.30546757509342</v>
      </c>
      <c r="AV81" s="685">
        <f t="shared" ref="AV81" si="665">AV98-AU98</f>
        <v>130.44338841074386</v>
      </c>
      <c r="AW81" s="685">
        <f t="shared" ref="AW81" si="666">AW98-AV98</f>
        <v>-43.72047784728511</v>
      </c>
      <c r="AX81" s="685">
        <f t="shared" ref="AX81" si="667">AX98-AW98</f>
        <v>212.38111854536237</v>
      </c>
      <c r="AZ81" s="685">
        <v>704.96185772185663</v>
      </c>
      <c r="BD81" s="144">
        <f t="shared" ref="BD81" si="668">BD98-BB98</f>
        <v>1591.8430000000001</v>
      </c>
      <c r="BE81" s="144">
        <f t="shared" ref="BE81" si="669">BE98-BD98</f>
        <v>-500.37300000000005</v>
      </c>
      <c r="BF81" s="144">
        <f t="shared" ref="BF81" si="670">BF98-BE98</f>
        <v>601.66100000000006</v>
      </c>
      <c r="BG81" s="144">
        <f t="shared" ref="BG81" si="671">BG98-BF98</f>
        <v>-478.08300000000008</v>
      </c>
      <c r="BH81" s="144">
        <f t="shared" ref="BH81" si="672">BH98-BG98</f>
        <v>3298.5520000000006</v>
      </c>
      <c r="BI81" s="144">
        <f t="shared" ref="BI81" si="673">BI98-BH98</f>
        <v>1308.0999999999995</v>
      </c>
      <c r="BJ81" s="144">
        <f t="shared" ref="BJ81" si="674">BJ98-BI98</f>
        <v>-1814.3999999999996</v>
      </c>
      <c r="BK81" s="144">
        <f t="shared" ref="BK81" si="675">BK98-BJ98</f>
        <v>188.39999999999964</v>
      </c>
      <c r="BL81" s="144">
        <f t="shared" ref="BL81:BO81" si="676">BL98-BK98</f>
        <v>-444.79999999999973</v>
      </c>
      <c r="BM81" s="2528">
        <f t="shared" si="676"/>
        <v>-2009.7130000000002</v>
      </c>
      <c r="BN81" s="144">
        <f t="shared" si="676"/>
        <v>-250.48099999999999</v>
      </c>
      <c r="BO81" s="144">
        <f t="shared" si="676"/>
        <v>1163.4094966839145</v>
      </c>
      <c r="BP81" s="685">
        <f t="shared" ref="BP81" si="677">BP98-BO98</f>
        <v>1039.2369511229554</v>
      </c>
      <c r="BQ81" s="685">
        <f t="shared" ref="BQ81" si="678">BQ98-BP98</f>
        <v>-447.2248831433717</v>
      </c>
      <c r="BR81" s="685">
        <f t="shared" ref="BR81" si="679">BR98-BQ98</f>
        <v>1098.8518550615686</v>
      </c>
      <c r="BS81" s="685">
        <f t="shared" ref="BS81" si="680">BS98-BR98</f>
        <v>1034.9117245478319</v>
      </c>
    </row>
    <row r="82" spans="1:71">
      <c r="B82" s="118"/>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2528"/>
      <c r="AN82" s="144"/>
      <c r="AO82" s="144"/>
      <c r="AP82" s="144"/>
      <c r="AQ82" s="144"/>
      <c r="AR82" s="144"/>
      <c r="AS82" s="144"/>
      <c r="AT82" s="144"/>
      <c r="AU82" s="685"/>
      <c r="AV82" s="685"/>
      <c r="AW82" s="685"/>
      <c r="AX82" s="685"/>
      <c r="AZ82" s="685"/>
      <c r="BD82" s="144"/>
      <c r="BE82" s="144"/>
      <c r="BF82" s="144"/>
      <c r="BG82" s="144"/>
      <c r="BH82" s="144"/>
      <c r="BI82" s="144"/>
      <c r="BJ82" s="144"/>
      <c r="BK82" s="144"/>
      <c r="BL82" s="144"/>
      <c r="BM82" s="2528"/>
      <c r="BN82" s="144"/>
      <c r="BO82" s="144"/>
      <c r="BP82" s="685"/>
      <c r="BQ82" s="685"/>
      <c r="BR82" s="685"/>
      <c r="BS82" s="685"/>
    </row>
    <row r="83" spans="1:71">
      <c r="B83" s="118" t="s">
        <v>194</v>
      </c>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c r="AH83" s="144"/>
      <c r="AI83" s="144"/>
      <c r="AJ83" s="144"/>
      <c r="AK83" s="144"/>
      <c r="AL83" s="144"/>
      <c r="AM83" s="2528"/>
      <c r="AN83" s="144"/>
      <c r="AO83" s="144"/>
      <c r="AP83" s="144"/>
      <c r="AQ83" s="144"/>
      <c r="AR83" s="144"/>
      <c r="AS83" s="144"/>
      <c r="AT83" s="144"/>
      <c r="AU83" s="685"/>
      <c r="AV83" s="685"/>
      <c r="AW83" s="685"/>
      <c r="AX83" s="685"/>
      <c r="AZ83" s="685"/>
      <c r="BD83" s="144"/>
      <c r="BE83" s="144"/>
      <c r="BF83" s="144"/>
      <c r="BG83" s="144"/>
      <c r="BH83" s="144"/>
      <c r="BI83" s="144"/>
      <c r="BJ83" s="144"/>
      <c r="BK83" s="144"/>
      <c r="BL83" s="144"/>
      <c r="BM83" s="2528"/>
      <c r="BN83" s="144"/>
      <c r="BO83" s="144"/>
      <c r="BP83" s="685"/>
      <c r="BQ83" s="685"/>
      <c r="BR83" s="685"/>
      <c r="BS83" s="685"/>
    </row>
    <row r="84" spans="1:71">
      <c r="B84" s="118"/>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2528"/>
      <c r="AN84" s="144"/>
      <c r="AO84" s="144"/>
      <c r="AP84" s="144"/>
      <c r="AQ84" s="144"/>
      <c r="AR84" s="144"/>
      <c r="AS84" s="144"/>
      <c r="AT84" s="144"/>
      <c r="AU84" s="685"/>
      <c r="AV84" s="685"/>
      <c r="AW84" s="685"/>
      <c r="AX84" s="685"/>
      <c r="AZ84" s="685"/>
      <c r="BD84" s="144"/>
      <c r="BE84" s="144"/>
      <c r="BF84" s="144"/>
      <c r="BG84" s="144"/>
      <c r="BH84" s="144"/>
      <c r="BI84" s="144"/>
      <c r="BJ84" s="144"/>
      <c r="BK84" s="144"/>
      <c r="BL84" s="144"/>
      <c r="BM84" s="2528"/>
      <c r="BN84" s="144"/>
      <c r="BO84" s="144"/>
      <c r="BP84" s="685"/>
      <c r="BQ84" s="685"/>
      <c r="BR84" s="685"/>
      <c r="BS84" s="685"/>
    </row>
    <row r="85" spans="1:71">
      <c r="B85" s="118"/>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c r="AH85" s="144"/>
      <c r="AI85" s="144"/>
      <c r="AJ85" s="144"/>
      <c r="AK85" s="144"/>
      <c r="AL85" s="144"/>
      <c r="AM85" s="2528"/>
      <c r="AN85" s="144"/>
      <c r="AO85" s="144"/>
      <c r="AP85" s="144"/>
      <c r="AQ85" s="144"/>
      <c r="AR85" s="144"/>
      <c r="AS85" s="144"/>
      <c r="AT85" s="144"/>
      <c r="AU85" s="685"/>
      <c r="AV85" s="685"/>
      <c r="AW85" s="685"/>
      <c r="AX85" s="685"/>
      <c r="AZ85" s="685"/>
      <c r="BD85" s="144"/>
      <c r="BE85" s="144"/>
      <c r="BF85" s="144"/>
      <c r="BG85" s="144"/>
      <c r="BH85" s="144"/>
      <c r="BI85" s="144"/>
      <c r="BJ85" s="144"/>
      <c r="BK85" s="144"/>
      <c r="BL85" s="144"/>
      <c r="BM85" s="2528"/>
      <c r="BN85" s="144"/>
      <c r="BO85" s="144"/>
      <c r="BP85" s="685"/>
      <c r="BQ85" s="685"/>
      <c r="BR85" s="685"/>
      <c r="BS85" s="685"/>
    </row>
    <row r="86" spans="1:71">
      <c r="B86" s="118"/>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c r="AH86" s="144"/>
      <c r="AI86" s="144"/>
      <c r="AJ86" s="144"/>
      <c r="AK86" s="144"/>
      <c r="AL86" s="144"/>
      <c r="AM86" s="2528"/>
      <c r="AN86" s="144"/>
      <c r="AO86" s="144"/>
      <c r="AP86" s="144"/>
      <c r="AQ86" s="144"/>
      <c r="AR86" s="144"/>
      <c r="AS86" s="144"/>
      <c r="AT86" s="144"/>
      <c r="AU86" s="685"/>
      <c r="AV86" s="685"/>
      <c r="AW86" s="685"/>
      <c r="AX86" s="685"/>
      <c r="AZ86" s="685"/>
      <c r="BD86" s="144"/>
      <c r="BE86" s="144"/>
      <c r="BF86" s="144"/>
      <c r="BG86" s="144"/>
      <c r="BH86" s="144"/>
      <c r="BI86" s="144"/>
      <c r="BJ86" s="144"/>
      <c r="BK86" s="144"/>
      <c r="BL86" s="144"/>
      <c r="BM86" s="2528"/>
      <c r="BN86" s="144"/>
      <c r="BO86" s="144"/>
      <c r="BP86" s="685"/>
      <c r="BQ86" s="685"/>
      <c r="BR86" s="685"/>
      <c r="BS86" s="685"/>
    </row>
    <row r="87" spans="1:71">
      <c r="B87" s="118"/>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c r="AH87" s="144"/>
      <c r="AI87" s="144"/>
      <c r="AJ87" s="144"/>
      <c r="AK87" s="144"/>
      <c r="AL87" s="144"/>
      <c r="AM87" s="2528"/>
      <c r="AN87" s="144"/>
      <c r="AO87" s="144"/>
      <c r="AP87" s="144"/>
      <c r="AQ87" s="144"/>
      <c r="AR87" s="144"/>
      <c r="AS87" s="144"/>
      <c r="AT87" s="144"/>
      <c r="AU87" s="685" t="s">
        <v>1004</v>
      </c>
      <c r="AV87" s="685" t="s">
        <v>1005</v>
      </c>
      <c r="AW87" s="685"/>
      <c r="AX87" s="685"/>
      <c r="AZ87" s="685"/>
      <c r="BD87" s="144"/>
      <c r="BE87" s="144"/>
      <c r="BF87" s="144"/>
      <c r="BG87" s="144"/>
      <c r="BH87" s="144"/>
      <c r="BI87" s="144"/>
      <c r="BJ87" s="144"/>
      <c r="BK87" s="144"/>
      <c r="BL87" s="144"/>
      <c r="BM87" s="2528"/>
      <c r="BN87" s="144"/>
      <c r="BO87" s="144"/>
      <c r="BP87" s="685"/>
      <c r="BQ87" s="685"/>
      <c r="BR87" s="685"/>
      <c r="BS87" s="685"/>
    </row>
    <row r="88" spans="1:71">
      <c r="B88" s="118"/>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c r="AH88" s="144"/>
      <c r="AI88" s="144"/>
      <c r="AJ88" s="144"/>
      <c r="AK88" s="144"/>
      <c r="AL88" s="144"/>
      <c r="AM88" s="2528"/>
      <c r="AN88" s="144"/>
      <c r="AO88" s="144"/>
      <c r="AP88" s="144"/>
      <c r="AQ88" s="144"/>
      <c r="AR88" s="144"/>
      <c r="AS88" s="144"/>
      <c r="AT88" s="144"/>
      <c r="AU88" s="685">
        <v>960</v>
      </c>
      <c r="AV88" s="685">
        <f>+AU88/10</f>
        <v>96</v>
      </c>
      <c r="AW88" t="s">
        <v>1007</v>
      </c>
      <c r="AX88" s="685">
        <f>+AV88</f>
        <v>96</v>
      </c>
      <c r="AY88" s="685">
        <f>+AX88/4</f>
        <v>24</v>
      </c>
      <c r="BD88" s="144"/>
      <c r="BE88" s="144"/>
      <c r="BF88" s="144"/>
      <c r="BG88" s="144"/>
      <c r="BH88" s="144"/>
      <c r="BI88" s="144"/>
      <c r="BJ88" s="144"/>
      <c r="BK88" s="144"/>
      <c r="BL88" s="144"/>
      <c r="BM88" s="2528"/>
      <c r="BN88" s="144"/>
      <c r="BO88" s="144"/>
      <c r="BP88" s="685"/>
      <c r="BQ88" s="685"/>
      <c r="BR88" s="685"/>
      <c r="BS88" s="685"/>
    </row>
    <row r="89" spans="1:71">
      <c r="B89" s="118"/>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c r="AH89" s="144"/>
      <c r="AI89" s="144"/>
      <c r="AJ89" s="144"/>
      <c r="AK89" s="144"/>
      <c r="AL89" s="144"/>
      <c r="AM89" s="2528"/>
      <c r="AN89" s="144"/>
      <c r="AO89" s="144"/>
      <c r="AP89" s="144"/>
      <c r="AQ89" s="144"/>
      <c r="AR89" s="144"/>
      <c r="AS89" s="144"/>
      <c r="AT89" s="144"/>
      <c r="AU89" s="685"/>
      <c r="AV89" s="685"/>
      <c r="AW89" t="s">
        <v>1008</v>
      </c>
      <c r="AX89" s="685">
        <f>+AV88*5</f>
        <v>480</v>
      </c>
      <c r="AY89" s="685">
        <f>+AX89/6</f>
        <v>80</v>
      </c>
      <c r="BD89" s="144"/>
      <c r="BE89" s="144"/>
      <c r="BF89" s="144"/>
      <c r="BG89" s="144"/>
      <c r="BH89" s="144"/>
      <c r="BI89" s="144"/>
      <c r="BJ89" s="144"/>
      <c r="BK89" s="144"/>
      <c r="BL89" s="144"/>
      <c r="BM89" s="2528"/>
      <c r="BN89" s="144"/>
      <c r="BO89" s="144"/>
      <c r="BP89" s="685"/>
      <c r="BQ89" s="685"/>
      <c r="BR89" s="685"/>
      <c r="BS89" s="685"/>
    </row>
    <row r="90" spans="1:71">
      <c r="B90" s="118"/>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c r="AH90" s="144"/>
      <c r="AI90" s="144"/>
      <c r="AJ90" s="144"/>
      <c r="AK90" s="144"/>
      <c r="AL90" s="144"/>
      <c r="AM90" s="2528"/>
      <c r="AN90" s="144"/>
      <c r="AO90" s="144"/>
      <c r="AP90" s="144"/>
      <c r="AQ90" s="144"/>
      <c r="AR90" s="144"/>
      <c r="AS90" s="144"/>
      <c r="AT90" s="144"/>
      <c r="AU90" s="685"/>
      <c r="AV90" s="685"/>
      <c r="AW90" t="s">
        <v>1006</v>
      </c>
      <c r="AX90" s="685">
        <f>+AU88-AX88-AX89</f>
        <v>384</v>
      </c>
      <c r="AY90" s="685">
        <f>+AX90/4</f>
        <v>96</v>
      </c>
      <c r="BD90" s="144"/>
      <c r="BE90" s="144"/>
      <c r="BF90" s="144"/>
      <c r="BG90" s="144"/>
      <c r="BH90" s="144"/>
      <c r="BI90" s="144"/>
      <c r="BJ90" s="144"/>
      <c r="BK90" s="144"/>
      <c r="BL90" s="144"/>
      <c r="BM90" s="2528"/>
      <c r="BN90" s="144"/>
      <c r="BO90" s="144"/>
      <c r="BP90" s="685"/>
      <c r="BQ90" s="685"/>
      <c r="BR90" s="685"/>
      <c r="BS90" s="685"/>
    </row>
    <row r="91" spans="1:71">
      <c r="B91" s="118"/>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c r="AH91" s="144"/>
      <c r="AI91" s="144"/>
      <c r="AJ91" s="144"/>
      <c r="AK91" s="144"/>
      <c r="AL91" s="144"/>
      <c r="AM91" s="2528"/>
      <c r="AN91" s="144"/>
      <c r="AO91" s="144"/>
      <c r="AP91" s="144"/>
      <c r="AQ91" s="144"/>
      <c r="AR91" s="144"/>
      <c r="AS91" s="144"/>
      <c r="AT91" s="144"/>
      <c r="AU91" s="685"/>
      <c r="AV91" s="685"/>
      <c r="AX91" s="685"/>
      <c r="AY91" s="685"/>
      <c r="BD91" s="144"/>
      <c r="BE91" s="144"/>
      <c r="BF91" s="144"/>
      <c r="BG91" s="144"/>
      <c r="BH91" s="144"/>
      <c r="BI91" s="144"/>
      <c r="BJ91" s="144"/>
      <c r="BK91" s="144"/>
      <c r="BL91" s="144"/>
      <c r="BM91" s="2528"/>
      <c r="BN91" s="144"/>
      <c r="BO91" s="144"/>
      <c r="BP91" s="685"/>
      <c r="BQ91" s="685"/>
      <c r="BR91" s="685"/>
      <c r="BS91" s="685"/>
    </row>
    <row r="92" spans="1:71">
      <c r="B92" s="118"/>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c r="AH92" s="144"/>
      <c r="AI92" s="144"/>
      <c r="AJ92" s="144"/>
      <c r="AK92" s="144"/>
      <c r="AL92" s="144"/>
      <c r="AM92" s="2528"/>
      <c r="AN92" s="144"/>
      <c r="AO92" s="144"/>
      <c r="AP92" s="144"/>
      <c r="AQ92" s="144"/>
      <c r="AR92" s="144"/>
      <c r="AS92" s="144"/>
      <c r="AT92" s="144"/>
      <c r="AU92" s="685"/>
      <c r="AV92" s="685"/>
      <c r="AX92" s="685"/>
      <c r="AY92" s="685"/>
      <c r="BD92" s="144"/>
      <c r="BE92" s="144"/>
      <c r="BF92" s="144"/>
      <c r="BG92" s="144"/>
      <c r="BH92" s="144"/>
      <c r="BI92" s="144"/>
      <c r="BJ92" s="144"/>
      <c r="BK92" s="144"/>
      <c r="BL92" s="144"/>
      <c r="BM92" s="2528"/>
      <c r="BN92" s="144"/>
      <c r="BO92" s="144"/>
      <c r="BP92" s="685"/>
      <c r="BQ92" s="685"/>
      <c r="BR92" s="685"/>
      <c r="BS92" s="685"/>
    </row>
    <row r="93" spans="1:71">
      <c r="B93" s="118"/>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c r="AA93" s="144"/>
      <c r="AB93" s="144"/>
      <c r="AC93" s="144"/>
      <c r="AD93" s="144"/>
      <c r="AE93" s="144"/>
      <c r="AF93" s="144"/>
      <c r="AG93" s="144"/>
      <c r="AH93" s="144"/>
      <c r="AI93" s="144"/>
      <c r="AJ93" s="144"/>
      <c r="AK93" s="144"/>
      <c r="AL93" s="144"/>
      <c r="AM93" s="2528"/>
      <c r="AN93" s="144"/>
      <c r="AO93" s="144"/>
      <c r="AP93" s="144"/>
      <c r="AQ93" s="144"/>
      <c r="AR93" s="144"/>
      <c r="AS93" s="144"/>
      <c r="AT93" s="144"/>
      <c r="AU93" s="685"/>
      <c r="AV93" s="685"/>
      <c r="AW93" s="685"/>
      <c r="AX93" s="685"/>
      <c r="AY93" s="1264"/>
      <c r="AZ93" s="685"/>
      <c r="BD93" s="144"/>
      <c r="BE93" s="144"/>
      <c r="BF93" s="144"/>
      <c r="BG93" s="144"/>
      <c r="BH93" s="144"/>
      <c r="BI93" s="144"/>
      <c r="BJ93" s="144"/>
      <c r="BK93" s="144"/>
      <c r="BL93" s="144"/>
      <c r="BM93" s="2528"/>
      <c r="BN93" s="144"/>
      <c r="BO93" s="144"/>
      <c r="BP93" s="685"/>
      <c r="BQ93" s="685"/>
      <c r="BR93" s="685"/>
      <c r="BS93" s="685"/>
    </row>
    <row r="95" spans="1:71">
      <c r="AF95" s="1264">
        <f>+AF100-AD100</f>
        <v>-224.70000000000027</v>
      </c>
      <c r="AG95" s="1264"/>
      <c r="AH95" s="1264"/>
      <c r="AI95" s="1264"/>
      <c r="AJ95" s="1264"/>
      <c r="BI95" s="140" t="e">
        <f ca="1">+BI74/Resumo!K69</f>
        <v>#REF!</v>
      </c>
      <c r="BJ95" s="140" t="e">
        <f ca="1">+BJ74/Resumo!L69</f>
        <v>#REF!</v>
      </c>
      <c r="BK95" s="140" t="e">
        <f ca="1">+BK74/Resumo!M69</f>
        <v>#REF!</v>
      </c>
      <c r="BL95" s="140" t="e">
        <f ca="1">+BL74/Resumo!N69</f>
        <v>#REF!</v>
      </c>
      <c r="BM95" s="2563">
        <f ca="1">+BM74/Resumo!O69</f>
        <v>-0.80156107908177088</v>
      </c>
      <c r="BN95" s="140">
        <f ca="1">+BN74/Resumo!P69</f>
        <v>-8.627472537749873E-3</v>
      </c>
      <c r="BO95" s="140">
        <f ca="1">+BO74/Resumo!Q69</f>
        <v>6.7880411632573329E-2</v>
      </c>
      <c r="BP95" s="140">
        <f ca="1">+BP68/Resumo!R69</f>
        <v>8.7396131771617355E-2</v>
      </c>
      <c r="BQ95" s="140">
        <f ca="1">+BQ68/Resumo!S69</f>
        <v>8.1049502968309428E-2</v>
      </c>
      <c r="BR95" s="140">
        <f ca="1">+BR68/Resumo!T69</f>
        <v>8.2295602204699003E-2</v>
      </c>
      <c r="BS95" s="140">
        <f ca="1">+BS68/Resumo!U69</f>
        <v>8.5128515144428984E-2</v>
      </c>
    </row>
    <row r="96" spans="1:71" s="124" customFormat="1">
      <c r="A96" s="274"/>
      <c r="B96" s="294" t="s">
        <v>504</v>
      </c>
      <c r="C96" s="282" t="str">
        <f t="shared" ref="C96:AK96" si="681">+C$2</f>
        <v>1T15</v>
      </c>
      <c r="D96" s="282" t="str">
        <f t="shared" si="681"/>
        <v>2T15</v>
      </c>
      <c r="E96" s="282" t="str">
        <f t="shared" si="681"/>
        <v>3T15</v>
      </c>
      <c r="F96" s="282" t="str">
        <f t="shared" si="681"/>
        <v>4T15</v>
      </c>
      <c r="G96" s="282" t="str">
        <f t="shared" si="681"/>
        <v>1T16</v>
      </c>
      <c r="H96" s="282" t="str">
        <f t="shared" si="681"/>
        <v>2T16</v>
      </c>
      <c r="I96" s="282" t="str">
        <f t="shared" si="681"/>
        <v>3T16</v>
      </c>
      <c r="J96" s="282" t="str">
        <f t="shared" si="681"/>
        <v>4T16</v>
      </c>
      <c r="K96" s="282" t="str">
        <f t="shared" si="681"/>
        <v>1T17</v>
      </c>
      <c r="L96" s="282" t="str">
        <f t="shared" si="681"/>
        <v>2T17</v>
      </c>
      <c r="M96" s="282" t="str">
        <f t="shared" si="681"/>
        <v>3T17</v>
      </c>
      <c r="N96" s="282" t="str">
        <f t="shared" si="681"/>
        <v>4T17</v>
      </c>
      <c r="O96" s="282" t="str">
        <f t="shared" si="681"/>
        <v>1T18</v>
      </c>
      <c r="P96" s="282" t="str">
        <f t="shared" si="681"/>
        <v>2T18</v>
      </c>
      <c r="Q96" s="282" t="str">
        <f t="shared" si="681"/>
        <v>3T18</v>
      </c>
      <c r="R96" s="282" t="str">
        <f t="shared" si="681"/>
        <v>4T18</v>
      </c>
      <c r="S96" s="282" t="str">
        <f t="shared" si="681"/>
        <v>1T19</v>
      </c>
      <c r="T96" s="282" t="str">
        <f t="shared" si="681"/>
        <v>2T19</v>
      </c>
      <c r="U96" s="282" t="str">
        <f t="shared" si="681"/>
        <v>3T19</v>
      </c>
      <c r="V96" s="282" t="str">
        <f t="shared" si="681"/>
        <v>4T19</v>
      </c>
      <c r="W96" s="282" t="str">
        <f t="shared" si="681"/>
        <v>1T20</v>
      </c>
      <c r="X96" s="282" t="str">
        <f t="shared" si="681"/>
        <v>2T20</v>
      </c>
      <c r="Y96" s="282" t="str">
        <f t="shared" si="681"/>
        <v>3T20</v>
      </c>
      <c r="Z96" s="282" t="str">
        <f t="shared" si="681"/>
        <v>4T20</v>
      </c>
      <c r="AA96" s="282" t="str">
        <f t="shared" si="681"/>
        <v>1T21</v>
      </c>
      <c r="AB96" s="282" t="str">
        <f t="shared" si="681"/>
        <v>2T21</v>
      </c>
      <c r="AC96" s="282" t="str">
        <f t="shared" si="681"/>
        <v>3T21</v>
      </c>
      <c r="AD96" s="282" t="str">
        <f t="shared" si="681"/>
        <v>4T21</v>
      </c>
      <c r="AE96" s="282" t="str">
        <f t="shared" si="681"/>
        <v>1T22</v>
      </c>
      <c r="AF96" s="282" t="str">
        <f t="shared" si="681"/>
        <v>2T22</v>
      </c>
      <c r="AG96" s="282" t="str">
        <f t="shared" si="681"/>
        <v>3T22</v>
      </c>
      <c r="AH96" s="282" t="str">
        <f t="shared" si="681"/>
        <v>4T22</v>
      </c>
      <c r="AI96" s="282" t="str">
        <f t="shared" si="681"/>
        <v>1T23</v>
      </c>
      <c r="AJ96" s="282" t="str">
        <f t="shared" si="681"/>
        <v>2T23</v>
      </c>
      <c r="AK96" s="282" t="str">
        <f t="shared" si="681"/>
        <v>3T23</v>
      </c>
      <c r="AL96" s="282" t="str">
        <f>+AL$2</f>
        <v>4T23</v>
      </c>
      <c r="AM96" s="2508" t="str">
        <f t="shared" ref="AM96:AX96" si="682">+AM$2</f>
        <v>1T24</v>
      </c>
      <c r="AN96" s="282" t="str">
        <f t="shared" si="682"/>
        <v>2T24</v>
      </c>
      <c r="AO96" s="282" t="str">
        <f t="shared" si="682"/>
        <v>3T24</v>
      </c>
      <c r="AP96" s="282" t="str">
        <f t="shared" si="682"/>
        <v>4T24</v>
      </c>
      <c r="AQ96" s="282" t="str">
        <f t="shared" si="682"/>
        <v>1T25</v>
      </c>
      <c r="AR96" s="282" t="str">
        <f t="shared" si="682"/>
        <v>2T25</v>
      </c>
      <c r="AS96" s="282" t="str">
        <f t="shared" si="682"/>
        <v>3T25</v>
      </c>
      <c r="AT96" s="282" t="str">
        <f t="shared" si="682"/>
        <v>4T25</v>
      </c>
      <c r="AU96" s="282" t="str">
        <f t="shared" si="682"/>
        <v>1T26</v>
      </c>
      <c r="AV96" s="282" t="str">
        <f t="shared" si="682"/>
        <v>2T26</v>
      </c>
      <c r="AW96" s="282" t="str">
        <f t="shared" si="682"/>
        <v>3T26</v>
      </c>
      <c r="AX96" s="282" t="str">
        <f t="shared" si="682"/>
        <v>4T26</v>
      </c>
      <c r="AY96" s="274"/>
      <c r="AZ96" s="282" t="s">
        <v>461</v>
      </c>
      <c r="BA96" s="1073"/>
      <c r="BB96" s="274"/>
      <c r="BC96" s="274"/>
      <c r="BD96" s="160">
        <f>+BD$2</f>
        <v>2015</v>
      </c>
      <c r="BE96" s="160">
        <f t="shared" ref="BE96:BS96" si="683">+BE$2</f>
        <v>2016</v>
      </c>
      <c r="BF96" s="160">
        <f t="shared" si="683"/>
        <v>2017</v>
      </c>
      <c r="BG96" s="160">
        <f t="shared" si="683"/>
        <v>2018</v>
      </c>
      <c r="BH96" s="160">
        <f t="shared" si="683"/>
        <v>2019</v>
      </c>
      <c r="BI96" s="160">
        <f t="shared" si="683"/>
        <v>2020</v>
      </c>
      <c r="BJ96" s="160">
        <f t="shared" si="683"/>
        <v>2021</v>
      </c>
      <c r="BK96" s="160">
        <f t="shared" si="683"/>
        <v>2022</v>
      </c>
      <c r="BL96" s="160">
        <f t="shared" si="683"/>
        <v>2023</v>
      </c>
      <c r="BM96" s="2607">
        <f t="shared" si="683"/>
        <v>2024</v>
      </c>
      <c r="BN96" s="160">
        <f t="shared" si="683"/>
        <v>2025</v>
      </c>
      <c r="BO96" s="160">
        <f t="shared" si="683"/>
        <v>2026</v>
      </c>
      <c r="BP96" s="160">
        <f t="shared" si="683"/>
        <v>2027</v>
      </c>
      <c r="BQ96" s="160">
        <f t="shared" si="683"/>
        <v>2028</v>
      </c>
      <c r="BR96" s="160">
        <f t="shared" si="683"/>
        <v>2029</v>
      </c>
      <c r="BS96" s="160">
        <f t="shared" si="683"/>
        <v>2030</v>
      </c>
    </row>
    <row r="97" spans="2:71">
      <c r="B97" s="119" t="s">
        <v>505</v>
      </c>
      <c r="C97" s="264">
        <f>+C98+C99+C100+C102+C103+C107</f>
        <v>5771.4160000000002</v>
      </c>
      <c r="D97" s="264">
        <f t="shared" ref="D97:T97" si="684">+D98+D99+D100+D102+D103+D107</f>
        <v>5401.1540000000005</v>
      </c>
      <c r="E97" s="264">
        <f t="shared" si="684"/>
        <v>6459.5480000000007</v>
      </c>
      <c r="F97" s="264">
        <f t="shared" si="684"/>
        <v>6018.7060000000001</v>
      </c>
      <c r="G97" s="264">
        <f t="shared" si="684"/>
        <v>5427.96</v>
      </c>
      <c r="H97" s="264">
        <f t="shared" si="684"/>
        <v>5000.8760000000002</v>
      </c>
      <c r="I97" s="264">
        <f t="shared" si="684"/>
        <v>4436.8789999999999</v>
      </c>
      <c r="J97" s="264">
        <f t="shared" si="684"/>
        <v>4802.8999999999996</v>
      </c>
      <c r="K97" s="264">
        <f t="shared" si="684"/>
        <v>4105.7839999999997</v>
      </c>
      <c r="L97" s="264">
        <f t="shared" si="684"/>
        <v>4056.9780000000001</v>
      </c>
      <c r="M97" s="264">
        <f t="shared" si="684"/>
        <v>7019.683</v>
      </c>
      <c r="N97" s="264">
        <f t="shared" si="684"/>
        <v>7056.3090000000002</v>
      </c>
      <c r="O97" s="264">
        <f t="shared" si="684"/>
        <v>6189.4060000000009</v>
      </c>
      <c r="P97" s="264">
        <f t="shared" si="684"/>
        <v>5852.567</v>
      </c>
      <c r="Q97" s="264">
        <f t="shared" si="684"/>
        <v>6127.3189999999995</v>
      </c>
      <c r="R97" s="264">
        <f t="shared" si="684"/>
        <v>6455.759</v>
      </c>
      <c r="S97" s="264">
        <f t="shared" si="684"/>
        <v>5332.3530000000001</v>
      </c>
      <c r="T97" s="264">
        <f t="shared" si="684"/>
        <v>5880.25</v>
      </c>
      <c r="U97" s="264">
        <f t="shared" ref="U97:Z97" si="685">+U98+U99+U100+U102+U103+U107</f>
        <v>6209.9000000000005</v>
      </c>
      <c r="V97" s="265">
        <f t="shared" si="685"/>
        <v>9430.1000000000022</v>
      </c>
      <c r="W97" s="265">
        <f t="shared" si="685"/>
        <v>13739.099999999999</v>
      </c>
      <c r="X97" s="265">
        <f t="shared" si="685"/>
        <v>17064.5</v>
      </c>
      <c r="Y97" s="265">
        <f t="shared" si="685"/>
        <v>19099.3</v>
      </c>
      <c r="Z97" s="265">
        <f t="shared" si="685"/>
        <v>18734.8</v>
      </c>
      <c r="AA97" s="265">
        <f>+AA98+AA99+AA100+AA102+AA103+AA107</f>
        <v>17739</v>
      </c>
      <c r="AB97" s="265">
        <f>+AB98+AB99+AB100+AB102+AB103+AB107</f>
        <v>19347.399999999998</v>
      </c>
      <c r="AC97" s="265">
        <f>+AC98+AC99+AC100+AC102+AC103+AC107</f>
        <v>17080.400000000001</v>
      </c>
      <c r="AD97" s="265">
        <f>+AD98+AD99+AD100+AD102+AD103+AD107</f>
        <v>17449.899999999998</v>
      </c>
      <c r="AE97" s="265">
        <f t="shared" ref="AE97:AH97" si="686">+AE98+AE99+AE100+AE102+AE103+AE107</f>
        <v>14749.1</v>
      </c>
      <c r="AF97" s="265">
        <f t="shared" si="686"/>
        <v>15089.1</v>
      </c>
      <c r="AG97" s="265">
        <f t="shared" si="686"/>
        <v>15685.300000000001</v>
      </c>
      <c r="AH97" s="265">
        <f t="shared" si="686"/>
        <v>16121.5</v>
      </c>
      <c r="AI97" s="265">
        <f t="shared" ref="AI97:AL97" si="687">+AI98+AI99+AI100+AI102+AI103+AI107</f>
        <v>16368</v>
      </c>
      <c r="AJ97" s="265">
        <f t="shared" si="687"/>
        <v>16271.7</v>
      </c>
      <c r="AK97" s="265">
        <f t="shared" si="687"/>
        <v>17463.2</v>
      </c>
      <c r="AL97" s="265">
        <f t="shared" si="687"/>
        <v>15987.199999999999</v>
      </c>
      <c r="AM97" s="2523">
        <f t="shared" ref="AM97:AP97" si="688">+SUM(AM98:AM107)</f>
        <v>12558.697000000002</v>
      </c>
      <c r="AN97" s="265">
        <f t="shared" si="688"/>
        <v>11697.885000000002</v>
      </c>
      <c r="AO97" s="265">
        <f t="shared" si="688"/>
        <v>12762.525000000001</v>
      </c>
      <c r="AP97" s="265">
        <f t="shared" si="688"/>
        <v>13380.032999999998</v>
      </c>
      <c r="AQ97" s="265">
        <f>+SUM(AQ98:AQ107)</f>
        <v>13132.931</v>
      </c>
      <c r="AR97" s="265">
        <f t="shared" ref="AR97:AS97" si="689">+SUM(AR98:AR107)</f>
        <v>13576.947</v>
      </c>
      <c r="AS97" s="265">
        <f t="shared" si="689"/>
        <v>12210.956</v>
      </c>
      <c r="AT97" s="265">
        <f t="shared" ref="AT97" si="690">+SUM(AT98:AT107)</f>
        <v>12214.288000000002</v>
      </c>
      <c r="AU97" s="265">
        <f t="shared" ref="AU97" si="691">+SUM(AU98:AU107)</f>
        <v>11168.351622320743</v>
      </c>
      <c r="AV97" s="265">
        <f t="shared" ref="AV97" si="692">+SUM(AV98:AV107)</f>
        <v>11825.139573010234</v>
      </c>
      <c r="AW97" s="265">
        <f t="shared" ref="AW97" si="693">+SUM(AW98:AW107)</f>
        <v>12356.870486065925</v>
      </c>
      <c r="AX97" s="265">
        <f t="shared" ref="AX97" si="694">+SUM(AX98:AX107)</f>
        <v>13597.530610777934</v>
      </c>
      <c r="AY97" s="146"/>
      <c r="AZ97" s="265">
        <v>12224.167771982931</v>
      </c>
      <c r="BA97" s="1074"/>
      <c r="BB97" s="146"/>
      <c r="BC97" s="146"/>
      <c r="BD97" s="265">
        <f t="shared" ref="BD97:BD107" si="695">+F97</f>
        <v>6018.7060000000001</v>
      </c>
      <c r="BE97" s="265">
        <f t="shared" ref="BE97:BE107" si="696">+J97</f>
        <v>4802.8999999999996</v>
      </c>
      <c r="BF97" s="265">
        <f t="shared" ref="BF97:BF107" si="697">+N97</f>
        <v>7056.3090000000002</v>
      </c>
      <c r="BG97" s="265">
        <f t="shared" ref="BG97:BG107" si="698">+R97</f>
        <v>6455.759</v>
      </c>
      <c r="BH97" s="265">
        <f t="shared" ref="BH97:BH107" si="699">+V97</f>
        <v>9430.1000000000022</v>
      </c>
      <c r="BI97" s="265">
        <f t="shared" ref="BI97:BI107" si="700">+Z97</f>
        <v>18734.8</v>
      </c>
      <c r="BJ97" s="265">
        <f t="shared" ref="BJ97:BJ107" si="701">+AD97</f>
        <v>17449.899999999998</v>
      </c>
      <c r="BK97" s="265">
        <f t="shared" ref="BK97:BK107" si="702">+AH97</f>
        <v>16121.5</v>
      </c>
      <c r="BL97" s="265">
        <f t="shared" ref="BL97:BL107" si="703">+AL97</f>
        <v>15987.199999999999</v>
      </c>
      <c r="BM97" s="2523">
        <f t="shared" ref="BM97:BM100" si="704">+AP97</f>
        <v>13380.032999999998</v>
      </c>
      <c r="BN97" s="265">
        <f t="shared" ref="BN97:BN100" si="705">+AT97</f>
        <v>12214.288000000002</v>
      </c>
      <c r="BO97" s="265">
        <f t="shared" ref="BO97:BO107" si="706">+AX97</f>
        <v>13597.530610777934</v>
      </c>
      <c r="BP97" s="265">
        <f t="shared" ref="BP97" si="707">+SUM(BP98:BP107)</f>
        <v>15149.526785850117</v>
      </c>
      <c r="BQ97" s="265">
        <f t="shared" ref="BQ97" si="708">+SUM(BQ98:BQ107)</f>
        <v>15090.856340176626</v>
      </c>
      <c r="BR97" s="265">
        <f t="shared" ref="BR97" si="709">+SUM(BR98:BR107)</f>
        <v>16589.977392343655</v>
      </c>
      <c r="BS97" s="265">
        <f t="shared" ref="BS97" si="710">+SUM(BS98:BS107)</f>
        <v>18009.966678412227</v>
      </c>
    </row>
    <row r="98" spans="2:71">
      <c r="B98" s="102" t="s">
        <v>506</v>
      </c>
      <c r="C98" s="833">
        <v>1965.722</v>
      </c>
      <c r="D98" s="833">
        <v>1812.961</v>
      </c>
      <c r="E98" s="833">
        <v>1623.2639999999999</v>
      </c>
      <c r="F98" s="833">
        <v>1591.8430000000001</v>
      </c>
      <c r="G98" s="833">
        <v>1352.0219999999999</v>
      </c>
      <c r="H98" s="833">
        <v>1196.8150000000001</v>
      </c>
      <c r="I98" s="833">
        <v>785.01199999999994</v>
      </c>
      <c r="J98" s="833">
        <v>1091.47</v>
      </c>
      <c r="K98" s="833">
        <v>617.36699999999996</v>
      </c>
      <c r="L98" s="833">
        <v>649.81700000000001</v>
      </c>
      <c r="M98" s="833">
        <v>2210.4119999999998</v>
      </c>
      <c r="N98" s="833">
        <v>1693.1310000000001</v>
      </c>
      <c r="O98" s="833">
        <v>798.62800000000004</v>
      </c>
      <c r="P98" s="833">
        <v>643.56299999999999</v>
      </c>
      <c r="Q98" s="833">
        <v>586.75199999999995</v>
      </c>
      <c r="R98" s="833">
        <v>1215.048</v>
      </c>
      <c r="S98" s="833">
        <v>866.90599999999995</v>
      </c>
      <c r="T98" s="833">
        <v>882.67499999999995</v>
      </c>
      <c r="U98" s="833">
        <v>910.7</v>
      </c>
      <c r="V98" s="324">
        <v>4513.6000000000004</v>
      </c>
      <c r="W98" s="324">
        <v>3150.1</v>
      </c>
      <c r="X98" s="324">
        <v>4820.1000000000004</v>
      </c>
      <c r="Y98" s="324">
        <v>5059.8999999999996</v>
      </c>
      <c r="Z98" s="324">
        <v>5821.7</v>
      </c>
      <c r="AA98" s="324">
        <v>4326.3999999999996</v>
      </c>
      <c r="AB98" s="324">
        <v>4504.8</v>
      </c>
      <c r="AC98" s="324">
        <v>3054.4</v>
      </c>
      <c r="AD98" s="324">
        <v>4007.3</v>
      </c>
      <c r="AE98" s="324">
        <v>3038.5</v>
      </c>
      <c r="AF98" s="324">
        <v>3043.8</v>
      </c>
      <c r="AG98" s="324">
        <v>3252.3</v>
      </c>
      <c r="AH98" s="324">
        <v>4195.7</v>
      </c>
      <c r="AI98" s="324">
        <v>2224.5</v>
      </c>
      <c r="AJ98" s="324">
        <v>2275.1</v>
      </c>
      <c r="AK98" s="324">
        <v>3292.5</v>
      </c>
      <c r="AL98" s="324">
        <v>3750.9</v>
      </c>
      <c r="AM98" s="2522">
        <v>3146.9259999999999</v>
      </c>
      <c r="AN98" s="324">
        <v>643.20000000000005</v>
      </c>
      <c r="AO98" s="324">
        <v>1159.17</v>
      </c>
      <c r="AP98" s="324">
        <v>1741.1869999999999</v>
      </c>
      <c r="AQ98" s="324">
        <v>1563.367</v>
      </c>
      <c r="AR98" s="324">
        <v>1259.4490000000001</v>
      </c>
      <c r="AS98" s="324">
        <v>1315.03</v>
      </c>
      <c r="AT98" s="324">
        <v>1490.7059999999999</v>
      </c>
      <c r="AU98" s="267">
        <f t="shared" ref="AU98:AX98" si="711">+AU142-AU111-AU108-AU107-AU103-AU102-AU100-AU99-AU106-AU105-AU104-AU101</f>
        <v>2355.0114675750933</v>
      </c>
      <c r="AV98" s="267">
        <f t="shared" si="711"/>
        <v>2485.4548559858372</v>
      </c>
      <c r="AW98" s="267">
        <f t="shared" si="711"/>
        <v>2441.7343781385521</v>
      </c>
      <c r="AX98" s="267">
        <f t="shared" si="711"/>
        <v>2654.1154966839144</v>
      </c>
      <c r="AY98" s="146"/>
      <c r="AZ98" s="267">
        <v>2019.9918577218566</v>
      </c>
      <c r="BA98" s="1074"/>
      <c r="BB98" s="146"/>
      <c r="BC98" s="146"/>
      <c r="BD98" s="266">
        <f t="shared" si="695"/>
        <v>1591.8430000000001</v>
      </c>
      <c r="BE98" s="266">
        <f t="shared" si="696"/>
        <v>1091.47</v>
      </c>
      <c r="BF98" s="266">
        <f t="shared" si="697"/>
        <v>1693.1310000000001</v>
      </c>
      <c r="BG98" s="266">
        <f t="shared" si="698"/>
        <v>1215.048</v>
      </c>
      <c r="BH98" s="266">
        <f t="shared" si="699"/>
        <v>4513.6000000000004</v>
      </c>
      <c r="BI98" s="266">
        <f t="shared" si="700"/>
        <v>5821.7</v>
      </c>
      <c r="BJ98" s="266">
        <f t="shared" si="701"/>
        <v>4007.3</v>
      </c>
      <c r="BK98" s="266">
        <f t="shared" si="702"/>
        <v>4195.7</v>
      </c>
      <c r="BL98" s="266">
        <f t="shared" si="703"/>
        <v>3750.9</v>
      </c>
      <c r="BM98" s="2608">
        <f t="shared" si="704"/>
        <v>1741.1869999999999</v>
      </c>
      <c r="BN98" s="266">
        <f t="shared" si="705"/>
        <v>1490.7059999999999</v>
      </c>
      <c r="BO98" s="266">
        <f t="shared" si="706"/>
        <v>2654.1154966839144</v>
      </c>
      <c r="BP98" s="267">
        <f t="shared" ref="BP98" si="712">+BP142-BP111-BP108-BP107-BP103-BP102-BP100-BP99-BP106-BP105-BP104-BP101</f>
        <v>3693.3524478068698</v>
      </c>
      <c r="BQ98" s="267">
        <f t="shared" ref="BQ98" si="713">+BQ142-BQ111-BQ108-BQ107-BQ103-BQ102-BQ100-BQ99-BQ106-BQ105-BQ104-BQ101</f>
        <v>3246.1275646634981</v>
      </c>
      <c r="BR98" s="267">
        <f t="shared" ref="BR98" si="714">+BR142-BR111-BR108-BR107-BR103-BR102-BR100-BR99-BR106-BR105-BR104-BR101</f>
        <v>4344.9794197250667</v>
      </c>
      <c r="BS98" s="267">
        <f t="shared" ref="BS98" si="715">+BS142-BS111-BS108-BS107-BS103-BS102-BS100-BS99-BS106-BS105-BS104-BS101</f>
        <v>5379.8911442728986</v>
      </c>
    </row>
    <row r="99" spans="2:71">
      <c r="B99" s="102" t="s">
        <v>507</v>
      </c>
      <c r="C99" s="833">
        <v>713.64200000000005</v>
      </c>
      <c r="D99" s="833">
        <v>824.22500000000002</v>
      </c>
      <c r="E99" s="833">
        <v>1284.607</v>
      </c>
      <c r="F99" s="833">
        <v>1191.836</v>
      </c>
      <c r="G99" s="833">
        <v>1072.098</v>
      </c>
      <c r="H99" s="833">
        <v>1075.3610000000001</v>
      </c>
      <c r="I99" s="833">
        <v>1034.9690000000001</v>
      </c>
      <c r="J99" s="833">
        <v>1207.4590000000001</v>
      </c>
      <c r="K99" s="833">
        <v>1171.066</v>
      </c>
      <c r="L99" s="833">
        <v>974.19299999999998</v>
      </c>
      <c r="M99" s="833">
        <v>1491.155</v>
      </c>
      <c r="N99" s="833">
        <v>1977.3050000000001</v>
      </c>
      <c r="O99" s="833">
        <v>1856.46</v>
      </c>
      <c r="P99" s="833">
        <v>1299.54</v>
      </c>
      <c r="Q99" s="833">
        <v>1179.3979999999999</v>
      </c>
      <c r="R99" s="833">
        <v>1215.377</v>
      </c>
      <c r="S99" s="833">
        <v>502.24099999999999</v>
      </c>
      <c r="T99" s="833">
        <v>717.78200000000004</v>
      </c>
      <c r="U99" s="833">
        <v>749.9</v>
      </c>
      <c r="V99" s="324">
        <v>1025.8</v>
      </c>
      <c r="W99" s="324">
        <v>1416.2</v>
      </c>
      <c r="X99" s="324">
        <v>2570.1999999999998</v>
      </c>
      <c r="Y99" s="324">
        <v>2891</v>
      </c>
      <c r="Z99" s="324">
        <v>2520.6</v>
      </c>
      <c r="AA99" s="324">
        <v>2249.6999999999998</v>
      </c>
      <c r="AB99" s="324">
        <v>3484.6</v>
      </c>
      <c r="AC99" s="324">
        <v>2304.5</v>
      </c>
      <c r="AD99" s="324">
        <v>1978.7</v>
      </c>
      <c r="AE99" s="324">
        <v>1498.2</v>
      </c>
      <c r="AF99" s="324">
        <v>1231.8</v>
      </c>
      <c r="AG99" s="324">
        <v>1377.2</v>
      </c>
      <c r="AH99" s="324">
        <v>1800.4</v>
      </c>
      <c r="AI99" s="324">
        <v>1587.5</v>
      </c>
      <c r="AJ99" s="324">
        <v>1180.4000000000001</v>
      </c>
      <c r="AK99" s="324">
        <v>3480.9</v>
      </c>
      <c r="AL99" s="324">
        <v>4024.1</v>
      </c>
      <c r="AM99" s="2522">
        <v>1510.2840000000001</v>
      </c>
      <c r="AN99" s="324">
        <v>1885.2840000000001</v>
      </c>
      <c r="AO99" s="324">
        <v>2078.7660000000001</v>
      </c>
      <c r="AP99" s="324">
        <v>1666.7819999999999</v>
      </c>
      <c r="AQ99" s="324">
        <v>1391.8320000000001</v>
      </c>
      <c r="AR99" s="324">
        <v>1007.323</v>
      </c>
      <c r="AS99" s="324">
        <v>938.43</v>
      </c>
      <c r="AT99" s="324">
        <v>1180.547</v>
      </c>
      <c r="AU99" s="268">
        <f t="shared" ref="AU99" si="716">+AT99</f>
        <v>1180.547</v>
      </c>
      <c r="AV99" s="268">
        <f t="shared" ref="AV99" si="717">+AU99</f>
        <v>1180.547</v>
      </c>
      <c r="AW99" s="268">
        <f t="shared" ref="AW99" si="718">+AV99</f>
        <v>1180.547</v>
      </c>
      <c r="AX99" s="268">
        <f t="shared" ref="AX99" si="719">+AW99</f>
        <v>1180.547</v>
      </c>
      <c r="AY99" s="146"/>
      <c r="AZ99" s="268">
        <v>938.43</v>
      </c>
      <c r="BA99" s="1074"/>
      <c r="BB99" s="146"/>
      <c r="BC99" s="146"/>
      <c r="BD99" s="266">
        <f t="shared" si="695"/>
        <v>1191.836</v>
      </c>
      <c r="BE99" s="266">
        <f t="shared" si="696"/>
        <v>1207.4590000000001</v>
      </c>
      <c r="BF99" s="266">
        <f t="shared" si="697"/>
        <v>1977.3050000000001</v>
      </c>
      <c r="BG99" s="266">
        <f t="shared" si="698"/>
        <v>1215.377</v>
      </c>
      <c r="BH99" s="266">
        <f t="shared" si="699"/>
        <v>1025.8</v>
      </c>
      <c r="BI99" s="266">
        <f t="shared" si="700"/>
        <v>2520.6</v>
      </c>
      <c r="BJ99" s="266">
        <f t="shared" si="701"/>
        <v>1978.7</v>
      </c>
      <c r="BK99" s="266">
        <f t="shared" si="702"/>
        <v>1800.4</v>
      </c>
      <c r="BL99" s="266">
        <f t="shared" si="703"/>
        <v>4024.1</v>
      </c>
      <c r="BM99" s="2608">
        <f t="shared" si="704"/>
        <v>1666.7819999999999</v>
      </c>
      <c r="BN99" s="266">
        <f t="shared" si="705"/>
        <v>1180.547</v>
      </c>
      <c r="BO99" s="266">
        <f t="shared" si="706"/>
        <v>1180.547</v>
      </c>
      <c r="BP99" s="268">
        <v>1200</v>
      </c>
      <c r="BQ99" s="268">
        <v>1200</v>
      </c>
      <c r="BR99" s="268">
        <v>1200</v>
      </c>
      <c r="BS99" s="268">
        <v>1200</v>
      </c>
    </row>
    <row r="100" spans="2:71">
      <c r="B100" s="102" t="s">
        <v>508</v>
      </c>
      <c r="C100" s="833">
        <v>798.94100000000003</v>
      </c>
      <c r="D100" s="833">
        <v>886.83199999999999</v>
      </c>
      <c r="E100" s="833">
        <v>905.63499999999999</v>
      </c>
      <c r="F100" s="833">
        <v>909.01300000000003</v>
      </c>
      <c r="G100" s="833">
        <v>791.09799999999996</v>
      </c>
      <c r="H100" s="833">
        <v>957.86500000000001</v>
      </c>
      <c r="I100" s="833">
        <v>947.16499999999996</v>
      </c>
      <c r="J100" s="833">
        <v>1051.9010000000001</v>
      </c>
      <c r="K100" s="833">
        <v>948.87900000000002</v>
      </c>
      <c r="L100" s="833">
        <v>939.88400000000001</v>
      </c>
      <c r="M100" s="833">
        <v>1269.7149999999999</v>
      </c>
      <c r="N100" s="833">
        <v>1507.921</v>
      </c>
      <c r="O100" s="833">
        <v>1371.903</v>
      </c>
      <c r="P100" s="833">
        <v>1353.288</v>
      </c>
      <c r="Q100" s="833">
        <v>1499.83</v>
      </c>
      <c r="R100" s="833">
        <v>1691.5809999999999</v>
      </c>
      <c r="S100" s="833">
        <v>1439.2049999999999</v>
      </c>
      <c r="T100" s="833">
        <v>1536.365</v>
      </c>
      <c r="U100" s="833">
        <v>1577</v>
      </c>
      <c r="V100" s="324">
        <v>1685.8</v>
      </c>
      <c r="W100" s="324">
        <v>2774.6</v>
      </c>
      <c r="X100" s="324">
        <v>2644.6</v>
      </c>
      <c r="Y100" s="324">
        <v>3617.4</v>
      </c>
      <c r="Z100" s="324">
        <v>3597.5</v>
      </c>
      <c r="AA100" s="324">
        <v>3370.1</v>
      </c>
      <c r="AB100" s="324">
        <v>3106.9</v>
      </c>
      <c r="AC100" s="324">
        <v>3246.5</v>
      </c>
      <c r="AD100" s="324">
        <v>3476.4</v>
      </c>
      <c r="AE100" s="324">
        <v>2893.5</v>
      </c>
      <c r="AF100" s="324">
        <v>3251.7</v>
      </c>
      <c r="AG100" s="324">
        <v>3368.2</v>
      </c>
      <c r="AH100" s="324">
        <v>3502.4</v>
      </c>
      <c r="AI100" s="324">
        <v>3327.9</v>
      </c>
      <c r="AJ100" s="324">
        <v>3452.6</v>
      </c>
      <c r="AK100" s="324">
        <v>3406.6</v>
      </c>
      <c r="AL100" s="324">
        <f>3524.4+22.9</f>
        <v>3547.3</v>
      </c>
      <c r="AM100" s="2522">
        <v>3065.2150000000001</v>
      </c>
      <c r="AN100" s="324">
        <v>3825.9670000000001</v>
      </c>
      <c r="AO100" s="324">
        <v>4051.7910000000002</v>
      </c>
      <c r="AP100" s="324">
        <v>4659.5050000000001</v>
      </c>
      <c r="AQ100" s="324">
        <v>4101.28</v>
      </c>
      <c r="AR100" s="324">
        <v>4515.2610000000004</v>
      </c>
      <c r="AS100" s="324">
        <v>4291.0140000000001</v>
      </c>
      <c r="AT100" s="324">
        <v>4680.0259999999998</v>
      </c>
      <c r="AU100" s="267">
        <f>SUM(AR3:AU3)/365*AU170</f>
        <v>3923.8041890464592</v>
      </c>
      <c r="AV100" s="267">
        <f>SUM(AS3:AV3)/365*AV170</f>
        <v>3918.4203350053067</v>
      </c>
      <c r="AW100" s="267">
        <f>SUM(AT3:AW3)/365*AW170</f>
        <v>4213.4422559843397</v>
      </c>
      <c r="AX100" s="267">
        <f>SUM(AU3:AX3)/365*AX170</f>
        <v>4614.3520557788479</v>
      </c>
      <c r="AY100" s="146"/>
      <c r="AZ100" s="267">
        <v>4263.992754702188</v>
      </c>
      <c r="BA100" s="1074"/>
      <c r="BB100" s="146"/>
      <c r="BC100" s="146"/>
      <c r="BD100" s="266">
        <f t="shared" si="695"/>
        <v>909.01300000000003</v>
      </c>
      <c r="BE100" s="266">
        <f t="shared" si="696"/>
        <v>1051.9010000000001</v>
      </c>
      <c r="BF100" s="266">
        <f t="shared" si="697"/>
        <v>1507.921</v>
      </c>
      <c r="BG100" s="266">
        <f t="shared" si="698"/>
        <v>1691.5809999999999</v>
      </c>
      <c r="BH100" s="266">
        <f t="shared" si="699"/>
        <v>1685.8</v>
      </c>
      <c r="BI100" s="266">
        <f t="shared" si="700"/>
        <v>3597.5</v>
      </c>
      <c r="BJ100" s="266">
        <f t="shared" si="701"/>
        <v>3476.4</v>
      </c>
      <c r="BK100" s="266">
        <f t="shared" si="702"/>
        <v>3502.4</v>
      </c>
      <c r="BL100" s="266">
        <f t="shared" si="703"/>
        <v>3547.3</v>
      </c>
      <c r="BM100" s="2608">
        <f t="shared" si="704"/>
        <v>4659.5050000000001</v>
      </c>
      <c r="BN100" s="266">
        <f t="shared" si="705"/>
        <v>4680.0259999999998</v>
      </c>
      <c r="BO100" s="266">
        <f t="shared" si="706"/>
        <v>4614.3520557788479</v>
      </c>
      <c r="BP100" s="267">
        <f>SUM(BP3)/365*BP170</f>
        <v>4855.0339838594609</v>
      </c>
      <c r="BQ100" s="267">
        <f>SUM(BQ3)/365*BQ170</f>
        <v>5042.3095138481549</v>
      </c>
      <c r="BR100" s="267">
        <f>SUM(BR3)/365*BR170</f>
        <v>5234.3255894748554</v>
      </c>
      <c r="BS100" s="267">
        <f>SUM(BS3)/365*BS170</f>
        <v>5419.3303872563756</v>
      </c>
    </row>
    <row r="101" spans="2:71">
      <c r="B101" s="2388" t="s">
        <v>961</v>
      </c>
      <c r="C101" s="833"/>
      <c r="D101" s="833"/>
      <c r="E101" s="833"/>
      <c r="F101" s="833"/>
      <c r="G101" s="833"/>
      <c r="H101" s="833"/>
      <c r="I101" s="833"/>
      <c r="J101" s="833"/>
      <c r="K101" s="833"/>
      <c r="L101" s="833"/>
      <c r="M101" s="833"/>
      <c r="N101" s="833"/>
      <c r="O101" s="833"/>
      <c r="P101" s="833"/>
      <c r="Q101" s="833"/>
      <c r="R101" s="833"/>
      <c r="S101" s="833"/>
      <c r="T101" s="833"/>
      <c r="U101" s="833"/>
      <c r="V101" s="324"/>
      <c r="W101" s="324"/>
      <c r="X101" s="324"/>
      <c r="Y101" s="324"/>
      <c r="Z101" s="324"/>
      <c r="AA101" s="324"/>
      <c r="AB101" s="324"/>
      <c r="AC101" s="324"/>
      <c r="AD101" s="324"/>
      <c r="AE101" s="324"/>
      <c r="AF101" s="324"/>
      <c r="AG101" s="324"/>
      <c r="AH101" s="324"/>
      <c r="AI101" s="324"/>
      <c r="AJ101" s="324"/>
      <c r="AK101" s="324"/>
      <c r="AL101" s="324"/>
      <c r="AM101" s="2522">
        <v>0</v>
      </c>
      <c r="AN101" s="324">
        <v>0</v>
      </c>
      <c r="AO101" s="324">
        <v>0</v>
      </c>
      <c r="AP101" s="324">
        <v>1864.702</v>
      </c>
      <c r="AQ101" s="324">
        <v>1971.5450000000001</v>
      </c>
      <c r="AR101" s="324">
        <v>2513.056</v>
      </c>
      <c r="AS101" s="324">
        <v>0</v>
      </c>
      <c r="AT101" s="324">
        <v>169.1</v>
      </c>
      <c r="AU101" s="268">
        <f t="shared" ref="AU101" si="720">+AT101</f>
        <v>169.1</v>
      </c>
      <c r="AV101" s="268">
        <f t="shared" ref="AV101" si="721">+AU101</f>
        <v>169.1</v>
      </c>
      <c r="AW101" s="268">
        <f t="shared" ref="AW101" si="722">+AV101</f>
        <v>169.1</v>
      </c>
      <c r="AX101" s="268">
        <f t="shared" ref="AX101" si="723">+AW101</f>
        <v>169.1</v>
      </c>
      <c r="AY101" s="146"/>
      <c r="AZ101" s="267">
        <v>0</v>
      </c>
      <c r="BA101" s="1074"/>
      <c r="BB101" s="146"/>
      <c r="BC101" s="146"/>
      <c r="BD101" s="266"/>
      <c r="BE101" s="266"/>
      <c r="BF101" s="266"/>
      <c r="BG101" s="266"/>
      <c r="BH101" s="266"/>
      <c r="BI101" s="266"/>
      <c r="BJ101" s="266"/>
      <c r="BK101" s="266"/>
      <c r="BL101" s="266"/>
      <c r="BM101" s="2608">
        <f t="shared" ref="BM101:BM107" si="724">+AP101</f>
        <v>1864.702</v>
      </c>
      <c r="BN101" s="266">
        <f t="shared" ref="BN101:BN107" si="725">+AT101</f>
        <v>169.1</v>
      </c>
      <c r="BO101" s="266">
        <f t="shared" si="706"/>
        <v>169.1</v>
      </c>
      <c r="BP101" s="268">
        <f t="shared" ref="BP101" si="726">+BO101</f>
        <v>169.1</v>
      </c>
      <c r="BQ101" s="268">
        <f t="shared" ref="BQ101" si="727">+BP101</f>
        <v>169.1</v>
      </c>
      <c r="BR101" s="268">
        <f t="shared" ref="BR101" si="728">+BQ101</f>
        <v>169.1</v>
      </c>
      <c r="BS101" s="268">
        <f t="shared" ref="BS101" si="729">+BR101</f>
        <v>169.1</v>
      </c>
    </row>
    <row r="102" spans="2:71">
      <c r="B102" s="102" t="s">
        <v>509</v>
      </c>
      <c r="C102" s="833">
        <v>979.31500000000005</v>
      </c>
      <c r="D102" s="833">
        <v>866.98199999999997</v>
      </c>
      <c r="E102" s="833">
        <v>1080.6849999999999</v>
      </c>
      <c r="F102" s="833">
        <v>963.67499999999995</v>
      </c>
      <c r="G102" s="833">
        <v>1082.982</v>
      </c>
      <c r="H102" s="833">
        <v>1039.2860000000001</v>
      </c>
      <c r="I102" s="833">
        <v>1024.2860000000001</v>
      </c>
      <c r="J102" s="833">
        <v>835.92200000000003</v>
      </c>
      <c r="K102" s="833">
        <v>847.92899999999997</v>
      </c>
      <c r="L102" s="833">
        <v>860.721</v>
      </c>
      <c r="M102" s="833">
        <v>1458.856</v>
      </c>
      <c r="N102" s="833">
        <v>1243.925</v>
      </c>
      <c r="O102" s="833">
        <v>1455.1130000000001</v>
      </c>
      <c r="P102" s="833">
        <v>1522.8430000000001</v>
      </c>
      <c r="Q102" s="833">
        <v>1616.847</v>
      </c>
      <c r="R102" s="833">
        <v>1364.672</v>
      </c>
      <c r="S102" s="833">
        <v>1535.41</v>
      </c>
      <c r="T102" s="833">
        <v>1621.098</v>
      </c>
      <c r="U102" s="833">
        <v>1781.9</v>
      </c>
      <c r="V102" s="324">
        <v>1430.6</v>
      </c>
      <c r="W102" s="324">
        <v>4040.7</v>
      </c>
      <c r="X102" s="324">
        <v>4481.3</v>
      </c>
      <c r="Y102" s="324">
        <v>5135.8</v>
      </c>
      <c r="Z102" s="324">
        <v>4544.3</v>
      </c>
      <c r="AA102" s="324">
        <v>5342.7</v>
      </c>
      <c r="AB102" s="324">
        <v>5243.3</v>
      </c>
      <c r="AC102" s="324">
        <v>5948</v>
      </c>
      <c r="AD102" s="324">
        <v>5403.5</v>
      </c>
      <c r="AE102" s="324">
        <v>5117.8</v>
      </c>
      <c r="AF102" s="324">
        <v>5367.4</v>
      </c>
      <c r="AG102" s="324">
        <v>5410.5</v>
      </c>
      <c r="AH102" s="324">
        <v>4516.8999999999996</v>
      </c>
      <c r="AI102" s="324">
        <v>4382.3999999999996</v>
      </c>
      <c r="AJ102" s="324">
        <v>4207.3999999999996</v>
      </c>
      <c r="AK102" s="324">
        <v>4362.8999999999996</v>
      </c>
      <c r="AL102" s="324">
        <v>3087.4</v>
      </c>
      <c r="AM102" s="2522">
        <v>2275.127</v>
      </c>
      <c r="AN102" s="324">
        <v>2448.5300000000002</v>
      </c>
      <c r="AO102" s="324">
        <v>3013.297</v>
      </c>
      <c r="AP102" s="324">
        <v>2386.616</v>
      </c>
      <c r="AQ102" s="324">
        <v>2697.27</v>
      </c>
      <c r="AR102" s="324">
        <v>2844.9810000000002</v>
      </c>
      <c r="AS102" s="324">
        <v>3319.0259999999998</v>
      </c>
      <c r="AT102" s="324">
        <v>2965.607</v>
      </c>
      <c r="AU102" s="267">
        <f>-SUM(AR7:AU7)/365*AU171</f>
        <v>2261.8111913781809</v>
      </c>
      <c r="AV102" s="267">
        <f>-SUM(AS7:AV7)/365*AV171</f>
        <v>2481.5483153174919</v>
      </c>
      <c r="AW102" s="267">
        <f>-SUM(AT7:AW7)/365*AW171</f>
        <v>2831.9508245035167</v>
      </c>
      <c r="AX102" s="267">
        <f>-SUM(AU7:AX7)/365*AX171</f>
        <v>3071.2017075798472</v>
      </c>
      <c r="AY102" s="146"/>
      <c r="AZ102" s="267">
        <v>2911.7697994681985</v>
      </c>
      <c r="BA102" s="1074"/>
      <c r="BB102" s="146"/>
      <c r="BC102" s="146"/>
      <c r="BD102" s="266">
        <f t="shared" si="695"/>
        <v>963.67499999999995</v>
      </c>
      <c r="BE102" s="266">
        <f t="shared" si="696"/>
        <v>835.92200000000003</v>
      </c>
      <c r="BF102" s="266">
        <f t="shared" si="697"/>
        <v>1243.925</v>
      </c>
      <c r="BG102" s="266">
        <f t="shared" si="698"/>
        <v>1364.672</v>
      </c>
      <c r="BH102" s="266">
        <f t="shared" si="699"/>
        <v>1430.6</v>
      </c>
      <c r="BI102" s="266">
        <f t="shared" si="700"/>
        <v>4544.3</v>
      </c>
      <c r="BJ102" s="266">
        <f t="shared" si="701"/>
        <v>5403.5</v>
      </c>
      <c r="BK102" s="266">
        <f t="shared" si="702"/>
        <v>4516.8999999999996</v>
      </c>
      <c r="BL102" s="266">
        <f t="shared" si="703"/>
        <v>3087.4</v>
      </c>
      <c r="BM102" s="2608">
        <f t="shared" si="724"/>
        <v>2386.616</v>
      </c>
      <c r="BN102" s="266">
        <f t="shared" si="725"/>
        <v>2965.607</v>
      </c>
      <c r="BO102" s="266">
        <f t="shared" si="706"/>
        <v>3071.2017075798472</v>
      </c>
      <c r="BP102" s="267">
        <f>-SUM(BP7)/365*BP171</f>
        <v>3153.503292019665</v>
      </c>
      <c r="BQ102" s="267">
        <f>-SUM(BQ7)/365*BQ171</f>
        <v>3275.6705929797363</v>
      </c>
      <c r="BR102" s="267">
        <f>-SUM(BR7)/365*BR171</f>
        <v>3401.4871065863244</v>
      </c>
      <c r="BS102" s="267">
        <f>-SUM(BS7)/365*BS171</f>
        <v>3522.7526401189361</v>
      </c>
    </row>
    <row r="103" spans="2:71">
      <c r="B103" s="102" t="s">
        <v>510</v>
      </c>
      <c r="C103" s="833">
        <v>324.17700000000002</v>
      </c>
      <c r="D103" s="833">
        <v>299.541</v>
      </c>
      <c r="E103" s="833">
        <v>436.99900000000002</v>
      </c>
      <c r="F103" s="833">
        <v>320.392</v>
      </c>
      <c r="G103" s="833">
        <v>308.48700000000002</v>
      </c>
      <c r="H103" s="833">
        <v>311.56799999999998</v>
      </c>
      <c r="I103" s="833">
        <v>315.08600000000001</v>
      </c>
      <c r="J103" s="833">
        <v>329.40899999999999</v>
      </c>
      <c r="K103" s="833">
        <v>342.07499999999999</v>
      </c>
      <c r="L103" s="833">
        <v>382.036</v>
      </c>
      <c r="M103" s="833">
        <v>325.28699999999998</v>
      </c>
      <c r="N103" s="833">
        <v>408.041</v>
      </c>
      <c r="O103" s="833">
        <v>456.92099999999999</v>
      </c>
      <c r="P103" s="833">
        <v>435.928</v>
      </c>
      <c r="Q103" s="833">
        <v>486.31</v>
      </c>
      <c r="R103" s="833">
        <v>706.05600000000004</v>
      </c>
      <c r="S103" s="833">
        <v>742.40300000000002</v>
      </c>
      <c r="T103" s="833">
        <v>839.73299999999995</v>
      </c>
      <c r="U103" s="833">
        <f>567.2+359.1</f>
        <v>926.30000000000007</v>
      </c>
      <c r="V103" s="324">
        <f>395.6+113.5</f>
        <v>509.1</v>
      </c>
      <c r="W103" s="324">
        <f>959.2+321.5</f>
        <v>1280.7</v>
      </c>
      <c r="X103" s="324">
        <f>1045.2+329</f>
        <v>1374.2</v>
      </c>
      <c r="Y103" s="324">
        <v>1064.2</v>
      </c>
      <c r="Z103" s="324">
        <v>1071.3</v>
      </c>
      <c r="AA103" s="324">
        <f>1176.3+200.4</f>
        <v>1376.7</v>
      </c>
      <c r="AB103" s="324">
        <v>1087.5999999999999</v>
      </c>
      <c r="AC103" s="324">
        <v>1008</v>
      </c>
      <c r="AD103" s="324">
        <f>1029.6+508.1</f>
        <v>1537.6999999999998</v>
      </c>
      <c r="AE103" s="324">
        <f>991.3+274.8</f>
        <v>1266.0999999999999</v>
      </c>
      <c r="AF103" s="324">
        <f>953.6+258.3</f>
        <v>1211.9000000000001</v>
      </c>
      <c r="AG103" s="324">
        <f>974.1+228.6</f>
        <v>1202.7</v>
      </c>
      <c r="AH103" s="324">
        <f>911.4+196.1</f>
        <v>1107.5</v>
      </c>
      <c r="AI103" s="324">
        <f>1139.1+233.6</f>
        <v>1372.6999999999998</v>
      </c>
      <c r="AJ103" s="324">
        <f>1275.2+194.8</f>
        <v>1470</v>
      </c>
      <c r="AK103" s="324">
        <f>1212.6+190.3</f>
        <v>1402.8999999999999</v>
      </c>
      <c r="AL103" s="324">
        <f>608.5+175.6</f>
        <v>784.1</v>
      </c>
      <c r="AM103" s="2522">
        <v>427.07400000000001</v>
      </c>
      <c r="AN103" s="324">
        <v>437.47899999999998</v>
      </c>
      <c r="AO103" s="324">
        <v>569.22900000000004</v>
      </c>
      <c r="AP103" s="324">
        <v>542.40799700000002</v>
      </c>
      <c r="AQ103" s="324">
        <v>691.83900000000006</v>
      </c>
      <c r="AR103" s="324">
        <v>776.77499999999998</v>
      </c>
      <c r="AS103" s="324">
        <v>865.28800000000001</v>
      </c>
      <c r="AT103" s="324">
        <v>1067.92</v>
      </c>
      <c r="AU103" s="267">
        <f t="shared" ref="AU103:AX104" si="730">+AT103*AU$3/AT$3</f>
        <v>778.22789753257587</v>
      </c>
      <c r="AV103" s="267">
        <f t="shared" si="730"/>
        <v>985.40020511185878</v>
      </c>
      <c r="AW103" s="267">
        <f t="shared" si="730"/>
        <v>953.60818086412462</v>
      </c>
      <c r="AX103" s="267">
        <f t="shared" si="730"/>
        <v>1204.66731061265</v>
      </c>
      <c r="AY103" s="146"/>
      <c r="AZ103" s="268">
        <v>1058.7744659129182</v>
      </c>
      <c r="BA103" s="1074"/>
      <c r="BB103" s="146"/>
      <c r="BC103" s="146"/>
      <c r="BD103" s="266">
        <f t="shared" si="695"/>
        <v>320.392</v>
      </c>
      <c r="BE103" s="266">
        <f t="shared" si="696"/>
        <v>329.40899999999999</v>
      </c>
      <c r="BF103" s="266">
        <f t="shared" si="697"/>
        <v>408.041</v>
      </c>
      <c r="BG103" s="266">
        <f t="shared" si="698"/>
        <v>706.05600000000004</v>
      </c>
      <c r="BH103" s="266">
        <f t="shared" si="699"/>
        <v>509.1</v>
      </c>
      <c r="BI103" s="266">
        <f t="shared" si="700"/>
        <v>1071.3</v>
      </c>
      <c r="BJ103" s="266">
        <f t="shared" si="701"/>
        <v>1537.6999999999998</v>
      </c>
      <c r="BK103" s="266">
        <f t="shared" si="702"/>
        <v>1107.5</v>
      </c>
      <c r="BL103" s="266">
        <f t="shared" si="703"/>
        <v>784.1</v>
      </c>
      <c r="BM103" s="2608">
        <f t="shared" si="724"/>
        <v>542.40799700000002</v>
      </c>
      <c r="BN103" s="266">
        <f t="shared" si="725"/>
        <v>1067.92</v>
      </c>
      <c r="BO103" s="266">
        <f t="shared" si="706"/>
        <v>1204.66731061265</v>
      </c>
      <c r="BP103" s="267">
        <f t="shared" ref="BP103:BS103" si="731">+BO103*BP$3/BO$3</f>
        <v>1258.54590746554</v>
      </c>
      <c r="BQ103" s="267">
        <f t="shared" si="731"/>
        <v>1307.0923960419905</v>
      </c>
      <c r="BR103" s="267">
        <f t="shared" si="731"/>
        <v>1356.8677522909845</v>
      </c>
      <c r="BS103" s="267">
        <f t="shared" si="731"/>
        <v>1404.8256104405853</v>
      </c>
    </row>
    <row r="104" spans="2:71">
      <c r="B104" s="2388" t="s">
        <v>958</v>
      </c>
      <c r="C104" s="833"/>
      <c r="D104" s="833"/>
      <c r="E104" s="833"/>
      <c r="F104" s="833"/>
      <c r="G104" s="833"/>
      <c r="H104" s="833"/>
      <c r="I104" s="833"/>
      <c r="J104" s="833"/>
      <c r="K104" s="833"/>
      <c r="L104" s="833"/>
      <c r="M104" s="833"/>
      <c r="N104" s="833"/>
      <c r="O104" s="833"/>
      <c r="P104" s="833"/>
      <c r="Q104" s="833"/>
      <c r="R104" s="833"/>
      <c r="S104" s="833"/>
      <c r="T104" s="833"/>
      <c r="U104" s="833"/>
      <c r="V104" s="324"/>
      <c r="W104" s="324"/>
      <c r="X104" s="324"/>
      <c r="Y104" s="324"/>
      <c r="Z104" s="324"/>
      <c r="AA104" s="324"/>
      <c r="AB104" s="324"/>
      <c r="AC104" s="324"/>
      <c r="AD104" s="324"/>
      <c r="AE104" s="324"/>
      <c r="AF104" s="324"/>
      <c r="AG104" s="324"/>
      <c r="AH104" s="324"/>
      <c r="AI104" s="324"/>
      <c r="AJ104" s="324"/>
      <c r="AK104" s="324"/>
      <c r="AL104" s="324"/>
      <c r="AM104" s="2522">
        <v>139.16399999999999</v>
      </c>
      <c r="AN104" s="324">
        <v>85.441000000000003</v>
      </c>
      <c r="AO104" s="324">
        <v>87.093000000000004</v>
      </c>
      <c r="AP104" s="324">
        <v>147.330003</v>
      </c>
      <c r="AQ104" s="324">
        <v>208.42599999999999</v>
      </c>
      <c r="AR104" s="324">
        <v>190.36699999999999</v>
      </c>
      <c r="AS104" s="324">
        <v>264.95499999999998</v>
      </c>
      <c r="AT104" s="324">
        <v>262.875</v>
      </c>
      <c r="AU104" s="267">
        <f t="shared" si="730"/>
        <v>191.56552790834132</v>
      </c>
      <c r="AV104" s="267">
        <f t="shared" si="730"/>
        <v>242.56225084161721</v>
      </c>
      <c r="AW104" s="267">
        <f t="shared" si="730"/>
        <v>234.73645080591876</v>
      </c>
      <c r="AX104" s="267">
        <f t="shared" si="730"/>
        <v>296.53618180884371</v>
      </c>
      <c r="AY104" s="146"/>
      <c r="AZ104" s="268">
        <v>324.20140879794616</v>
      </c>
      <c r="BA104" s="1074"/>
      <c r="BB104" s="146"/>
      <c r="BC104" s="146"/>
      <c r="BD104" s="266"/>
      <c r="BE104" s="266"/>
      <c r="BF104" s="266"/>
      <c r="BG104" s="266"/>
      <c r="BH104" s="266"/>
      <c r="BI104" s="266"/>
      <c r="BJ104" s="266"/>
      <c r="BK104" s="266"/>
      <c r="BL104" s="266"/>
      <c r="BM104" s="2608">
        <f t="shared" si="724"/>
        <v>147.330003</v>
      </c>
      <c r="BN104" s="266">
        <f t="shared" si="725"/>
        <v>262.875</v>
      </c>
      <c r="BO104" s="266">
        <f t="shared" si="706"/>
        <v>296.53618180884371</v>
      </c>
      <c r="BP104" s="267">
        <f t="shared" ref="BP104:BS104" si="732">+BO104*BP$3/BO$3</f>
        <v>309.79872595794058</v>
      </c>
      <c r="BQ104" s="267">
        <f t="shared" si="732"/>
        <v>321.74873924033471</v>
      </c>
      <c r="BR104" s="267">
        <f t="shared" si="732"/>
        <v>334.00124577074359</v>
      </c>
      <c r="BS104" s="267">
        <f t="shared" si="732"/>
        <v>345.80636409522128</v>
      </c>
    </row>
    <row r="105" spans="2:71">
      <c r="B105" s="2388" t="s">
        <v>959</v>
      </c>
      <c r="C105" s="833"/>
      <c r="D105" s="833"/>
      <c r="E105" s="833"/>
      <c r="F105" s="833"/>
      <c r="G105" s="833"/>
      <c r="H105" s="833"/>
      <c r="I105" s="833"/>
      <c r="J105" s="833"/>
      <c r="K105" s="833"/>
      <c r="L105" s="833"/>
      <c r="M105" s="833"/>
      <c r="N105" s="833"/>
      <c r="O105" s="833"/>
      <c r="P105" s="833"/>
      <c r="Q105" s="833"/>
      <c r="R105" s="833"/>
      <c r="S105" s="833"/>
      <c r="T105" s="833"/>
      <c r="U105" s="833"/>
      <c r="V105" s="324"/>
      <c r="W105" s="324"/>
      <c r="X105" s="324"/>
      <c r="Y105" s="324"/>
      <c r="Z105" s="324"/>
      <c r="AA105" s="324"/>
      <c r="AB105" s="324"/>
      <c r="AC105" s="324"/>
      <c r="AD105" s="324"/>
      <c r="AE105" s="324"/>
      <c r="AF105" s="324"/>
      <c r="AG105" s="324"/>
      <c r="AH105" s="324"/>
      <c r="AI105" s="324"/>
      <c r="AJ105" s="324"/>
      <c r="AK105" s="324"/>
      <c r="AL105" s="324"/>
      <c r="AM105" s="2522">
        <v>10.920999999999999</v>
      </c>
      <c r="AN105" s="324">
        <v>38.843000000000004</v>
      </c>
      <c r="AO105" s="324">
        <v>55.451999999999998</v>
      </c>
      <c r="AP105" s="324">
        <v>51.97</v>
      </c>
      <c r="AQ105" s="324">
        <v>16.501999999999999</v>
      </c>
      <c r="AR105" s="324">
        <v>10.634</v>
      </c>
      <c r="AS105" s="324">
        <v>40.341999999999999</v>
      </c>
      <c r="AT105" s="324">
        <v>7.7089999999999996</v>
      </c>
      <c r="AU105" s="268">
        <f t="shared" ref="AU105" si="733">+AT105</f>
        <v>7.7089999999999996</v>
      </c>
      <c r="AV105" s="268">
        <f t="shared" ref="AV105:AV107" si="734">+AU105</f>
        <v>7.7089999999999996</v>
      </c>
      <c r="AW105" s="268">
        <f t="shared" ref="AW105:AW107" si="735">+AV105</f>
        <v>7.7089999999999996</v>
      </c>
      <c r="AX105" s="268">
        <f t="shared" ref="AX105:AX107" si="736">+AW105</f>
        <v>7.7089999999999996</v>
      </c>
      <c r="AY105" s="146"/>
      <c r="AZ105" s="268">
        <v>40.341999999999999</v>
      </c>
      <c r="BA105" s="1074"/>
      <c r="BB105" s="146"/>
      <c r="BC105" s="146"/>
      <c r="BD105" s="266"/>
      <c r="BE105" s="266"/>
      <c r="BF105" s="266"/>
      <c r="BG105" s="266"/>
      <c r="BH105" s="266"/>
      <c r="BI105" s="266"/>
      <c r="BJ105" s="266"/>
      <c r="BK105" s="266"/>
      <c r="BL105" s="266"/>
      <c r="BM105" s="2608">
        <f t="shared" si="724"/>
        <v>51.97</v>
      </c>
      <c r="BN105" s="266">
        <f t="shared" si="725"/>
        <v>7.7089999999999996</v>
      </c>
      <c r="BO105" s="266">
        <f t="shared" si="706"/>
        <v>7.7089999999999996</v>
      </c>
      <c r="BP105" s="268">
        <f t="shared" ref="BP105" si="737">+BO105</f>
        <v>7.7089999999999996</v>
      </c>
      <c r="BQ105" s="268">
        <f t="shared" ref="BQ105" si="738">+BP105</f>
        <v>7.7089999999999996</v>
      </c>
      <c r="BR105" s="268">
        <f t="shared" ref="BR105" si="739">+BQ105</f>
        <v>7.7089999999999996</v>
      </c>
      <c r="BS105" s="268">
        <f t="shared" ref="BS105" si="740">+BR105</f>
        <v>7.7089999999999996</v>
      </c>
    </row>
    <row r="106" spans="2:71">
      <c r="B106" s="2388" t="s">
        <v>960</v>
      </c>
      <c r="C106" s="833"/>
      <c r="D106" s="833"/>
      <c r="E106" s="833"/>
      <c r="F106" s="833"/>
      <c r="G106" s="833"/>
      <c r="H106" s="833"/>
      <c r="I106" s="833"/>
      <c r="J106" s="833"/>
      <c r="K106" s="833"/>
      <c r="L106" s="833"/>
      <c r="M106" s="833"/>
      <c r="N106" s="833"/>
      <c r="O106" s="833"/>
      <c r="P106" s="833"/>
      <c r="Q106" s="833"/>
      <c r="R106" s="833"/>
      <c r="S106" s="833"/>
      <c r="T106" s="833"/>
      <c r="U106" s="833"/>
      <c r="V106" s="324"/>
      <c r="W106" s="324"/>
      <c r="X106" s="324"/>
      <c r="Y106" s="324"/>
      <c r="Z106" s="324"/>
      <c r="AA106" s="324"/>
      <c r="AB106" s="324"/>
      <c r="AC106" s="324"/>
      <c r="AD106" s="324"/>
      <c r="AE106" s="324"/>
      <c r="AF106" s="324"/>
      <c r="AG106" s="324"/>
      <c r="AH106" s="324"/>
      <c r="AI106" s="324"/>
      <c r="AJ106" s="324"/>
      <c r="AK106" s="324"/>
      <c r="AL106" s="324"/>
      <c r="AM106" s="2522">
        <v>1983.9860000000001</v>
      </c>
      <c r="AN106" s="324">
        <v>2333.1410000000001</v>
      </c>
      <c r="AO106" s="324">
        <v>1747.7269999999999</v>
      </c>
      <c r="AP106" s="324">
        <v>319.53300000000002</v>
      </c>
      <c r="AQ106" s="324">
        <v>490.87</v>
      </c>
      <c r="AR106" s="324">
        <v>459.101</v>
      </c>
      <c r="AS106" s="324">
        <v>441.80799999999999</v>
      </c>
      <c r="AT106" s="324">
        <v>363.09</v>
      </c>
      <c r="AU106" s="268">
        <f>+AT106*AU$5/AT$5</f>
        <v>273.86734888009011</v>
      </c>
      <c r="AV106" s="268">
        <f t="shared" ref="AV106:AX106" si="741">+AU106*AV$5/AU$5</f>
        <v>327.68961074812182</v>
      </c>
      <c r="AW106" s="268">
        <f t="shared" si="741"/>
        <v>297.33439576947245</v>
      </c>
      <c r="AX106" s="268">
        <f t="shared" si="741"/>
        <v>372.59385831383037</v>
      </c>
      <c r="AY106" s="146"/>
      <c r="AZ106" s="268">
        <v>441.80799999999999</v>
      </c>
      <c r="BA106" s="1074"/>
      <c r="BB106" s="146"/>
      <c r="BC106" s="146"/>
      <c r="BD106" s="266"/>
      <c r="BE106" s="266"/>
      <c r="BF106" s="266"/>
      <c r="BG106" s="266"/>
      <c r="BH106" s="266"/>
      <c r="BI106" s="266"/>
      <c r="BJ106" s="266"/>
      <c r="BK106" s="266"/>
      <c r="BL106" s="266"/>
      <c r="BM106" s="2608">
        <f t="shared" si="724"/>
        <v>319.53300000000002</v>
      </c>
      <c r="BN106" s="266">
        <f t="shared" si="725"/>
        <v>363.09</v>
      </c>
      <c r="BO106" s="266">
        <f t="shared" si="706"/>
        <v>372.59385831383037</v>
      </c>
      <c r="BP106" s="268">
        <f t="shared" ref="BP106:BS106" si="742">+BO106*BP$5/BO$5</f>
        <v>389.27056187938075</v>
      </c>
      <c r="BQ106" s="268">
        <f t="shared" si="742"/>
        <v>404.35097546523662</v>
      </c>
      <c r="BR106" s="268">
        <f t="shared" si="742"/>
        <v>419.88185030823513</v>
      </c>
      <c r="BS106" s="268">
        <f t="shared" si="742"/>
        <v>434.85094911789895</v>
      </c>
    </row>
    <row r="107" spans="2:71">
      <c r="B107" s="2388" t="s">
        <v>781</v>
      </c>
      <c r="C107" s="833">
        <v>989.61900000000003</v>
      </c>
      <c r="D107" s="833">
        <v>710.61300000000006</v>
      </c>
      <c r="E107" s="833">
        <v>1128.3579999999999</v>
      </c>
      <c r="F107" s="833">
        <v>1041.9469999999999</v>
      </c>
      <c r="G107" s="833">
        <v>821.27300000000002</v>
      </c>
      <c r="H107" s="833">
        <v>419.98099999999999</v>
      </c>
      <c r="I107" s="833">
        <v>330.36099999999999</v>
      </c>
      <c r="J107" s="833">
        <v>286.73899999999998</v>
      </c>
      <c r="K107" s="833">
        <v>178.46799999999999</v>
      </c>
      <c r="L107" s="833">
        <v>250.327</v>
      </c>
      <c r="M107" s="833">
        <v>264.25799999999998</v>
      </c>
      <c r="N107" s="833">
        <v>225.98599999999999</v>
      </c>
      <c r="O107" s="833">
        <v>250.381</v>
      </c>
      <c r="P107" s="833">
        <v>597.40499999999997</v>
      </c>
      <c r="Q107" s="833">
        <v>758.18200000000002</v>
      </c>
      <c r="R107" s="833">
        <v>263.02499999999998</v>
      </c>
      <c r="S107" s="833">
        <v>246.18799999999999</v>
      </c>
      <c r="T107" s="833">
        <v>282.59699999999998</v>
      </c>
      <c r="U107" s="833">
        <f>1.3+262.8</f>
        <v>264.10000000000002</v>
      </c>
      <c r="V107" s="324">
        <v>265.2</v>
      </c>
      <c r="W107" s="324">
        <f>178.9+897.9</f>
        <v>1076.8</v>
      </c>
      <c r="X107" s="324">
        <f>179.3+195.6+799.2</f>
        <v>1174.0999999999999</v>
      </c>
      <c r="Y107" s="324">
        <f>250.2+173.9+753.6+153.3</f>
        <v>1331</v>
      </c>
      <c r="Z107" s="324">
        <f>242.1+139.9+616.1+181.3</f>
        <v>1179.4000000000001</v>
      </c>
      <c r="AA107" s="324">
        <f>112.2+800.6+160.6</f>
        <v>1073.4000000000001</v>
      </c>
      <c r="AB107" s="324">
        <f>962.1+73.5+736.2+148.4</f>
        <v>1920.2</v>
      </c>
      <c r="AC107" s="324">
        <f>530.3+95.5+823.6+69.6</f>
        <v>1519</v>
      </c>
      <c r="AD107" s="324">
        <f>81.2+912.2+52.9</f>
        <v>1046.3000000000002</v>
      </c>
      <c r="AE107" s="324">
        <f>59.3+875.7</f>
        <v>935</v>
      </c>
      <c r="AF107" s="324">
        <f>87.5+849.6+45.4</f>
        <v>982.5</v>
      </c>
      <c r="AG107" s="324">
        <f>185.3+837.6+51.5</f>
        <v>1074.4000000000001</v>
      </c>
      <c r="AH107" s="324">
        <f>235.1+763.4+0.1</f>
        <v>998.6</v>
      </c>
      <c r="AI107" s="324">
        <f>168.3+722.2+2582.5</f>
        <v>3473</v>
      </c>
      <c r="AJ107" s="324">
        <f>268+691.6+2726.6</f>
        <v>3686.2</v>
      </c>
      <c r="AK107" s="324">
        <f>134.7+926+456.7</f>
        <v>1517.4</v>
      </c>
      <c r="AL107" s="324">
        <f>189+604.4</f>
        <v>793.4</v>
      </c>
      <c r="AM107" s="2522">
        <v>0</v>
      </c>
      <c r="AN107" s="324">
        <v>0</v>
      </c>
      <c r="AO107" s="324">
        <v>0</v>
      </c>
      <c r="AP107" s="324">
        <v>0</v>
      </c>
      <c r="AQ107" s="324">
        <v>0</v>
      </c>
      <c r="AR107" s="324">
        <v>0</v>
      </c>
      <c r="AS107" s="324">
        <v>735.06299999999999</v>
      </c>
      <c r="AT107" s="324">
        <v>26.707999999999998</v>
      </c>
      <c r="AU107" s="268">
        <f>+AT107</f>
        <v>26.707999999999998</v>
      </c>
      <c r="AV107" s="268">
        <f t="shared" si="734"/>
        <v>26.707999999999998</v>
      </c>
      <c r="AW107" s="268">
        <f t="shared" si="735"/>
        <v>26.707999999999998</v>
      </c>
      <c r="AX107" s="268">
        <f t="shared" si="736"/>
        <v>26.707999999999998</v>
      </c>
      <c r="AY107" s="146"/>
      <c r="AZ107" s="268">
        <v>224.85748537982366</v>
      </c>
      <c r="BA107" s="1074"/>
      <c r="BB107" s="146"/>
      <c r="BC107" s="146"/>
      <c r="BD107" s="266">
        <f t="shared" si="695"/>
        <v>1041.9469999999999</v>
      </c>
      <c r="BE107" s="266">
        <f t="shared" si="696"/>
        <v>286.73899999999998</v>
      </c>
      <c r="BF107" s="266">
        <f t="shared" si="697"/>
        <v>225.98599999999999</v>
      </c>
      <c r="BG107" s="266">
        <f t="shared" si="698"/>
        <v>263.02499999999998</v>
      </c>
      <c r="BH107" s="266">
        <f t="shared" si="699"/>
        <v>265.2</v>
      </c>
      <c r="BI107" s="266">
        <f t="shared" si="700"/>
        <v>1179.4000000000001</v>
      </c>
      <c r="BJ107" s="266">
        <f t="shared" si="701"/>
        <v>1046.3000000000002</v>
      </c>
      <c r="BK107" s="266">
        <f t="shared" si="702"/>
        <v>998.6</v>
      </c>
      <c r="BL107" s="266">
        <f t="shared" si="703"/>
        <v>793.4</v>
      </c>
      <c r="BM107" s="2608">
        <f t="shared" si="724"/>
        <v>0</v>
      </c>
      <c r="BN107" s="266">
        <f t="shared" si="725"/>
        <v>26.707999999999998</v>
      </c>
      <c r="BO107" s="266">
        <f t="shared" si="706"/>
        <v>26.707999999999998</v>
      </c>
      <c r="BP107" s="268">
        <f t="shared" ref="BP107:BS107" si="743">+BP177*BP$3*4</f>
        <v>113.21286686126105</v>
      </c>
      <c r="BQ107" s="268">
        <f t="shared" si="743"/>
        <v>116.74755793767459</v>
      </c>
      <c r="BR107" s="268">
        <f t="shared" si="743"/>
        <v>121.62542818744502</v>
      </c>
      <c r="BS107" s="268">
        <f t="shared" si="743"/>
        <v>125.70058311031421</v>
      </c>
    </row>
    <row r="108" spans="2:71">
      <c r="B108" s="119" t="s">
        <v>511</v>
      </c>
      <c r="C108" s="265">
        <f>+C109+C110</f>
        <v>634.23700000000008</v>
      </c>
      <c r="D108" s="265">
        <f t="shared" ref="D108:V108" si="744">+D109+D110</f>
        <v>706.947</v>
      </c>
      <c r="E108" s="265">
        <f t="shared" si="744"/>
        <v>744.96399999999994</v>
      </c>
      <c r="F108" s="265">
        <f t="shared" si="744"/>
        <v>807.44399999999996</v>
      </c>
      <c r="G108" s="265">
        <f t="shared" si="744"/>
        <v>885.70100000000002</v>
      </c>
      <c r="H108" s="265">
        <f t="shared" si="744"/>
        <v>1004.928</v>
      </c>
      <c r="I108" s="265">
        <f t="shared" si="744"/>
        <v>1033.8230000000001</v>
      </c>
      <c r="J108" s="265">
        <f t="shared" si="744"/>
        <v>1099.7370000000001</v>
      </c>
      <c r="K108" s="265">
        <f t="shared" si="744"/>
        <v>1046.0719999999999</v>
      </c>
      <c r="L108" s="265">
        <f t="shared" si="744"/>
        <v>1039.616</v>
      </c>
      <c r="M108" s="265">
        <f t="shared" si="744"/>
        <v>1224.787</v>
      </c>
      <c r="N108" s="265">
        <f t="shared" si="744"/>
        <v>1148.8699999999999</v>
      </c>
      <c r="O108" s="265">
        <f t="shared" si="744"/>
        <v>1203.1400000000001</v>
      </c>
      <c r="P108" s="265">
        <f t="shared" si="744"/>
        <v>1221.3960000000002</v>
      </c>
      <c r="Q108" s="265">
        <f t="shared" si="744"/>
        <v>1269.7359999999999</v>
      </c>
      <c r="R108" s="265">
        <f t="shared" si="744"/>
        <v>1736.5309999999999</v>
      </c>
      <c r="S108" s="265">
        <f t="shared" si="744"/>
        <v>1759.8680000000002</v>
      </c>
      <c r="T108" s="265">
        <f t="shared" si="744"/>
        <v>1849.9059999999999</v>
      </c>
      <c r="U108" s="265">
        <f t="shared" si="744"/>
        <v>2090.056</v>
      </c>
      <c r="V108" s="265">
        <f t="shared" si="744"/>
        <v>2284.2040000000002</v>
      </c>
      <c r="W108" s="265">
        <f t="shared" ref="W108:AD108" si="745">+W110+W109</f>
        <v>6179.4</v>
      </c>
      <c r="X108" s="265">
        <f t="shared" si="745"/>
        <v>6436.4</v>
      </c>
      <c r="Y108" s="265">
        <f t="shared" si="745"/>
        <v>6597.3</v>
      </c>
      <c r="Z108" s="265">
        <f t="shared" si="745"/>
        <v>6628.5</v>
      </c>
      <c r="AA108" s="265">
        <f t="shared" si="745"/>
        <v>7005</v>
      </c>
      <c r="AB108" s="265">
        <f t="shared" si="745"/>
        <v>5725.7</v>
      </c>
      <c r="AC108" s="265">
        <f t="shared" si="745"/>
        <v>6585.8</v>
      </c>
      <c r="AD108" s="265">
        <f t="shared" si="745"/>
        <v>7667.7000000000007</v>
      </c>
      <c r="AE108" s="265">
        <f t="shared" ref="AE108:AH108" si="746">+AE110+AE109</f>
        <v>6592</v>
      </c>
      <c r="AF108" s="265">
        <f t="shared" si="746"/>
        <v>7009.5</v>
      </c>
      <c r="AG108" s="265">
        <f t="shared" si="746"/>
        <v>7414.7000000000007</v>
      </c>
      <c r="AH108" s="265">
        <f t="shared" si="746"/>
        <v>7394.9</v>
      </c>
      <c r="AI108" s="265">
        <f t="shared" ref="AI108:AL108" si="747">+AI110+AI109</f>
        <v>7149.7</v>
      </c>
      <c r="AJ108" s="265">
        <f t="shared" si="747"/>
        <v>5858.3</v>
      </c>
      <c r="AK108" s="265">
        <f t="shared" si="747"/>
        <v>4977.8999999999996</v>
      </c>
      <c r="AL108" s="265">
        <f t="shared" si="747"/>
        <v>5681.5</v>
      </c>
      <c r="AM108" s="2523">
        <f t="shared" ref="AM108:AP108" si="748">+AM110+AM109</f>
        <v>2957.348</v>
      </c>
      <c r="AN108" s="265">
        <f t="shared" si="748"/>
        <v>2863.2710000000006</v>
      </c>
      <c r="AO108" s="265">
        <f t="shared" si="748"/>
        <v>3237.4440000000004</v>
      </c>
      <c r="AP108" s="265">
        <f t="shared" si="748"/>
        <v>3357.5860000000002</v>
      </c>
      <c r="AQ108" s="265">
        <f t="shared" ref="AQ108:AT108" si="749">+AQ110+AQ109</f>
        <v>3235.3150000000001</v>
      </c>
      <c r="AR108" s="265">
        <f t="shared" si="749"/>
        <v>3245.8519999999999</v>
      </c>
      <c r="AS108" s="265">
        <f t="shared" si="749"/>
        <v>3554.9700000000003</v>
      </c>
      <c r="AT108" s="265">
        <f t="shared" si="749"/>
        <v>3230.4550000000004</v>
      </c>
      <c r="AU108" s="265">
        <f t="shared" ref="AU108:AX108" si="750">+AU110+AU109</f>
        <v>3254.5830400000004</v>
      </c>
      <c r="AV108" s="265">
        <f t="shared" si="750"/>
        <v>3279.1936408000001</v>
      </c>
      <c r="AW108" s="265">
        <f t="shared" si="750"/>
        <v>3304.2964536160007</v>
      </c>
      <c r="AX108" s="265">
        <f t="shared" si="750"/>
        <v>3329.9013226883208</v>
      </c>
      <c r="AY108" s="146"/>
      <c r="AZ108" s="265">
        <v>3590.8582400000005</v>
      </c>
      <c r="BA108" s="1074"/>
      <c r="BB108" s="146"/>
      <c r="BC108" s="146"/>
      <c r="BD108" s="265">
        <f t="shared" ref="BD108:BP108" si="751">+BD110+BD109</f>
        <v>807.44399999999996</v>
      </c>
      <c r="BE108" s="265">
        <f t="shared" si="751"/>
        <v>1099.7370000000001</v>
      </c>
      <c r="BF108" s="265">
        <f t="shared" si="751"/>
        <v>1148.8699999999999</v>
      </c>
      <c r="BG108" s="265">
        <f t="shared" si="751"/>
        <v>1736.5309999999999</v>
      </c>
      <c r="BH108" s="265">
        <f t="shared" si="751"/>
        <v>2284.2040000000002</v>
      </c>
      <c r="BI108" s="265">
        <f t="shared" si="751"/>
        <v>6628.5</v>
      </c>
      <c r="BJ108" s="265">
        <f t="shared" ref="BJ108:BO108" si="752">+BJ110+BJ109</f>
        <v>7667.7000000000007</v>
      </c>
      <c r="BK108" s="265">
        <f t="shared" si="752"/>
        <v>7394.9</v>
      </c>
      <c r="BL108" s="265">
        <f t="shared" si="752"/>
        <v>5681.5</v>
      </c>
      <c r="BM108" s="2523">
        <f t="shared" si="752"/>
        <v>3357.5860000000002</v>
      </c>
      <c r="BN108" s="265">
        <f t="shared" si="752"/>
        <v>3230.4550000000004</v>
      </c>
      <c r="BO108" s="265">
        <f t="shared" si="752"/>
        <v>3329.9013226883208</v>
      </c>
      <c r="BP108" s="265">
        <f t="shared" si="751"/>
        <v>3329.9013226883208</v>
      </c>
      <c r="BQ108" s="265">
        <f t="shared" ref="BQ108:BS108" si="753">+BQ110+BQ109</f>
        <v>3329.9013226883208</v>
      </c>
      <c r="BR108" s="265">
        <f t="shared" si="753"/>
        <v>3329.9013226883208</v>
      </c>
      <c r="BS108" s="265">
        <f t="shared" si="753"/>
        <v>3329.9013226883208</v>
      </c>
    </row>
    <row r="109" spans="2:71">
      <c r="B109" s="102" t="s">
        <v>512</v>
      </c>
      <c r="C109" s="833">
        <v>130.471</v>
      </c>
      <c r="D109" s="833">
        <v>188.673</v>
      </c>
      <c r="E109" s="833">
        <v>247.72499999999999</v>
      </c>
      <c r="F109" s="833">
        <v>212.608</v>
      </c>
      <c r="G109" s="833">
        <v>281.76900000000001</v>
      </c>
      <c r="H109" s="833">
        <v>405.40499999999997</v>
      </c>
      <c r="I109" s="833">
        <v>443.43099999999998</v>
      </c>
      <c r="J109" s="833">
        <v>492.99599999999998</v>
      </c>
      <c r="K109" s="833">
        <v>446.88799999999998</v>
      </c>
      <c r="L109" s="833">
        <v>430.50799999999998</v>
      </c>
      <c r="M109" s="833">
        <v>409.1</v>
      </c>
      <c r="N109" s="833">
        <v>344.15300000000002</v>
      </c>
      <c r="O109" s="833">
        <v>396.036</v>
      </c>
      <c r="P109" s="833">
        <v>408.84500000000003</v>
      </c>
      <c r="Q109" s="833">
        <v>451.53800000000001</v>
      </c>
      <c r="R109" s="833">
        <v>398.4</v>
      </c>
      <c r="S109" s="833">
        <v>394.64100000000002</v>
      </c>
      <c r="T109" s="833">
        <v>407.553</v>
      </c>
      <c r="U109" s="833">
        <v>444.72399999999999</v>
      </c>
      <c r="V109" s="833">
        <v>374.44799999999998</v>
      </c>
      <c r="W109" s="833">
        <v>996.4</v>
      </c>
      <c r="X109" s="833">
        <v>975.9</v>
      </c>
      <c r="Y109" s="833">
        <v>1074.5</v>
      </c>
      <c r="Z109" s="833">
        <v>1339.7</v>
      </c>
      <c r="AA109" s="833">
        <v>1270.7</v>
      </c>
      <c r="AB109" s="833">
        <v>2622</v>
      </c>
      <c r="AC109" s="833">
        <v>2750.8</v>
      </c>
      <c r="AD109" s="833">
        <v>2954.1</v>
      </c>
      <c r="AE109" s="833">
        <v>3037.7</v>
      </c>
      <c r="AF109" s="833">
        <v>3340.5</v>
      </c>
      <c r="AG109" s="833">
        <v>3704.9</v>
      </c>
      <c r="AH109" s="833">
        <v>3519.5</v>
      </c>
      <c r="AI109" s="833">
        <v>3462.7</v>
      </c>
      <c r="AJ109" s="833">
        <v>3399</v>
      </c>
      <c r="AK109" s="833">
        <v>2677.3</v>
      </c>
      <c r="AL109" s="833">
        <v>2200.6999999999998</v>
      </c>
      <c r="AM109" s="2536">
        <v>1062.6859999999999</v>
      </c>
      <c r="AN109" s="833">
        <v>1008.635</v>
      </c>
      <c r="AO109" s="833">
        <v>1153.1759999999999</v>
      </c>
      <c r="AP109" s="833">
        <v>1297.8209999999999</v>
      </c>
      <c r="AQ109" s="833">
        <v>1245.317</v>
      </c>
      <c r="AR109" s="833">
        <v>1237.365</v>
      </c>
      <c r="AS109" s="833">
        <v>1760.558</v>
      </c>
      <c r="AT109" s="833">
        <v>2024.0530000000001</v>
      </c>
      <c r="AU109" s="268">
        <f t="shared" ref="AU109" si="754">+AT109</f>
        <v>2024.0530000000001</v>
      </c>
      <c r="AV109" s="268">
        <f t="shared" ref="AV109" si="755">+AU109</f>
        <v>2024.0530000000001</v>
      </c>
      <c r="AW109" s="268">
        <f t="shared" ref="AW109" si="756">+AV109</f>
        <v>2024.0530000000001</v>
      </c>
      <c r="AX109" s="268">
        <f t="shared" ref="AX109" si="757">+AW109</f>
        <v>2024.0530000000001</v>
      </c>
      <c r="AY109" s="146"/>
      <c r="AZ109" s="268">
        <v>1760.558</v>
      </c>
      <c r="BA109" s="1074"/>
      <c r="BB109" s="146"/>
      <c r="BC109" s="146"/>
      <c r="BD109" s="266">
        <f t="shared" ref="BD109:BD142" si="758">+F109</f>
        <v>212.608</v>
      </c>
      <c r="BE109" s="266">
        <f t="shared" ref="BE109:BE142" si="759">+J109</f>
        <v>492.99599999999998</v>
      </c>
      <c r="BF109" s="266">
        <f t="shared" ref="BF109:BF141" si="760">+N109</f>
        <v>344.15300000000002</v>
      </c>
      <c r="BG109" s="266">
        <f t="shared" ref="BG109:BG141" si="761">+R109</f>
        <v>398.4</v>
      </c>
      <c r="BH109" s="266">
        <f t="shared" ref="BH109:BH141" si="762">+V109</f>
        <v>374.44799999999998</v>
      </c>
      <c r="BI109" s="266">
        <f t="shared" ref="BI109:BI141" si="763">+Z109</f>
        <v>1339.7</v>
      </c>
      <c r="BJ109" s="266">
        <f t="shared" ref="BJ109:BJ141" si="764">+AD109</f>
        <v>2954.1</v>
      </c>
      <c r="BK109" s="266">
        <f t="shared" ref="BK109:BK141" si="765">+AH109</f>
        <v>3519.5</v>
      </c>
      <c r="BL109" s="266">
        <f t="shared" ref="BL109:BL141" si="766">+AL109</f>
        <v>2200.6999999999998</v>
      </c>
      <c r="BM109" s="2608">
        <f t="shared" ref="BM109:BM141" si="767">+AP109</f>
        <v>1297.8209999999999</v>
      </c>
      <c r="BN109" s="266">
        <f t="shared" ref="BN109:BN141" si="768">+AT109</f>
        <v>2024.0530000000001</v>
      </c>
      <c r="BO109" s="266">
        <f t="shared" ref="BO109:BO115" si="769">+AX109</f>
        <v>2024.0530000000001</v>
      </c>
      <c r="BP109" s="268">
        <f t="shared" ref="BP109" si="770">+BO109</f>
        <v>2024.0530000000001</v>
      </c>
      <c r="BQ109" s="268">
        <f t="shared" ref="BQ109:BQ110" si="771">+BP109</f>
        <v>2024.0530000000001</v>
      </c>
      <c r="BR109" s="268">
        <f t="shared" ref="BR109:BR110" si="772">+BQ109</f>
        <v>2024.0530000000001</v>
      </c>
      <c r="BS109" s="268">
        <f t="shared" ref="BS109:BS110" si="773">+BR109</f>
        <v>2024.0530000000001</v>
      </c>
    </row>
    <row r="110" spans="2:71">
      <c r="B110" s="102" t="s">
        <v>513</v>
      </c>
      <c r="C110" s="833">
        <v>503.76600000000002</v>
      </c>
      <c r="D110" s="833">
        <v>518.274</v>
      </c>
      <c r="E110" s="833">
        <v>497.23899999999998</v>
      </c>
      <c r="F110" s="833">
        <v>594.83600000000001</v>
      </c>
      <c r="G110" s="833">
        <v>603.93200000000002</v>
      </c>
      <c r="H110" s="833">
        <v>599.52300000000002</v>
      </c>
      <c r="I110" s="833">
        <v>590.39200000000005</v>
      </c>
      <c r="J110" s="833">
        <v>606.74099999999999</v>
      </c>
      <c r="K110" s="833">
        <v>599.18399999999997</v>
      </c>
      <c r="L110" s="833">
        <v>609.10799999999995</v>
      </c>
      <c r="M110" s="833">
        <v>815.68700000000001</v>
      </c>
      <c r="N110" s="833">
        <v>804.71699999999998</v>
      </c>
      <c r="O110" s="833">
        <v>807.10400000000004</v>
      </c>
      <c r="P110" s="833">
        <v>812.55100000000004</v>
      </c>
      <c r="Q110" s="833">
        <v>818.19799999999998</v>
      </c>
      <c r="R110" s="833">
        <v>1338.1310000000001</v>
      </c>
      <c r="S110" s="833">
        <v>1365.2270000000001</v>
      </c>
      <c r="T110" s="833">
        <v>1442.3530000000001</v>
      </c>
      <c r="U110" s="833">
        <v>1645.3320000000001</v>
      </c>
      <c r="V110" s="833">
        <v>1909.7560000000001</v>
      </c>
      <c r="W110" s="833">
        <f>899.9+334.7+619.7+1818+8.9+1501.8</f>
        <v>5183</v>
      </c>
      <c r="X110" s="833">
        <f>893.4+334+600.3+2019.9+11.3+1601.6</f>
        <v>5460.5</v>
      </c>
      <c r="Y110" s="833">
        <f>6597.3-Y109</f>
        <v>5522.8</v>
      </c>
      <c r="Z110" s="833">
        <f>932.2+478.5+566.2+1768.1+16.1+1527.7</f>
        <v>5288.8</v>
      </c>
      <c r="AA110" s="833">
        <f>7005-AA109</f>
        <v>5734.3</v>
      </c>
      <c r="AB110" s="833">
        <f>945.7+71.3+564.9+107.6+21.2+1393</f>
        <v>3103.7</v>
      </c>
      <c r="AC110" s="833">
        <f>6585.8-AC109</f>
        <v>3835</v>
      </c>
      <c r="AD110" s="833">
        <f>1349.6+84.7+585.3+894+36.9+1763.1</f>
        <v>4713.6000000000004</v>
      </c>
      <c r="AE110" s="833">
        <f>1331+117.4+595.1+42.7+1468.1</f>
        <v>3554.2999999999997</v>
      </c>
      <c r="AF110" s="833">
        <f>1334.3+176.6+588.8+50.5+1518.8</f>
        <v>3669</v>
      </c>
      <c r="AG110" s="833">
        <f>1366.3+238.5+475.5+130+36.5+1463</f>
        <v>3709.8</v>
      </c>
      <c r="AH110" s="833">
        <f>7394.9-AH109</f>
        <v>3875.3999999999996</v>
      </c>
      <c r="AI110" s="833">
        <f>1211.6+411.8+830.7+34.3+1198.6</f>
        <v>3687</v>
      </c>
      <c r="AJ110" s="833">
        <f>909+397.9+32.6+1119.8</f>
        <v>2459.3000000000002</v>
      </c>
      <c r="AK110" s="833">
        <f>4977.9-AK109</f>
        <v>2300.5999999999995</v>
      </c>
      <c r="AL110" s="833">
        <f>5681.5-AL109</f>
        <v>3480.8</v>
      </c>
      <c r="AM110" s="2536">
        <v>1894.662</v>
      </c>
      <c r="AN110" s="833">
        <v>1854.6360000000006</v>
      </c>
      <c r="AO110" s="833">
        <v>2084.2680000000005</v>
      </c>
      <c r="AP110" s="833">
        <v>2059.7650000000003</v>
      </c>
      <c r="AQ110" s="833">
        <v>1989.998</v>
      </c>
      <c r="AR110" s="833">
        <v>2008.4869999999999</v>
      </c>
      <c r="AS110" s="833">
        <v>1794.4120000000003</v>
      </c>
      <c r="AT110" s="833">
        <v>1206.4020000000003</v>
      </c>
      <c r="AU110" s="267">
        <f t="shared" ref="AU110" si="774">+AT110*1.02</f>
        <v>1230.5300400000003</v>
      </c>
      <c r="AV110" s="267">
        <f t="shared" ref="AV110" si="775">+AU110*1.02</f>
        <v>1255.1406408000003</v>
      </c>
      <c r="AW110" s="267">
        <f t="shared" ref="AW110" si="776">+AV110*1.02</f>
        <v>1280.2434536160004</v>
      </c>
      <c r="AX110" s="267">
        <f t="shared" ref="AX110" si="777">+AW110*1.02</f>
        <v>1305.8483226883204</v>
      </c>
      <c r="AY110" s="146"/>
      <c r="AZ110" s="267">
        <v>1830.3002400000003</v>
      </c>
      <c r="BA110" s="1074"/>
      <c r="BB110" s="146"/>
      <c r="BC110" s="146"/>
      <c r="BD110" s="266">
        <f t="shared" si="758"/>
        <v>594.83600000000001</v>
      </c>
      <c r="BE110" s="266">
        <f t="shared" si="759"/>
        <v>606.74099999999999</v>
      </c>
      <c r="BF110" s="266">
        <f t="shared" si="760"/>
        <v>804.71699999999998</v>
      </c>
      <c r="BG110" s="266">
        <f t="shared" si="761"/>
        <v>1338.1310000000001</v>
      </c>
      <c r="BH110" s="266">
        <f t="shared" si="762"/>
        <v>1909.7560000000001</v>
      </c>
      <c r="BI110" s="266">
        <f t="shared" si="763"/>
        <v>5288.8</v>
      </c>
      <c r="BJ110" s="266">
        <f t="shared" si="764"/>
        <v>4713.6000000000004</v>
      </c>
      <c r="BK110" s="266">
        <f t="shared" si="765"/>
        <v>3875.3999999999996</v>
      </c>
      <c r="BL110" s="266">
        <f t="shared" si="766"/>
        <v>3480.8</v>
      </c>
      <c r="BM110" s="2608">
        <f t="shared" si="767"/>
        <v>2059.7650000000003</v>
      </c>
      <c r="BN110" s="266">
        <f t="shared" si="768"/>
        <v>1206.4020000000003</v>
      </c>
      <c r="BO110" s="266">
        <f t="shared" si="769"/>
        <v>1305.8483226883204</v>
      </c>
      <c r="BP110" s="268">
        <f t="shared" ref="BP110" si="778">+BO110</f>
        <v>1305.8483226883204</v>
      </c>
      <c r="BQ110" s="268">
        <f t="shared" si="771"/>
        <v>1305.8483226883204</v>
      </c>
      <c r="BR110" s="268">
        <f t="shared" si="772"/>
        <v>1305.8483226883204</v>
      </c>
      <c r="BS110" s="268">
        <f t="shared" si="773"/>
        <v>1305.8483226883204</v>
      </c>
    </row>
    <row r="111" spans="2:71" s="277" customFormat="1">
      <c r="B111" s="119" t="s">
        <v>514</v>
      </c>
      <c r="C111" s="837">
        <f t="shared" ref="C111:AX111" si="779">+C112+C114+C113</f>
        <v>2432.96</v>
      </c>
      <c r="D111" s="837">
        <f t="shared" si="779"/>
        <v>2439.5259999999998</v>
      </c>
      <c r="E111" s="837">
        <f t="shared" si="779"/>
        <v>2533.6260000000002</v>
      </c>
      <c r="F111" s="837">
        <f t="shared" si="779"/>
        <v>2568.8310000000001</v>
      </c>
      <c r="G111" s="837">
        <f t="shared" si="779"/>
        <v>2526.877</v>
      </c>
      <c r="H111" s="837">
        <f t="shared" si="779"/>
        <v>2471.3289999999997</v>
      </c>
      <c r="I111" s="837">
        <f t="shared" si="779"/>
        <v>2477.0120000000002</v>
      </c>
      <c r="J111" s="837">
        <f t="shared" si="779"/>
        <v>2518.942</v>
      </c>
      <c r="K111" s="837">
        <f t="shared" si="779"/>
        <v>2641.7200000000003</v>
      </c>
      <c r="L111" s="837">
        <f t="shared" si="779"/>
        <v>2641.3150000000001</v>
      </c>
      <c r="M111" s="837">
        <f t="shared" si="779"/>
        <v>6599.5860000000002</v>
      </c>
      <c r="N111" s="837">
        <f t="shared" si="779"/>
        <v>6752.2830000000004</v>
      </c>
      <c r="O111" s="837">
        <f t="shared" si="779"/>
        <v>6796.5789999999997</v>
      </c>
      <c r="P111" s="837">
        <f t="shared" si="779"/>
        <v>7250.0929999999989</v>
      </c>
      <c r="Q111" s="837">
        <f t="shared" si="779"/>
        <v>7403.4319999999998</v>
      </c>
      <c r="R111" s="837">
        <f t="shared" si="779"/>
        <v>7187.259</v>
      </c>
      <c r="S111" s="837">
        <f t="shared" si="779"/>
        <v>9001.0139999999992</v>
      </c>
      <c r="T111" s="837">
        <f t="shared" si="779"/>
        <v>8805.2219999999998</v>
      </c>
      <c r="U111" s="837">
        <f t="shared" si="779"/>
        <v>9325.7210000000014</v>
      </c>
      <c r="V111" s="837">
        <f t="shared" si="779"/>
        <v>9470.3009999999995</v>
      </c>
      <c r="W111" s="837">
        <f t="shared" si="779"/>
        <v>36140.300000000003</v>
      </c>
      <c r="X111" s="837">
        <f t="shared" si="779"/>
        <v>37592</v>
      </c>
      <c r="Y111" s="837">
        <f t="shared" si="779"/>
        <v>38624</v>
      </c>
      <c r="Z111" s="837">
        <f t="shared" si="779"/>
        <v>35554.199999999997</v>
      </c>
      <c r="AA111" s="837">
        <f t="shared" si="779"/>
        <v>37074.1</v>
      </c>
      <c r="AB111" s="837">
        <f t="shared" si="779"/>
        <v>33529.299999999996</v>
      </c>
      <c r="AC111" s="837">
        <f t="shared" si="779"/>
        <v>34969.199999999997</v>
      </c>
      <c r="AD111" s="837">
        <f t="shared" si="779"/>
        <v>35331</v>
      </c>
      <c r="AE111" s="837">
        <f t="shared" si="779"/>
        <v>30883</v>
      </c>
      <c r="AF111" s="837">
        <f t="shared" si="779"/>
        <v>32232.1</v>
      </c>
      <c r="AG111" s="837">
        <f t="shared" si="779"/>
        <v>31400.9</v>
      </c>
      <c r="AH111" s="837">
        <f t="shared" si="779"/>
        <v>31169.1</v>
      </c>
      <c r="AI111" s="837">
        <f t="shared" si="779"/>
        <v>29674.7</v>
      </c>
      <c r="AJ111" s="837">
        <f t="shared" si="779"/>
        <v>28463.5</v>
      </c>
      <c r="AK111" s="837">
        <f t="shared" si="779"/>
        <v>28129.699999999997</v>
      </c>
      <c r="AL111" s="837">
        <f t="shared" si="779"/>
        <v>21078.300000000003</v>
      </c>
      <c r="AM111" s="2537">
        <f t="shared" si="779"/>
        <v>3222.8850000000002</v>
      </c>
      <c r="AN111" s="837">
        <f t="shared" si="779"/>
        <v>3282</v>
      </c>
      <c r="AO111" s="837">
        <f t="shared" si="779"/>
        <v>3489.2860000000001</v>
      </c>
      <c r="AP111" s="837">
        <f t="shared" si="779"/>
        <v>3577.6150000000002</v>
      </c>
      <c r="AQ111" s="837">
        <f t="shared" si="779"/>
        <v>3422.5150000000003</v>
      </c>
      <c r="AR111" s="837">
        <f t="shared" si="779"/>
        <v>3269.4679999999998</v>
      </c>
      <c r="AS111" s="837">
        <f t="shared" si="779"/>
        <v>13280.6</v>
      </c>
      <c r="AT111" s="837">
        <f t="shared" si="779"/>
        <v>13526.562</v>
      </c>
      <c r="AU111" s="837">
        <f t="shared" si="779"/>
        <v>13472.736796130277</v>
      </c>
      <c r="AV111" s="837">
        <f t="shared" si="779"/>
        <v>13442.953452073783</v>
      </c>
      <c r="AW111" s="837">
        <f t="shared" si="779"/>
        <v>13279.286095234827</v>
      </c>
      <c r="AX111" s="837">
        <f t="shared" si="779"/>
        <v>13241.798229059688</v>
      </c>
      <c r="AY111" s="995"/>
      <c r="AZ111" s="837">
        <v>13257.077728743485</v>
      </c>
      <c r="BA111" s="1075"/>
      <c r="BB111" s="995"/>
      <c r="BC111" s="995"/>
      <c r="BD111" s="837">
        <f t="shared" si="758"/>
        <v>2568.8310000000001</v>
      </c>
      <c r="BE111" s="837">
        <f t="shared" si="759"/>
        <v>2518.942</v>
      </c>
      <c r="BF111" s="837">
        <f t="shared" si="760"/>
        <v>6752.2830000000004</v>
      </c>
      <c r="BG111" s="837">
        <f t="shared" si="761"/>
        <v>7187.259</v>
      </c>
      <c r="BH111" s="837">
        <f t="shared" si="762"/>
        <v>9470.3009999999995</v>
      </c>
      <c r="BI111" s="837">
        <f t="shared" si="763"/>
        <v>35554.199999999997</v>
      </c>
      <c r="BJ111" s="837">
        <f t="shared" si="764"/>
        <v>35331</v>
      </c>
      <c r="BK111" s="837">
        <f t="shared" si="765"/>
        <v>31169.1</v>
      </c>
      <c r="BL111" s="837">
        <f t="shared" si="766"/>
        <v>21078.300000000003</v>
      </c>
      <c r="BM111" s="2537">
        <f t="shared" si="767"/>
        <v>3577.6150000000002</v>
      </c>
      <c r="BN111" s="837">
        <f t="shared" si="768"/>
        <v>13526.562</v>
      </c>
      <c r="BO111" s="837">
        <f t="shared" si="769"/>
        <v>13241.798229059688</v>
      </c>
      <c r="BP111" s="837">
        <f>+BP112+BP114+BP113</f>
        <v>13104.133614080856</v>
      </c>
      <c r="BQ111" s="837">
        <f>+BQ112+BQ114+BQ113</f>
        <v>13053.793060787422</v>
      </c>
      <c r="BR111" s="837">
        <f>+BR112+BR114+BR113</f>
        <v>13012.857756499119</v>
      </c>
      <c r="BS111" s="837">
        <f>+BS112+BS114+BS113</f>
        <v>13018.710620126636</v>
      </c>
    </row>
    <row r="112" spans="2:71">
      <c r="B112" s="102" t="s">
        <v>515</v>
      </c>
      <c r="C112" s="833">
        <v>1759.9449999999999</v>
      </c>
      <c r="D112" s="833">
        <v>1727.0150000000001</v>
      </c>
      <c r="E112" s="833">
        <v>1761.819</v>
      </c>
      <c r="F112" s="833">
        <v>1752.35</v>
      </c>
      <c r="G112" s="833">
        <v>1739.664</v>
      </c>
      <c r="H112" s="833">
        <v>1717.7339999999999</v>
      </c>
      <c r="I112" s="833">
        <v>1707.288</v>
      </c>
      <c r="J112" s="833">
        <v>1734.6880000000001</v>
      </c>
      <c r="K112" s="833">
        <v>1855.7370000000001</v>
      </c>
      <c r="L112" s="833">
        <v>1840.345</v>
      </c>
      <c r="M112" s="833">
        <v>2242.473</v>
      </c>
      <c r="N112" s="833">
        <v>2276.674</v>
      </c>
      <c r="O112" s="833">
        <v>2237.9319999999998</v>
      </c>
      <c r="P112" s="833">
        <v>2260.4029999999998</v>
      </c>
      <c r="Q112" s="833">
        <v>2276.7820000000002</v>
      </c>
      <c r="R112" s="833">
        <v>2236.7139999999999</v>
      </c>
      <c r="S112" s="833">
        <v>1720.0540000000001</v>
      </c>
      <c r="T112" s="833">
        <v>1669.2950000000001</v>
      </c>
      <c r="U112" s="833">
        <v>1707</v>
      </c>
      <c r="V112" s="324">
        <v>1773.9</v>
      </c>
      <c r="W112" s="324">
        <v>5246.3</v>
      </c>
      <c r="X112" s="324">
        <v>5350.8</v>
      </c>
      <c r="Y112" s="324">
        <v>5397.6</v>
      </c>
      <c r="Z112" s="324">
        <v>5235.1000000000004</v>
      </c>
      <c r="AA112" s="324">
        <v>5380.1</v>
      </c>
      <c r="AB112" s="324">
        <v>5063</v>
      </c>
      <c r="AC112" s="324">
        <v>5156.2</v>
      </c>
      <c r="AD112" s="324">
        <v>5377.4</v>
      </c>
      <c r="AE112" s="324">
        <v>4816.8</v>
      </c>
      <c r="AF112" s="324">
        <v>5025.8</v>
      </c>
      <c r="AG112" s="324">
        <v>4903</v>
      </c>
      <c r="AH112" s="324">
        <v>4966.2</v>
      </c>
      <c r="AI112" s="324">
        <v>4537.8999999999996</v>
      </c>
      <c r="AJ112" s="324">
        <v>4123.5</v>
      </c>
      <c r="AK112" s="324">
        <v>3859.2</v>
      </c>
      <c r="AL112" s="324">
        <v>3457.6</v>
      </c>
      <c r="AM112" s="2522">
        <v>1639.85</v>
      </c>
      <c r="AN112" s="324">
        <v>1672.1559999999999</v>
      </c>
      <c r="AO112" s="324">
        <v>1924.644</v>
      </c>
      <c r="AP112" s="324">
        <v>2058.395</v>
      </c>
      <c r="AQ112" s="324">
        <v>2011.153</v>
      </c>
      <c r="AR112" s="324">
        <v>1952.3309999999999</v>
      </c>
      <c r="AS112" s="324">
        <v>2429.3710000000001</v>
      </c>
      <c r="AT112" s="324">
        <v>2469.1219999999998</v>
      </c>
      <c r="AU112" s="267">
        <f>+AT112+AU214+AU207</f>
        <v>2415.2967961302775</v>
      </c>
      <c r="AV112" s="267">
        <f t="shared" ref="AV112:AX112" si="780">+AU112+AV214+AV207</f>
        <v>2385.5134520737843</v>
      </c>
      <c r="AW112" s="267">
        <f t="shared" si="780"/>
        <v>2221.8460952348282</v>
      </c>
      <c r="AX112" s="267">
        <f t="shared" si="780"/>
        <v>2184.3582290596878</v>
      </c>
      <c r="AY112" s="146"/>
      <c r="AZ112" s="267">
        <v>2405.8487287434846</v>
      </c>
      <c r="BA112" s="1074"/>
      <c r="BB112" s="146"/>
      <c r="BC112" s="146"/>
      <c r="BD112" s="266">
        <f t="shared" si="758"/>
        <v>1752.35</v>
      </c>
      <c r="BE112" s="266">
        <f t="shared" si="759"/>
        <v>1734.6880000000001</v>
      </c>
      <c r="BF112" s="266">
        <f t="shared" si="760"/>
        <v>2276.674</v>
      </c>
      <c r="BG112" s="266">
        <f t="shared" si="761"/>
        <v>2236.7139999999999</v>
      </c>
      <c r="BH112" s="266">
        <f t="shared" si="762"/>
        <v>1773.9</v>
      </c>
      <c r="BI112" s="266">
        <f t="shared" si="763"/>
        <v>5235.1000000000004</v>
      </c>
      <c r="BJ112" s="266">
        <f t="shared" si="764"/>
        <v>5377.4</v>
      </c>
      <c r="BK112" s="266">
        <f t="shared" si="765"/>
        <v>4966.2</v>
      </c>
      <c r="BL112" s="266">
        <f t="shared" si="766"/>
        <v>3457.6</v>
      </c>
      <c r="BM112" s="2608">
        <f t="shared" si="767"/>
        <v>2058.395</v>
      </c>
      <c r="BN112" s="266">
        <f t="shared" si="768"/>
        <v>2469.1219999999998</v>
      </c>
      <c r="BO112" s="266">
        <f t="shared" si="769"/>
        <v>2184.3582290596878</v>
      </c>
      <c r="BP112" s="267">
        <f t="shared" ref="BP112:BS112" si="781">+BO112+BP214+BP207</f>
        <v>2046.6936140808562</v>
      </c>
      <c r="BQ112" s="267">
        <f t="shared" si="781"/>
        <v>1975.6740607874217</v>
      </c>
      <c r="BR112" s="267">
        <f t="shared" si="781"/>
        <v>1950.2480064991196</v>
      </c>
      <c r="BS112" s="267">
        <f t="shared" si="781"/>
        <v>1954.8084326266357</v>
      </c>
    </row>
    <row r="113" spans="2:71">
      <c r="B113" s="102" t="s">
        <v>516</v>
      </c>
      <c r="C113" s="833">
        <v>673.01499999999999</v>
      </c>
      <c r="D113" s="833">
        <v>712.51099999999997</v>
      </c>
      <c r="E113" s="833">
        <v>771.80700000000002</v>
      </c>
      <c r="F113" s="833">
        <v>816.48099999999999</v>
      </c>
      <c r="G113" s="833">
        <v>787.21299999999997</v>
      </c>
      <c r="H113" s="833">
        <v>753.59500000000003</v>
      </c>
      <c r="I113" s="833">
        <v>769.72400000000005</v>
      </c>
      <c r="J113" s="833">
        <v>784.25400000000002</v>
      </c>
      <c r="K113" s="833">
        <v>785.98299999999995</v>
      </c>
      <c r="L113" s="833">
        <v>800.97</v>
      </c>
      <c r="M113" s="833">
        <v>4357.1130000000003</v>
      </c>
      <c r="N113" s="833">
        <v>4475.6090000000004</v>
      </c>
      <c r="O113" s="833">
        <v>4558.6469999999999</v>
      </c>
      <c r="P113" s="833">
        <v>4989.6899999999996</v>
      </c>
      <c r="Q113" s="833">
        <v>5126.6499999999996</v>
      </c>
      <c r="R113" s="833">
        <v>4950.5450000000001</v>
      </c>
      <c r="S113" s="833">
        <v>4872.7110000000002</v>
      </c>
      <c r="T113" s="833">
        <v>4716.527</v>
      </c>
      <c r="U113" s="833">
        <v>4933.1210000000001</v>
      </c>
      <c r="V113" s="835">
        <v>5076.5010000000002</v>
      </c>
      <c r="W113" s="835">
        <v>27157.5</v>
      </c>
      <c r="X113" s="835">
        <v>28431.200000000001</v>
      </c>
      <c r="Y113" s="835">
        <v>29380</v>
      </c>
      <c r="Z113" s="835">
        <v>26917.1</v>
      </c>
      <c r="AA113" s="835">
        <v>28306</v>
      </c>
      <c r="AB113" s="835">
        <v>25512.1</v>
      </c>
      <c r="AC113" s="835">
        <v>26777.3</v>
      </c>
      <c r="AD113" s="835">
        <v>26857.599999999999</v>
      </c>
      <c r="AE113" s="835">
        <v>23288.9</v>
      </c>
      <c r="AF113" s="835">
        <v>24179.3</v>
      </c>
      <c r="AG113" s="835">
        <v>23509.8</v>
      </c>
      <c r="AH113" s="835">
        <v>23261</v>
      </c>
      <c r="AI113" s="835">
        <v>23042.5</v>
      </c>
      <c r="AJ113" s="835">
        <v>22357.4</v>
      </c>
      <c r="AK113" s="835">
        <v>22297.1</v>
      </c>
      <c r="AL113" s="835">
        <v>16569.900000000001</v>
      </c>
      <c r="AM113" s="2538">
        <v>877.84500000000003</v>
      </c>
      <c r="AN113" s="835">
        <v>886.99</v>
      </c>
      <c r="AO113" s="835">
        <v>836.89300000000003</v>
      </c>
      <c r="AP113" s="835">
        <v>779.65899999999999</v>
      </c>
      <c r="AQ113" s="835">
        <v>731.90300000000002</v>
      </c>
      <c r="AR113" s="835">
        <v>690.46299999999997</v>
      </c>
      <c r="AS113" s="2634">
        <v>10201.357</v>
      </c>
      <c r="AT113" s="835">
        <v>10390.697</v>
      </c>
      <c r="AU113" s="268">
        <f t="shared" ref="AU113" si="782">+AT113</f>
        <v>10390.697</v>
      </c>
      <c r="AV113" s="268">
        <f t="shared" ref="AV113" si="783">+AU113</f>
        <v>10390.697</v>
      </c>
      <c r="AW113" s="268">
        <f t="shared" ref="AW113" si="784">+AV113</f>
        <v>10390.697</v>
      </c>
      <c r="AX113" s="268">
        <f t="shared" ref="AX113" si="785">+AW113</f>
        <v>10390.697</v>
      </c>
      <c r="AY113" s="146"/>
      <c r="AZ113" s="270">
        <v>10201.357</v>
      </c>
      <c r="BA113" s="1074"/>
      <c r="BB113" s="146"/>
      <c r="BC113" s="146"/>
      <c r="BD113" s="266">
        <f t="shared" si="758"/>
        <v>816.48099999999999</v>
      </c>
      <c r="BE113" s="266">
        <f t="shared" si="759"/>
        <v>784.25400000000002</v>
      </c>
      <c r="BF113" s="266">
        <f t="shared" si="760"/>
        <v>4475.6090000000004</v>
      </c>
      <c r="BG113" s="266">
        <f t="shared" si="761"/>
        <v>4950.5450000000001</v>
      </c>
      <c r="BH113" s="266">
        <f t="shared" si="762"/>
        <v>5076.5010000000002</v>
      </c>
      <c r="BI113" s="266">
        <f t="shared" si="763"/>
        <v>26917.1</v>
      </c>
      <c r="BJ113" s="266">
        <f t="shared" si="764"/>
        <v>26857.599999999999</v>
      </c>
      <c r="BK113" s="266">
        <f t="shared" si="765"/>
        <v>23261</v>
      </c>
      <c r="BL113" s="266">
        <f t="shared" si="766"/>
        <v>16569.900000000001</v>
      </c>
      <c r="BM113" s="2608">
        <f t="shared" si="767"/>
        <v>779.65899999999999</v>
      </c>
      <c r="BN113" s="266">
        <f t="shared" si="768"/>
        <v>10390.697</v>
      </c>
      <c r="BO113" s="266">
        <f t="shared" si="769"/>
        <v>10390.697</v>
      </c>
      <c r="BP113" s="268">
        <f t="shared" ref="BP113" si="786">+BO113</f>
        <v>10390.697</v>
      </c>
      <c r="BQ113" s="268">
        <f t="shared" ref="BQ113" si="787">+BP113</f>
        <v>10390.697</v>
      </c>
      <c r="BR113" s="268">
        <f t="shared" ref="BR113" si="788">+BQ113</f>
        <v>10390.697</v>
      </c>
      <c r="BS113" s="268">
        <f t="shared" ref="BS113" si="789">+BR113</f>
        <v>10390.697</v>
      </c>
    </row>
    <row r="114" spans="2:71">
      <c r="B114" s="2388" t="s">
        <v>287</v>
      </c>
      <c r="C114" s="324">
        <v>0</v>
      </c>
      <c r="D114" s="324">
        <v>0</v>
      </c>
      <c r="E114" s="324">
        <v>0</v>
      </c>
      <c r="F114" s="324">
        <v>0</v>
      </c>
      <c r="G114" s="324">
        <v>0</v>
      </c>
      <c r="H114" s="324">
        <v>0</v>
      </c>
      <c r="I114" s="324">
        <v>0</v>
      </c>
      <c r="J114" s="324">
        <v>0</v>
      </c>
      <c r="K114" s="324">
        <v>0</v>
      </c>
      <c r="L114" s="324">
        <v>0</v>
      </c>
      <c r="M114" s="324">
        <v>0</v>
      </c>
      <c r="N114" s="324">
        <v>0</v>
      </c>
      <c r="O114" s="324">
        <v>0</v>
      </c>
      <c r="P114" s="324">
        <v>0</v>
      </c>
      <c r="Q114" s="324">
        <v>0</v>
      </c>
      <c r="R114" s="324">
        <v>0</v>
      </c>
      <c r="S114" s="833">
        <v>2408.2489999999998</v>
      </c>
      <c r="T114" s="833">
        <v>2419.4</v>
      </c>
      <c r="U114" s="833">
        <v>2685.6</v>
      </c>
      <c r="V114" s="324">
        <v>2619.9</v>
      </c>
      <c r="W114" s="324">
        <v>3736.5</v>
      </c>
      <c r="X114" s="324">
        <v>3810</v>
      </c>
      <c r="Y114" s="324">
        <v>3846.4</v>
      </c>
      <c r="Z114" s="324">
        <v>3402</v>
      </c>
      <c r="AA114" s="324">
        <v>3388</v>
      </c>
      <c r="AB114" s="324">
        <v>2954.2</v>
      </c>
      <c r="AC114" s="324">
        <v>3035.7</v>
      </c>
      <c r="AD114" s="324">
        <v>3096</v>
      </c>
      <c r="AE114" s="324">
        <v>2777.3</v>
      </c>
      <c r="AF114" s="324">
        <v>3027</v>
      </c>
      <c r="AG114" s="324">
        <v>2988.1</v>
      </c>
      <c r="AH114" s="324">
        <v>2941.9</v>
      </c>
      <c r="AI114" s="324">
        <v>2094.3000000000002</v>
      </c>
      <c r="AJ114" s="324">
        <v>1982.6</v>
      </c>
      <c r="AK114" s="324">
        <v>1973.4</v>
      </c>
      <c r="AL114" s="324">
        <v>1050.8</v>
      </c>
      <c r="AM114" s="2522">
        <v>705.19</v>
      </c>
      <c r="AN114" s="324">
        <v>722.85400000000004</v>
      </c>
      <c r="AO114" s="324">
        <v>727.74900000000002</v>
      </c>
      <c r="AP114" s="324">
        <v>739.56100000000004</v>
      </c>
      <c r="AQ114" s="324">
        <v>679.45899999999995</v>
      </c>
      <c r="AR114" s="324">
        <v>626.67399999999998</v>
      </c>
      <c r="AS114" s="324">
        <v>649.87199999999996</v>
      </c>
      <c r="AT114" s="324">
        <v>666.74300000000005</v>
      </c>
      <c r="AU114" s="267">
        <f>+FAT!AU97</f>
        <v>666.74300000000005</v>
      </c>
      <c r="AV114" s="267">
        <f>+FAT!AV97</f>
        <v>666.74300000000005</v>
      </c>
      <c r="AW114" s="267">
        <f>+FAT!AW97</f>
        <v>666.74300000000005</v>
      </c>
      <c r="AX114" s="267">
        <f>+FAT!AX97</f>
        <v>666.74300000000005</v>
      </c>
      <c r="AY114" s="146"/>
      <c r="AZ114" s="267">
        <v>649.87199999999996</v>
      </c>
      <c r="BA114" s="1074"/>
      <c r="BB114" s="146"/>
      <c r="BC114" s="146"/>
      <c r="BD114" s="266">
        <f>+F114</f>
        <v>0</v>
      </c>
      <c r="BE114" s="266">
        <f>+J114</f>
        <v>0</v>
      </c>
      <c r="BF114" s="266">
        <f>+N114</f>
        <v>0</v>
      </c>
      <c r="BG114" s="266">
        <f>+R114</f>
        <v>0</v>
      </c>
      <c r="BH114" s="266">
        <f>+V114</f>
        <v>2619.9</v>
      </c>
      <c r="BI114" s="266">
        <f>+Z114</f>
        <v>3402</v>
      </c>
      <c r="BJ114" s="266">
        <f>+AD114</f>
        <v>3096</v>
      </c>
      <c r="BK114" s="266">
        <f>+AH114</f>
        <v>2941.9</v>
      </c>
      <c r="BL114" s="266">
        <f>+AL114</f>
        <v>1050.8</v>
      </c>
      <c r="BM114" s="2608">
        <f>+AP114</f>
        <v>739.56100000000004</v>
      </c>
      <c r="BN114" s="266">
        <f>+AT114</f>
        <v>666.74300000000005</v>
      </c>
      <c r="BO114" s="266">
        <f t="shared" si="769"/>
        <v>666.74300000000005</v>
      </c>
      <c r="BP114" s="267">
        <f>+FAT!BR97</f>
        <v>666.74300000000005</v>
      </c>
      <c r="BQ114" s="267">
        <f>+FAT!BS97</f>
        <v>687.42200000000003</v>
      </c>
      <c r="BR114" s="267">
        <f>+FAT!BT97</f>
        <v>671.91275000000007</v>
      </c>
      <c r="BS114" s="267">
        <f>+FAT!BU97</f>
        <v>673.20518750000008</v>
      </c>
    </row>
    <row r="115" spans="2:71">
      <c r="B115" s="119" t="s">
        <v>517</v>
      </c>
      <c r="C115" s="265">
        <f t="shared" ref="C115:AX115" si="790">+C97+C108+C111</f>
        <v>8838.6130000000012</v>
      </c>
      <c r="D115" s="265">
        <f t="shared" si="790"/>
        <v>8547.6270000000004</v>
      </c>
      <c r="E115" s="265">
        <f t="shared" si="790"/>
        <v>9738.1380000000008</v>
      </c>
      <c r="F115" s="265">
        <f t="shared" si="790"/>
        <v>9394.9809999999998</v>
      </c>
      <c r="G115" s="265">
        <f t="shared" si="790"/>
        <v>8840.5380000000005</v>
      </c>
      <c r="H115" s="265">
        <f t="shared" si="790"/>
        <v>8477.1329999999998</v>
      </c>
      <c r="I115" s="265">
        <f t="shared" si="790"/>
        <v>7947.7139999999999</v>
      </c>
      <c r="J115" s="265">
        <f t="shared" si="790"/>
        <v>8421.5789999999997</v>
      </c>
      <c r="K115" s="265">
        <f t="shared" si="790"/>
        <v>7793.576</v>
      </c>
      <c r="L115" s="265">
        <f t="shared" si="790"/>
        <v>7737.9089999999997</v>
      </c>
      <c r="M115" s="265">
        <f t="shared" si="790"/>
        <v>14844.056</v>
      </c>
      <c r="N115" s="265">
        <f t="shared" si="790"/>
        <v>14957.462</v>
      </c>
      <c r="O115" s="265">
        <f t="shared" si="790"/>
        <v>14189.125</v>
      </c>
      <c r="P115" s="265">
        <f t="shared" si="790"/>
        <v>14324.055999999999</v>
      </c>
      <c r="Q115" s="265">
        <f t="shared" si="790"/>
        <v>14800.486999999999</v>
      </c>
      <c r="R115" s="265">
        <f t="shared" si="790"/>
        <v>15379.549000000001</v>
      </c>
      <c r="S115" s="265">
        <f t="shared" si="790"/>
        <v>16093.235000000001</v>
      </c>
      <c r="T115" s="265">
        <f t="shared" si="790"/>
        <v>16535.378000000001</v>
      </c>
      <c r="U115" s="265">
        <f t="shared" si="790"/>
        <v>17625.677000000003</v>
      </c>
      <c r="V115" s="265">
        <f t="shared" si="790"/>
        <v>21184.605000000003</v>
      </c>
      <c r="W115" s="265">
        <f t="shared" si="790"/>
        <v>56058.8</v>
      </c>
      <c r="X115" s="265">
        <f t="shared" si="790"/>
        <v>61092.9</v>
      </c>
      <c r="Y115" s="265">
        <f t="shared" si="790"/>
        <v>64320.6</v>
      </c>
      <c r="Z115" s="265">
        <f t="shared" si="790"/>
        <v>60917.5</v>
      </c>
      <c r="AA115" s="265">
        <f t="shared" si="790"/>
        <v>61818.1</v>
      </c>
      <c r="AB115" s="265">
        <f t="shared" si="790"/>
        <v>58602.399999999994</v>
      </c>
      <c r="AC115" s="265">
        <f t="shared" si="790"/>
        <v>58635.399999999994</v>
      </c>
      <c r="AD115" s="265">
        <f t="shared" si="790"/>
        <v>60448.6</v>
      </c>
      <c r="AE115" s="265">
        <f t="shared" si="790"/>
        <v>52224.1</v>
      </c>
      <c r="AF115" s="265">
        <f t="shared" si="790"/>
        <v>54330.7</v>
      </c>
      <c r="AG115" s="265">
        <f t="shared" si="790"/>
        <v>54500.9</v>
      </c>
      <c r="AH115" s="265">
        <f t="shared" si="790"/>
        <v>54685.5</v>
      </c>
      <c r="AI115" s="265">
        <f t="shared" si="790"/>
        <v>53192.4</v>
      </c>
      <c r="AJ115" s="265">
        <f t="shared" si="790"/>
        <v>50593.5</v>
      </c>
      <c r="AK115" s="265">
        <f t="shared" si="790"/>
        <v>50570.799999999996</v>
      </c>
      <c r="AL115" s="265">
        <f t="shared" si="790"/>
        <v>42747</v>
      </c>
      <c r="AM115" s="2523">
        <f t="shared" si="790"/>
        <v>18738.93</v>
      </c>
      <c r="AN115" s="265">
        <f t="shared" si="790"/>
        <v>17843.156000000003</v>
      </c>
      <c r="AO115" s="265">
        <f t="shared" si="790"/>
        <v>19489.255000000001</v>
      </c>
      <c r="AP115" s="265">
        <f t="shared" si="790"/>
        <v>20315.234</v>
      </c>
      <c r="AQ115" s="265">
        <f t="shared" si="790"/>
        <v>19790.761000000002</v>
      </c>
      <c r="AR115" s="265">
        <f t="shared" si="790"/>
        <v>20092.267</v>
      </c>
      <c r="AS115" s="265">
        <f t="shared" si="790"/>
        <v>29046.525999999998</v>
      </c>
      <c r="AT115" s="265">
        <f t="shared" si="790"/>
        <v>28971.305</v>
      </c>
      <c r="AU115" s="265">
        <f t="shared" si="790"/>
        <v>27895.671458451019</v>
      </c>
      <c r="AV115" s="265">
        <f t="shared" si="790"/>
        <v>28547.286665884018</v>
      </c>
      <c r="AW115" s="265">
        <f t="shared" si="790"/>
        <v>28940.453034916754</v>
      </c>
      <c r="AX115" s="265">
        <f t="shared" si="790"/>
        <v>30169.230162525942</v>
      </c>
      <c r="AY115" s="146"/>
      <c r="AZ115" s="265">
        <v>29072.103740726416</v>
      </c>
      <c r="BA115" s="1074"/>
      <c r="BB115" s="146"/>
      <c r="BC115" s="146"/>
      <c r="BD115" s="265">
        <f t="shared" si="758"/>
        <v>9394.9809999999998</v>
      </c>
      <c r="BE115" s="265">
        <f t="shared" si="759"/>
        <v>8421.5789999999997</v>
      </c>
      <c r="BF115" s="265">
        <f t="shared" si="760"/>
        <v>14957.462</v>
      </c>
      <c r="BG115" s="265">
        <f t="shared" si="761"/>
        <v>15379.549000000001</v>
      </c>
      <c r="BH115" s="265">
        <f t="shared" si="762"/>
        <v>21184.605000000003</v>
      </c>
      <c r="BI115" s="265">
        <f t="shared" si="763"/>
        <v>60917.5</v>
      </c>
      <c r="BJ115" s="265">
        <f t="shared" si="764"/>
        <v>60448.6</v>
      </c>
      <c r="BK115" s="265">
        <f t="shared" si="765"/>
        <v>54685.5</v>
      </c>
      <c r="BL115" s="265">
        <f t="shared" si="766"/>
        <v>42747</v>
      </c>
      <c r="BM115" s="2523">
        <f t="shared" si="767"/>
        <v>20315.234</v>
      </c>
      <c r="BN115" s="265">
        <f t="shared" si="768"/>
        <v>28971.305</v>
      </c>
      <c r="BO115" s="265">
        <f t="shared" si="769"/>
        <v>30169.230162525942</v>
      </c>
      <c r="BP115" s="265">
        <f>+BP97+BP108+BP111</f>
        <v>31583.561722619295</v>
      </c>
      <c r="BQ115" s="265">
        <f>+BQ97+BQ108+BQ111</f>
        <v>31474.55072365237</v>
      </c>
      <c r="BR115" s="265">
        <f>+BR97+BR108+BR111</f>
        <v>32932.736471531098</v>
      </c>
      <c r="BS115" s="265">
        <f>+BS97+BS108+BS111</f>
        <v>34358.578621227185</v>
      </c>
    </row>
    <row r="116" spans="2:71">
      <c r="B116" s="119" t="s">
        <v>518</v>
      </c>
      <c r="C116" s="264">
        <f t="shared" ref="C116:AL116" si="791">+SUM(C119:C127)</f>
        <v>1788.0420000000001</v>
      </c>
      <c r="D116" s="264">
        <f t="shared" si="791"/>
        <v>1850.0400000000002</v>
      </c>
      <c r="E116" s="264">
        <f t="shared" si="791"/>
        <v>2335.0349999999999</v>
      </c>
      <c r="F116" s="264">
        <f t="shared" si="791"/>
        <v>2411.5369999999998</v>
      </c>
      <c r="G116" s="264">
        <f t="shared" si="791"/>
        <v>2324.364</v>
      </c>
      <c r="H116" s="264">
        <f t="shared" si="791"/>
        <v>2345.5370000000003</v>
      </c>
      <c r="I116" s="264">
        <f t="shared" si="791"/>
        <v>2330.0509999999999</v>
      </c>
      <c r="J116" s="264">
        <f t="shared" si="791"/>
        <v>2413.4110000000001</v>
      </c>
      <c r="K116" s="264">
        <f t="shared" si="791"/>
        <v>2061.9449999999997</v>
      </c>
      <c r="L116" s="264">
        <f t="shared" si="791"/>
        <v>2149.6619999999998</v>
      </c>
      <c r="M116" s="264">
        <f t="shared" si="791"/>
        <v>2763.0279999999998</v>
      </c>
      <c r="N116" s="264">
        <f t="shared" si="791"/>
        <v>2835.3359999999998</v>
      </c>
      <c r="O116" s="264">
        <f t="shared" si="791"/>
        <v>2500.864</v>
      </c>
      <c r="P116" s="264">
        <f t="shared" si="791"/>
        <v>2384.5519999999997</v>
      </c>
      <c r="Q116" s="264">
        <f t="shared" si="791"/>
        <v>2589.8350000000005</v>
      </c>
      <c r="R116" s="264">
        <f t="shared" si="791"/>
        <v>3385.0219999999999</v>
      </c>
      <c r="S116" s="264">
        <f t="shared" si="791"/>
        <v>2799.895</v>
      </c>
      <c r="T116" s="264">
        <f t="shared" si="791"/>
        <v>3061.0410000000002</v>
      </c>
      <c r="U116" s="264">
        <f t="shared" si="791"/>
        <v>3098.2999999999997</v>
      </c>
      <c r="V116" s="264">
        <f t="shared" si="791"/>
        <v>3622</v>
      </c>
      <c r="W116" s="264">
        <f t="shared" si="791"/>
        <v>8634.6</v>
      </c>
      <c r="X116" s="264">
        <f t="shared" si="791"/>
        <v>9151.7000000000007</v>
      </c>
      <c r="Y116" s="264">
        <f t="shared" si="791"/>
        <v>11052.5</v>
      </c>
      <c r="Z116" s="264">
        <f t="shared" si="791"/>
        <v>11294.4</v>
      </c>
      <c r="AA116" s="264">
        <f t="shared" si="791"/>
        <v>10650.900000000001</v>
      </c>
      <c r="AB116" s="264">
        <f t="shared" si="791"/>
        <v>10429.5</v>
      </c>
      <c r="AC116" s="264">
        <f t="shared" si="791"/>
        <v>10610.2</v>
      </c>
      <c r="AD116" s="264">
        <f t="shared" si="791"/>
        <v>11743.4</v>
      </c>
      <c r="AE116" s="264">
        <f t="shared" si="791"/>
        <v>9574.7000000000007</v>
      </c>
      <c r="AF116" s="264">
        <f t="shared" si="791"/>
        <v>10022.4</v>
      </c>
      <c r="AG116" s="264">
        <f t="shared" si="791"/>
        <v>11019.7</v>
      </c>
      <c r="AH116" s="264">
        <f t="shared" si="791"/>
        <v>12128.3</v>
      </c>
      <c r="AI116" s="264">
        <f t="shared" si="791"/>
        <v>12180.4</v>
      </c>
      <c r="AJ116" s="264">
        <f t="shared" si="791"/>
        <v>10981.9</v>
      </c>
      <c r="AK116" s="264">
        <f t="shared" si="791"/>
        <v>8840.7999999999993</v>
      </c>
      <c r="AL116" s="264">
        <f t="shared" si="791"/>
        <v>9951.0999999999985</v>
      </c>
      <c r="AM116" s="264">
        <f t="shared" ref="AM116:AP116" si="792">+SUM(AM117:AM128)</f>
        <v>5464.5990000000002</v>
      </c>
      <c r="AN116" s="264">
        <f t="shared" si="792"/>
        <v>5787.0730000000003</v>
      </c>
      <c r="AO116" s="264">
        <f t="shared" si="792"/>
        <v>6371.8950000000004</v>
      </c>
      <c r="AP116" s="264">
        <f t="shared" si="792"/>
        <v>6875.7099999999991</v>
      </c>
      <c r="AQ116" s="264">
        <f>+SUM(AQ117:AQ128)</f>
        <v>6675.0879999999997</v>
      </c>
      <c r="AR116" s="264">
        <f t="shared" ref="AR116:AS116" si="793">+SUM(AR117:AR128)</f>
        <v>6696.4749999999985</v>
      </c>
      <c r="AS116" s="264">
        <f t="shared" si="793"/>
        <v>7509.0159999999996</v>
      </c>
      <c r="AT116" s="264">
        <f t="shared" ref="AT116" si="794">+SUM(AT117:AT128)</f>
        <v>7383.8389999999999</v>
      </c>
      <c r="AU116" s="264">
        <f t="shared" ref="AU116" si="795">+SUM(AU117:AU128)</f>
        <v>5997.8822573917287</v>
      </c>
      <c r="AV116" s="264">
        <f t="shared" ref="AV116" si="796">+SUM(AV117:AV128)</f>
        <v>6449.6474726960851</v>
      </c>
      <c r="AW116" s="264">
        <f t="shared" ref="AW116" si="797">+SUM(AW117:AW128)</f>
        <v>6672.8614362810576</v>
      </c>
      <c r="AX116" s="264">
        <f t="shared" ref="AX116" si="798">+SUM(AX117:AX128)</f>
        <v>7453.3985895115711</v>
      </c>
      <c r="AY116" s="146"/>
      <c r="AZ116" s="264">
        <v>7336.004644748331</v>
      </c>
      <c r="BA116" s="1074"/>
      <c r="BB116" s="146"/>
      <c r="BC116" s="146"/>
      <c r="BD116" s="265">
        <f t="shared" si="758"/>
        <v>2411.5369999999998</v>
      </c>
      <c r="BE116" s="265">
        <f t="shared" si="759"/>
        <v>2413.4110000000001</v>
      </c>
      <c r="BF116" s="265">
        <f t="shared" si="760"/>
        <v>2835.3359999999998</v>
      </c>
      <c r="BG116" s="265">
        <f t="shared" si="761"/>
        <v>3385.0219999999999</v>
      </c>
      <c r="BH116" s="265">
        <f t="shared" si="762"/>
        <v>3622</v>
      </c>
      <c r="BI116" s="265">
        <f t="shared" si="763"/>
        <v>11294.4</v>
      </c>
      <c r="BJ116" s="265">
        <f t="shared" si="764"/>
        <v>11743.4</v>
      </c>
      <c r="BK116" s="265">
        <f t="shared" si="765"/>
        <v>12128.3</v>
      </c>
      <c r="BL116" s="265">
        <f t="shared" si="766"/>
        <v>9951.0999999999985</v>
      </c>
      <c r="BM116" s="2523">
        <f t="shared" ref="BM116" si="799">+SUM(BM117:BM128)</f>
        <v>6875.7099999999991</v>
      </c>
      <c r="BN116" s="265">
        <f t="shared" ref="BN116" si="800">+SUM(BN117:BN128)</f>
        <v>7383.8389999999999</v>
      </c>
      <c r="BO116" s="265">
        <f t="shared" ref="BO116" si="801">+SUM(BO117:BO128)</f>
        <v>7453.3985895115711</v>
      </c>
      <c r="BP116" s="264">
        <f t="shared" ref="BP116" si="802">+SUM(BP117:BP128)</f>
        <v>7822.5737953344287</v>
      </c>
      <c r="BQ116" s="264">
        <f t="shared" ref="BQ116" si="803">+SUM(BQ117:BQ128)</f>
        <v>8104.5893780224224</v>
      </c>
      <c r="BR116" s="264">
        <f t="shared" ref="BR116" si="804">+SUM(BR117:BR128)</f>
        <v>8384.2596797484603</v>
      </c>
      <c r="BS116" s="264">
        <f t="shared" ref="BS116" si="805">+SUM(BS117:BS128)</f>
        <v>8658.4897452278328</v>
      </c>
    </row>
    <row r="117" spans="2:71">
      <c r="B117" s="102" t="s">
        <v>520</v>
      </c>
      <c r="C117" s="324">
        <v>1375.6289999999999</v>
      </c>
      <c r="D117" s="324">
        <v>1425.777</v>
      </c>
      <c r="E117" s="324">
        <v>1885.76</v>
      </c>
      <c r="F117" s="324">
        <v>2161.3829999999998</v>
      </c>
      <c r="G117" s="324">
        <v>2201.7669999999998</v>
      </c>
      <c r="H117" s="324">
        <v>2133.3560000000002</v>
      </c>
      <c r="I117" s="324">
        <v>1950.681</v>
      </c>
      <c r="J117" s="324">
        <v>1764.4880000000001</v>
      </c>
      <c r="K117" s="324">
        <v>1989.701</v>
      </c>
      <c r="L117" s="324">
        <v>2324.8330000000001</v>
      </c>
      <c r="M117" s="324">
        <v>1951.973</v>
      </c>
      <c r="N117" s="324">
        <v>4076.6689999999999</v>
      </c>
      <c r="O117" s="324">
        <v>1582.4159999999999</v>
      </c>
      <c r="P117" s="324">
        <v>1028.3150000000001</v>
      </c>
      <c r="Q117" s="324">
        <v>1273.279</v>
      </c>
      <c r="R117" s="324">
        <v>1113.095</v>
      </c>
      <c r="S117" s="324">
        <v>748.05499999999995</v>
      </c>
      <c r="T117" s="324">
        <v>815.44200000000001</v>
      </c>
      <c r="U117" s="324">
        <v>439.5</v>
      </c>
      <c r="V117" s="835">
        <v>3354.4</v>
      </c>
      <c r="W117" s="835">
        <v>1942.5</v>
      </c>
      <c r="X117" s="835">
        <v>2631.1</v>
      </c>
      <c r="Y117" s="835">
        <v>4535.6000000000004</v>
      </c>
      <c r="Z117" s="835">
        <v>3805.6</v>
      </c>
      <c r="AA117" s="835">
        <v>3234.5</v>
      </c>
      <c r="AB117" s="835">
        <v>3071.8</v>
      </c>
      <c r="AC117" s="835">
        <v>1155.7</v>
      </c>
      <c r="AD117" s="835">
        <v>945.1</v>
      </c>
      <c r="AE117" s="835">
        <v>3863.5</v>
      </c>
      <c r="AF117" s="835">
        <v>726</v>
      </c>
      <c r="AG117" s="835">
        <v>429.3</v>
      </c>
      <c r="AH117" s="835">
        <v>331.2</v>
      </c>
      <c r="AI117" s="835">
        <v>289.2</v>
      </c>
      <c r="AJ117" s="835">
        <v>362.7</v>
      </c>
      <c r="AK117" s="835">
        <v>141.1</v>
      </c>
      <c r="AL117" s="835">
        <v>163.80000000000001</v>
      </c>
      <c r="AM117" s="2538">
        <v>80.010999999999996</v>
      </c>
      <c r="AN117" s="835">
        <v>77.713999999999999</v>
      </c>
      <c r="AO117" s="835">
        <v>74.998000000000005</v>
      </c>
      <c r="AP117" s="835">
        <v>36.344999999999999</v>
      </c>
      <c r="AQ117" s="835">
        <v>72.100999999999999</v>
      </c>
      <c r="AR117" s="835">
        <v>77.433999999999997</v>
      </c>
      <c r="AS117" s="835">
        <v>176.69800000000001</v>
      </c>
      <c r="AT117" s="835">
        <v>100.502</v>
      </c>
      <c r="AU117" s="270">
        <f>+AU302</f>
        <v>176.69800000000001</v>
      </c>
      <c r="AV117" s="270">
        <f>+AV302</f>
        <v>176.69800000000001</v>
      </c>
      <c r="AW117" s="270">
        <f>+AW302</f>
        <v>176.69800000000001</v>
      </c>
      <c r="AX117" s="270">
        <f>+AX302</f>
        <v>176.69800000000001</v>
      </c>
      <c r="AY117" s="146"/>
      <c r="AZ117" s="269">
        <v>176.69800000000001</v>
      </c>
      <c r="BA117" s="1074"/>
      <c r="BB117" s="146"/>
      <c r="BC117" s="146"/>
      <c r="BD117" s="71">
        <f>+F117</f>
        <v>2161.3829999999998</v>
      </c>
      <c r="BE117" s="71">
        <f>+J117</f>
        <v>1764.4880000000001</v>
      </c>
      <c r="BF117" s="71">
        <f>+N117</f>
        <v>4076.6689999999999</v>
      </c>
      <c r="BG117" s="71">
        <f>+R117</f>
        <v>1113.095</v>
      </c>
      <c r="BH117" s="71">
        <f>+V117</f>
        <v>3354.4</v>
      </c>
      <c r="BI117" s="71">
        <f>+Z117</f>
        <v>3805.6</v>
      </c>
      <c r="BJ117" s="71">
        <f>+AD117</f>
        <v>945.1</v>
      </c>
      <c r="BK117" s="71">
        <f>+AH117</f>
        <v>331.2</v>
      </c>
      <c r="BL117" s="71">
        <f>+AL117</f>
        <v>163.80000000000001</v>
      </c>
      <c r="BM117" s="2565">
        <f>+AP117</f>
        <v>36.344999999999999</v>
      </c>
      <c r="BN117" s="71">
        <f>+AT117</f>
        <v>100.502</v>
      </c>
      <c r="BO117" s="71">
        <f t="shared" ref="BO117:BO141" si="806">+AX117</f>
        <v>176.69800000000001</v>
      </c>
      <c r="BP117" s="270">
        <f>+BP302</f>
        <v>176.69800000000001</v>
      </c>
      <c r="BQ117" s="270">
        <f t="shared" ref="BQ117:BS117" si="807">+BQ302</f>
        <v>176.69800000000001</v>
      </c>
      <c r="BR117" s="270">
        <f t="shared" si="807"/>
        <v>176.69800000000001</v>
      </c>
      <c r="BS117" s="270">
        <f t="shared" si="807"/>
        <v>176.69800000000001</v>
      </c>
    </row>
    <row r="118" spans="2:71">
      <c r="B118" s="2388" t="s">
        <v>287</v>
      </c>
      <c r="C118" s="324"/>
      <c r="D118" s="324"/>
      <c r="E118" s="324"/>
      <c r="F118" s="324"/>
      <c r="G118" s="324"/>
      <c r="H118" s="324"/>
      <c r="I118" s="324"/>
      <c r="J118" s="324"/>
      <c r="K118" s="324"/>
      <c r="L118" s="324"/>
      <c r="M118" s="324"/>
      <c r="N118" s="324"/>
      <c r="O118" s="324"/>
      <c r="P118" s="324"/>
      <c r="Q118" s="324"/>
      <c r="R118" s="324">
        <v>68.763999999999996</v>
      </c>
      <c r="S118" s="324">
        <v>451.6</v>
      </c>
      <c r="T118" s="324">
        <v>456.13400000000001</v>
      </c>
      <c r="U118" s="324">
        <v>504.2</v>
      </c>
      <c r="V118" s="324">
        <v>542.1</v>
      </c>
      <c r="W118" s="324">
        <v>956.4</v>
      </c>
      <c r="X118" s="324">
        <v>1081.0999999999999</v>
      </c>
      <c r="Y118" s="324">
        <v>1129.2</v>
      </c>
      <c r="Z118" s="324">
        <v>1059.7</v>
      </c>
      <c r="AA118" s="324">
        <v>1120.8</v>
      </c>
      <c r="AB118" s="324">
        <v>969.8</v>
      </c>
      <c r="AC118" s="324">
        <v>981.2</v>
      </c>
      <c r="AD118" s="324">
        <v>1005.5</v>
      </c>
      <c r="AE118" s="324">
        <v>847.3</v>
      </c>
      <c r="AF118" s="324">
        <v>890.6</v>
      </c>
      <c r="AG118" s="324">
        <v>854.7</v>
      </c>
      <c r="AH118" s="324">
        <v>878.4</v>
      </c>
      <c r="AI118" s="324">
        <v>635</v>
      </c>
      <c r="AJ118" s="324">
        <v>607.6</v>
      </c>
      <c r="AK118" s="324">
        <v>628.5</v>
      </c>
      <c r="AL118" s="324">
        <v>298.60000000000002</v>
      </c>
      <c r="AM118" s="2522">
        <v>155.35300000000001</v>
      </c>
      <c r="AN118" s="324">
        <v>156.196</v>
      </c>
      <c r="AO118" s="324">
        <v>162.95699999999999</v>
      </c>
      <c r="AP118" s="324">
        <v>111.209</v>
      </c>
      <c r="AQ118" s="324">
        <v>175.59100000000001</v>
      </c>
      <c r="AR118" s="324">
        <v>174.21299999999999</v>
      </c>
      <c r="AS118" s="324">
        <v>180.26599999999999</v>
      </c>
      <c r="AT118" s="324">
        <v>192.42699999999999</v>
      </c>
      <c r="AU118" s="267">
        <f>+FAT!AU112</f>
        <v>192.42699999999999</v>
      </c>
      <c r="AV118" s="267">
        <f>+FAT!AV112</f>
        <v>192.42699999999999</v>
      </c>
      <c r="AW118" s="267">
        <f>+FAT!AW112</f>
        <v>192.42699999999999</v>
      </c>
      <c r="AX118" s="267">
        <f>+FAT!AX112</f>
        <v>192.42699999999999</v>
      </c>
      <c r="AY118" s="146"/>
      <c r="AZ118" s="267">
        <v>180.26599999999999</v>
      </c>
      <c r="BA118" s="1074"/>
      <c r="BB118" s="146"/>
      <c r="BC118" s="146"/>
      <c r="BD118" s="71">
        <f>+F118</f>
        <v>0</v>
      </c>
      <c r="BE118" s="71">
        <f>+J118</f>
        <v>0</v>
      </c>
      <c r="BF118" s="71">
        <f>+N118</f>
        <v>0</v>
      </c>
      <c r="BG118" s="71">
        <f>+R118</f>
        <v>68.763999999999996</v>
      </c>
      <c r="BH118" s="71">
        <f>+V118</f>
        <v>542.1</v>
      </c>
      <c r="BI118" s="71">
        <f>+Z118</f>
        <v>1059.7</v>
      </c>
      <c r="BJ118" s="71">
        <f>+AD118</f>
        <v>1005.5</v>
      </c>
      <c r="BK118" s="71">
        <f>+AH118</f>
        <v>878.4</v>
      </c>
      <c r="BL118" s="71">
        <f>+AL118</f>
        <v>298.60000000000002</v>
      </c>
      <c r="BM118" s="2565">
        <f>+AP118</f>
        <v>111.209</v>
      </c>
      <c r="BN118" s="71">
        <f>+AT118</f>
        <v>192.42699999999999</v>
      </c>
      <c r="BO118" s="71">
        <f t="shared" si="806"/>
        <v>192.42699999999999</v>
      </c>
      <c r="BP118" s="267">
        <f>+FAT!BR112</f>
        <v>192.42699999999999</v>
      </c>
      <c r="BQ118" s="267">
        <f>+FAT!BS112</f>
        <v>198.39511355049842</v>
      </c>
      <c r="BR118" s="267">
        <f>+FAT!BT112</f>
        <v>193.91902838762459</v>
      </c>
      <c r="BS118" s="267">
        <f>+FAT!BU112</f>
        <v>194.29203548453074</v>
      </c>
    </row>
    <row r="119" spans="2:71">
      <c r="B119" s="102" t="s">
        <v>519</v>
      </c>
      <c r="C119" s="324">
        <v>717.92100000000005</v>
      </c>
      <c r="D119" s="324">
        <v>717.07799999999997</v>
      </c>
      <c r="E119" s="324">
        <v>999.35500000000002</v>
      </c>
      <c r="F119" s="324">
        <v>802.88699999999994</v>
      </c>
      <c r="G119" s="324">
        <v>797.41600000000005</v>
      </c>
      <c r="H119" s="324">
        <v>742.03700000000003</v>
      </c>
      <c r="I119" s="324">
        <v>697.03499999999997</v>
      </c>
      <c r="J119" s="324">
        <v>814.93899999999996</v>
      </c>
      <c r="K119" s="324">
        <v>759.03399999999999</v>
      </c>
      <c r="L119" s="324">
        <v>867.375</v>
      </c>
      <c r="M119" s="324">
        <v>1370.8119999999999</v>
      </c>
      <c r="N119" s="324">
        <v>1553.7629999999999</v>
      </c>
      <c r="O119" s="324">
        <v>1346.76</v>
      </c>
      <c r="P119" s="324">
        <v>1384.9359999999999</v>
      </c>
      <c r="Q119" s="324">
        <v>1450.4570000000001</v>
      </c>
      <c r="R119" s="324">
        <v>1736.7909999999999</v>
      </c>
      <c r="S119" s="324">
        <v>1520.5709999999999</v>
      </c>
      <c r="T119" s="324">
        <v>1693</v>
      </c>
      <c r="U119" s="324">
        <v>1746.9</v>
      </c>
      <c r="V119" s="324">
        <v>1829.8</v>
      </c>
      <c r="W119" s="324">
        <v>5104.8</v>
      </c>
      <c r="X119" s="324">
        <v>5710</v>
      </c>
      <c r="Y119" s="324">
        <v>6745.1</v>
      </c>
      <c r="Z119" s="324">
        <v>6774.2</v>
      </c>
      <c r="AA119" s="324">
        <v>6555.2</v>
      </c>
      <c r="AB119" s="324">
        <v>6094.3</v>
      </c>
      <c r="AC119" s="324">
        <v>6301.1</v>
      </c>
      <c r="AD119" s="324">
        <v>6770.6</v>
      </c>
      <c r="AE119" s="324">
        <v>5490.1</v>
      </c>
      <c r="AF119" s="324">
        <v>5716.5</v>
      </c>
      <c r="AG119" s="324">
        <v>5984.9</v>
      </c>
      <c r="AH119" s="324">
        <v>6375.9</v>
      </c>
      <c r="AI119" s="324">
        <v>5592.3</v>
      </c>
      <c r="AJ119" s="324">
        <v>5648.9</v>
      </c>
      <c r="AK119" s="324">
        <v>5517</v>
      </c>
      <c r="AL119" s="324">
        <v>5302.5</v>
      </c>
      <c r="AM119" s="2522">
        <v>3558.1559999999999</v>
      </c>
      <c r="AN119" s="324">
        <v>3938.03</v>
      </c>
      <c r="AO119" s="324">
        <v>4465.8720000000003</v>
      </c>
      <c r="AP119" s="324">
        <v>4447.0479999999998</v>
      </c>
      <c r="AQ119" s="324">
        <v>4359.6679999999997</v>
      </c>
      <c r="AR119" s="324">
        <v>4711.0159999999996</v>
      </c>
      <c r="AS119" s="324">
        <v>4870.6869999999999</v>
      </c>
      <c r="AT119" s="324">
        <v>4904.5770000000002</v>
      </c>
      <c r="AU119" s="267">
        <f>-SUM(AR7:AU7)/365*AU172</f>
        <v>3918.091162565267</v>
      </c>
      <c r="AV119" s="267">
        <f>-SUM(AS7:AV7)/365*AV172</f>
        <v>4061.4076480796925</v>
      </c>
      <c r="AW119" s="267">
        <f>-SUM(AT7:AW7)/365*AW172</f>
        <v>4402.1545905119547</v>
      </c>
      <c r="AX119" s="267">
        <f>-SUM(AU7:AX7)/365*AX172</f>
        <v>4777.018401686114</v>
      </c>
      <c r="AY119" s="146"/>
      <c r="AZ119" s="267">
        <v>4526.2300031252125</v>
      </c>
      <c r="BA119" s="1074"/>
      <c r="BB119" s="146"/>
      <c r="BC119" s="146"/>
      <c r="BD119" s="71">
        <f t="shared" si="758"/>
        <v>802.88699999999994</v>
      </c>
      <c r="BE119" s="71">
        <f t="shared" si="759"/>
        <v>814.93899999999996</v>
      </c>
      <c r="BF119" s="71">
        <f t="shared" si="760"/>
        <v>1553.7629999999999</v>
      </c>
      <c r="BG119" s="71">
        <f t="shared" si="761"/>
        <v>1736.7909999999999</v>
      </c>
      <c r="BH119" s="71">
        <f t="shared" si="762"/>
        <v>1829.8</v>
      </c>
      <c r="BI119" s="71">
        <f t="shared" si="763"/>
        <v>6774.2</v>
      </c>
      <c r="BJ119" s="71">
        <f t="shared" si="764"/>
        <v>6770.6</v>
      </c>
      <c r="BK119" s="71">
        <f t="shared" si="765"/>
        <v>6375.9</v>
      </c>
      <c r="BL119" s="71">
        <f t="shared" si="766"/>
        <v>5302.5</v>
      </c>
      <c r="BM119" s="2565">
        <f t="shared" si="767"/>
        <v>4447.0479999999998</v>
      </c>
      <c r="BN119" s="71">
        <f t="shared" si="768"/>
        <v>4904.5770000000002</v>
      </c>
      <c r="BO119" s="71">
        <f t="shared" si="806"/>
        <v>4777.018401686114</v>
      </c>
      <c r="BP119" s="267">
        <f>-SUM(BP7)/365*BP172</f>
        <v>5057.4640426960705</v>
      </c>
      <c r="BQ119" s="267">
        <f>-SUM(BQ7)/365*BQ172</f>
        <v>5253.3911353876665</v>
      </c>
      <c r="BR119" s="267">
        <f>-SUM(BR7)/365*BR172</f>
        <v>5455.1706912083218</v>
      </c>
      <c r="BS119" s="267">
        <f>-SUM(BS7)/365*BS172</f>
        <v>5649.6515649120402</v>
      </c>
    </row>
    <row r="120" spans="2:71">
      <c r="B120" s="2388" t="s">
        <v>964</v>
      </c>
      <c r="C120" s="324"/>
      <c r="D120" s="324"/>
      <c r="E120" s="324"/>
      <c r="F120" s="324"/>
      <c r="G120" s="324"/>
      <c r="H120" s="324"/>
      <c r="I120" s="324"/>
      <c r="J120" s="324"/>
      <c r="K120" s="324"/>
      <c r="L120" s="324"/>
      <c r="M120" s="324"/>
      <c r="N120" s="324"/>
      <c r="O120" s="324"/>
      <c r="P120" s="324"/>
      <c r="Q120" s="324"/>
      <c r="R120" s="324"/>
      <c r="S120" s="324"/>
      <c r="T120" s="324"/>
      <c r="U120" s="324"/>
      <c r="V120" s="324"/>
      <c r="W120" s="324"/>
      <c r="X120" s="324"/>
      <c r="Y120" s="324"/>
      <c r="Z120" s="324"/>
      <c r="AA120" s="324"/>
      <c r="AB120" s="324"/>
      <c r="AC120" s="324"/>
      <c r="AD120" s="324"/>
      <c r="AE120" s="324"/>
      <c r="AF120" s="324"/>
      <c r="AG120" s="324"/>
      <c r="AH120" s="324"/>
      <c r="AI120" s="324"/>
      <c r="AJ120" s="324"/>
      <c r="AK120" s="324"/>
      <c r="AL120" s="324"/>
      <c r="AM120" s="2522">
        <v>37.222999999999999</v>
      </c>
      <c r="AN120" s="324">
        <v>116.045</v>
      </c>
      <c r="AO120" s="324">
        <v>4.4630000000000001</v>
      </c>
      <c r="AP120" s="324">
        <v>214.02500000000001</v>
      </c>
      <c r="AQ120" s="324">
        <v>213.62299999999999</v>
      </c>
      <c r="AR120" s="324">
        <v>207.57499999999999</v>
      </c>
      <c r="AS120" s="324">
        <v>0</v>
      </c>
      <c r="AT120" s="324">
        <v>0</v>
      </c>
      <c r="AU120" s="268">
        <f t="shared" ref="AU120" si="808">+AT120</f>
        <v>0</v>
      </c>
      <c r="AV120" s="268">
        <f t="shared" ref="AV120" si="809">+AU120</f>
        <v>0</v>
      </c>
      <c r="AW120" s="268">
        <f t="shared" ref="AW120" si="810">+AV120</f>
        <v>0</v>
      </c>
      <c r="AX120" s="268">
        <f t="shared" ref="AX120" si="811">+AW120</f>
        <v>0</v>
      </c>
      <c r="AY120" s="146"/>
      <c r="AZ120" s="267">
        <v>0</v>
      </c>
      <c r="BA120" s="1074"/>
      <c r="BB120" s="146"/>
      <c r="BC120" s="146"/>
      <c r="BD120" s="71"/>
      <c r="BE120" s="71"/>
      <c r="BF120" s="71"/>
      <c r="BG120" s="71"/>
      <c r="BH120" s="71"/>
      <c r="BI120" s="71"/>
      <c r="BJ120" s="71"/>
      <c r="BK120" s="71"/>
      <c r="BL120" s="71"/>
      <c r="BM120" s="2565">
        <f t="shared" ref="BM120:BM128" si="812">+AP120</f>
        <v>214.02500000000001</v>
      </c>
      <c r="BN120" s="71">
        <f t="shared" ref="BN120:BN128" si="813">+AT120</f>
        <v>0</v>
      </c>
      <c r="BO120" s="71">
        <f t="shared" si="806"/>
        <v>0</v>
      </c>
      <c r="BP120" s="268">
        <f t="shared" ref="BP120" si="814">+BO120</f>
        <v>0</v>
      </c>
      <c r="BQ120" s="268">
        <f t="shared" ref="BQ120" si="815">+BP120</f>
        <v>0</v>
      </c>
      <c r="BR120" s="268">
        <f t="shared" ref="BR120" si="816">+BQ120</f>
        <v>0</v>
      </c>
      <c r="BS120" s="268">
        <f t="shared" ref="BS120" si="817">+BR120</f>
        <v>0</v>
      </c>
    </row>
    <row r="121" spans="2:71">
      <c r="B121" s="102" t="s">
        <v>523</v>
      </c>
      <c r="C121" s="324"/>
      <c r="D121" s="324"/>
      <c r="E121" s="324"/>
      <c r="F121" s="324"/>
      <c r="G121" s="324"/>
      <c r="H121" s="324"/>
      <c r="I121" s="324"/>
      <c r="J121" s="324"/>
      <c r="K121" s="324"/>
      <c r="L121" s="324"/>
      <c r="M121" s="324"/>
      <c r="N121" s="324">
        <v>201.7</v>
      </c>
      <c r="O121" s="324"/>
      <c r="P121" s="324"/>
      <c r="Q121" s="324"/>
      <c r="R121" s="324">
        <v>152.97900000000001</v>
      </c>
      <c r="S121" s="324">
        <v>56.7</v>
      </c>
      <c r="T121" s="324">
        <v>0</v>
      </c>
      <c r="U121" s="324">
        <v>0</v>
      </c>
      <c r="V121" s="324">
        <v>95.9</v>
      </c>
      <c r="W121" s="324">
        <v>0</v>
      </c>
      <c r="X121" s="324">
        <v>0</v>
      </c>
      <c r="Y121" s="324">
        <v>0</v>
      </c>
      <c r="Z121" s="324">
        <v>0</v>
      </c>
      <c r="AA121" s="324">
        <v>0</v>
      </c>
      <c r="AB121" s="324">
        <v>0</v>
      </c>
      <c r="AC121" s="324">
        <v>0</v>
      </c>
      <c r="AD121" s="324">
        <v>180.8</v>
      </c>
      <c r="AE121" s="324">
        <v>180.8</v>
      </c>
      <c r="AF121" s="324">
        <v>180.8</v>
      </c>
      <c r="AG121" s="324">
        <v>180.8</v>
      </c>
      <c r="AH121" s="324">
        <v>0.3</v>
      </c>
      <c r="AI121" s="324">
        <v>0.2</v>
      </c>
      <c r="AJ121" s="324">
        <v>0.2</v>
      </c>
      <c r="AK121" s="324">
        <v>0.2</v>
      </c>
      <c r="AL121" s="324">
        <v>294.2</v>
      </c>
      <c r="AM121" s="2522">
        <v>0</v>
      </c>
      <c r="AN121" s="324">
        <v>0</v>
      </c>
      <c r="AO121" s="324">
        <v>0</v>
      </c>
      <c r="AP121" s="324">
        <v>144.83500000000001</v>
      </c>
      <c r="AQ121" s="324">
        <v>33.335000000000001</v>
      </c>
      <c r="AR121" s="324">
        <v>0</v>
      </c>
      <c r="AS121" s="324">
        <v>0</v>
      </c>
      <c r="AT121" s="324">
        <v>0</v>
      </c>
      <c r="AU121" s="268">
        <v>0</v>
      </c>
      <c r="AV121" s="268">
        <v>0</v>
      </c>
      <c r="AW121" s="268">
        <v>0</v>
      </c>
      <c r="AX121" s="268">
        <v>0</v>
      </c>
      <c r="AY121" s="146"/>
      <c r="AZ121" s="268">
        <v>0</v>
      </c>
      <c r="BA121" s="1074"/>
      <c r="BB121" s="146"/>
      <c r="BC121" s="146"/>
      <c r="BD121" s="71">
        <f>+F121</f>
        <v>0</v>
      </c>
      <c r="BE121" s="71">
        <f>+J121</f>
        <v>0</v>
      </c>
      <c r="BF121" s="71">
        <f>+N121</f>
        <v>201.7</v>
      </c>
      <c r="BG121" s="71">
        <f>+R121</f>
        <v>152.97900000000001</v>
      </c>
      <c r="BH121" s="71">
        <f>+V121</f>
        <v>95.9</v>
      </c>
      <c r="BI121" s="71">
        <f>+Z121</f>
        <v>0</v>
      </c>
      <c r="BJ121" s="71">
        <f>+AD121</f>
        <v>180.8</v>
      </c>
      <c r="BK121" s="71">
        <f>+AH121</f>
        <v>0.3</v>
      </c>
      <c r="BL121" s="71">
        <f>+AL121</f>
        <v>294.2</v>
      </c>
      <c r="BM121" s="2565">
        <f t="shared" si="812"/>
        <v>144.83500000000001</v>
      </c>
      <c r="BN121" s="71">
        <f t="shared" si="813"/>
        <v>0</v>
      </c>
      <c r="BO121" s="71">
        <f t="shared" si="806"/>
        <v>0</v>
      </c>
      <c r="BP121" s="268">
        <v>0</v>
      </c>
      <c r="BQ121" s="268">
        <v>0</v>
      </c>
      <c r="BR121" s="268">
        <v>0</v>
      </c>
      <c r="BS121" s="268">
        <v>0</v>
      </c>
    </row>
    <row r="122" spans="2:71">
      <c r="B122" s="102" t="s">
        <v>521</v>
      </c>
      <c r="C122" s="324">
        <v>177.36099999999999</v>
      </c>
      <c r="D122" s="324">
        <v>211.41</v>
      </c>
      <c r="E122" s="324">
        <v>254.88800000000001</v>
      </c>
      <c r="F122" s="324">
        <v>201.2</v>
      </c>
      <c r="G122" s="324">
        <v>196.09100000000001</v>
      </c>
      <c r="H122" s="324">
        <v>223.34</v>
      </c>
      <c r="I122" s="324">
        <v>237.73599999999999</v>
      </c>
      <c r="J122" s="324">
        <v>208.114</v>
      </c>
      <c r="K122" s="324">
        <v>179.78800000000001</v>
      </c>
      <c r="L122" s="324">
        <v>208.233</v>
      </c>
      <c r="M122" s="324">
        <v>372.036</v>
      </c>
      <c r="N122" s="324">
        <v>366.02800000000002</v>
      </c>
      <c r="O122" s="324">
        <v>308.976</v>
      </c>
      <c r="P122" s="324">
        <v>336.33699999999999</v>
      </c>
      <c r="Q122" s="324">
        <v>484.78300000000002</v>
      </c>
      <c r="R122" s="324">
        <v>574.38099999999997</v>
      </c>
      <c r="S122" s="324">
        <v>464.786</v>
      </c>
      <c r="T122" s="324">
        <v>543.00699999999995</v>
      </c>
      <c r="U122" s="324">
        <v>512.29999999999995</v>
      </c>
      <c r="V122" s="835">
        <v>560.4</v>
      </c>
      <c r="W122" s="835">
        <v>986</v>
      </c>
      <c r="X122" s="835">
        <v>1111.5999999999999</v>
      </c>
      <c r="Y122" s="835">
        <v>1345.8</v>
      </c>
      <c r="Z122" s="835">
        <v>1340.7</v>
      </c>
      <c r="AA122" s="835">
        <v>1242.5</v>
      </c>
      <c r="AB122" s="835">
        <v>1217.5</v>
      </c>
      <c r="AC122" s="835">
        <v>1342.4</v>
      </c>
      <c r="AD122" s="835">
        <v>1255.3</v>
      </c>
      <c r="AE122" s="835">
        <v>951.3</v>
      </c>
      <c r="AF122" s="835">
        <v>961.9</v>
      </c>
      <c r="AG122" s="835">
        <v>985.4</v>
      </c>
      <c r="AH122" s="835">
        <v>1277</v>
      </c>
      <c r="AI122" s="835">
        <v>1087.8</v>
      </c>
      <c r="AJ122" s="835">
        <v>941.3</v>
      </c>
      <c r="AK122" s="835">
        <v>1072.7</v>
      </c>
      <c r="AL122" s="835">
        <v>1019.7</v>
      </c>
      <c r="AM122" s="2538">
        <v>673.49599999999998</v>
      </c>
      <c r="AN122" s="835">
        <v>555.71600000000001</v>
      </c>
      <c r="AO122" s="835">
        <v>686.63400000000001</v>
      </c>
      <c r="AP122" s="835">
        <v>817.82502499999998</v>
      </c>
      <c r="AQ122" s="835">
        <v>839.57100000000003</v>
      </c>
      <c r="AR122" s="835">
        <v>586.04499999999996</v>
      </c>
      <c r="AS122" s="835">
        <v>733.51800000000003</v>
      </c>
      <c r="AT122" s="835">
        <v>470.75599999999997</v>
      </c>
      <c r="AU122" s="268">
        <f>+AT122*AU$5/AT$5</f>
        <v>355.07642096834309</v>
      </c>
      <c r="AV122" s="268">
        <f t="shared" ref="AV122:AX122" si="818">+AU122*AV$5/AU$5</f>
        <v>424.85843839638335</v>
      </c>
      <c r="AW122" s="268">
        <f t="shared" si="818"/>
        <v>385.50208161847968</v>
      </c>
      <c r="AX122" s="268">
        <f t="shared" si="818"/>
        <v>483.07800921089961</v>
      </c>
      <c r="AY122" s="146"/>
      <c r="AZ122" s="269">
        <v>740.85318000000007</v>
      </c>
      <c r="BA122" s="1074"/>
      <c r="BB122" s="146"/>
      <c r="BC122" s="146"/>
      <c r="BD122" s="71">
        <f t="shared" si="758"/>
        <v>201.2</v>
      </c>
      <c r="BE122" s="71">
        <f t="shared" si="759"/>
        <v>208.114</v>
      </c>
      <c r="BF122" s="71">
        <f t="shared" si="760"/>
        <v>366.02800000000002</v>
      </c>
      <c r="BG122" s="71">
        <f t="shared" si="761"/>
        <v>574.38099999999997</v>
      </c>
      <c r="BH122" s="71">
        <f t="shared" si="762"/>
        <v>560.4</v>
      </c>
      <c r="BI122" s="71">
        <f t="shared" si="763"/>
        <v>1340.7</v>
      </c>
      <c r="BJ122" s="71">
        <f t="shared" si="764"/>
        <v>1255.3</v>
      </c>
      <c r="BK122" s="71">
        <f t="shared" si="765"/>
        <v>1277</v>
      </c>
      <c r="BL122" s="71">
        <f t="shared" si="766"/>
        <v>1019.7</v>
      </c>
      <c r="BM122" s="2565">
        <f t="shared" si="812"/>
        <v>817.82502499999998</v>
      </c>
      <c r="BN122" s="71">
        <f t="shared" si="813"/>
        <v>470.75599999999997</v>
      </c>
      <c r="BO122" s="71">
        <f t="shared" si="806"/>
        <v>483.07800921089961</v>
      </c>
      <c r="BP122" s="268">
        <f>+BO122*BP$5/BO$5</f>
        <v>504.69980618604137</v>
      </c>
      <c r="BQ122" s="268">
        <f t="shared" ref="BQ122:BS122" si="819">+BP122*BQ$5/BP$5</f>
        <v>524.25197005181349</v>
      </c>
      <c r="BR122" s="268">
        <f t="shared" si="819"/>
        <v>544.38816911427909</v>
      </c>
      <c r="BS122" s="268">
        <f t="shared" si="819"/>
        <v>563.79601036367205</v>
      </c>
    </row>
    <row r="123" spans="2:71">
      <c r="B123" s="102" t="s">
        <v>522</v>
      </c>
      <c r="C123" s="324">
        <v>751.75900000000001</v>
      </c>
      <c r="D123" s="324">
        <v>740.57500000000005</v>
      </c>
      <c r="E123" s="324">
        <v>861.08399999999995</v>
      </c>
      <c r="F123" s="324">
        <v>1047.961</v>
      </c>
      <c r="G123" s="324">
        <v>910.66200000000003</v>
      </c>
      <c r="H123" s="324">
        <v>951.69</v>
      </c>
      <c r="I123" s="324">
        <v>986.00900000000001</v>
      </c>
      <c r="J123" s="324">
        <v>1075.431</v>
      </c>
      <c r="K123" s="324">
        <v>814.41200000000003</v>
      </c>
      <c r="L123" s="324">
        <v>842.83500000000004</v>
      </c>
      <c r="M123" s="324">
        <v>631.98199999999997</v>
      </c>
      <c r="N123" s="324">
        <v>417.79199999999997</v>
      </c>
      <c r="O123" s="324">
        <v>409.99400000000003</v>
      </c>
      <c r="P123" s="324">
        <v>319.279</v>
      </c>
      <c r="Q123" s="324">
        <v>317.74</v>
      </c>
      <c r="R123" s="324">
        <v>493.12299999999999</v>
      </c>
      <c r="S123" s="324">
        <v>369.767</v>
      </c>
      <c r="T123" s="324">
        <v>375.976</v>
      </c>
      <c r="U123" s="324">
        <f>233.1+140.8</f>
        <v>373.9</v>
      </c>
      <c r="V123" s="835">
        <f>320.9+388.2</f>
        <v>709.09999999999991</v>
      </c>
      <c r="W123" s="835">
        <f>488.6+245.2</f>
        <v>733.8</v>
      </c>
      <c r="X123" s="835">
        <f>614.8+189.7</f>
        <v>804.5</v>
      </c>
      <c r="Y123" s="835">
        <v>806.6</v>
      </c>
      <c r="Z123" s="835">
        <f>785.4+441.3</f>
        <v>1226.7</v>
      </c>
      <c r="AA123" s="835">
        <f>658.5+372.5</f>
        <v>1031</v>
      </c>
      <c r="AB123" s="835">
        <f>557+738</f>
        <v>1295</v>
      </c>
      <c r="AC123" s="835">
        <v>592.70000000000005</v>
      </c>
      <c r="AD123" s="835">
        <f>766.4+365.5</f>
        <v>1131.9000000000001</v>
      </c>
      <c r="AE123" s="835">
        <f>587.7+297.7</f>
        <v>885.40000000000009</v>
      </c>
      <c r="AF123" s="835">
        <f>619+235.9</f>
        <v>854.9</v>
      </c>
      <c r="AG123" s="835">
        <f>676.2+238.6</f>
        <v>914.80000000000007</v>
      </c>
      <c r="AH123" s="835">
        <f>828.1+70.3</f>
        <v>898.4</v>
      </c>
      <c r="AI123" s="835">
        <f>730.6+194.1</f>
        <v>924.7</v>
      </c>
      <c r="AJ123" s="835">
        <f>607.1+173.6</f>
        <v>780.7</v>
      </c>
      <c r="AK123" s="835">
        <f>518.5+197.5</f>
        <v>716</v>
      </c>
      <c r="AL123" s="835">
        <f>908.4+634.8</f>
        <v>1543.1999999999998</v>
      </c>
      <c r="AM123" s="2538">
        <v>449.255</v>
      </c>
      <c r="AN123" s="835">
        <v>424.66399999999999</v>
      </c>
      <c r="AO123" s="835">
        <v>471.17599999999999</v>
      </c>
      <c r="AP123" s="835">
        <v>544.90700000000004</v>
      </c>
      <c r="AQ123" s="835">
        <v>501.36500000000001</v>
      </c>
      <c r="AR123" s="835">
        <v>464.95</v>
      </c>
      <c r="AS123" s="835">
        <v>436.98200000000003</v>
      </c>
      <c r="AT123" s="835">
        <v>581.27499999999998</v>
      </c>
      <c r="AU123" s="267">
        <f>+AT123*AU$3/AT$3</f>
        <v>423.59392195880588</v>
      </c>
      <c r="AV123" s="267">
        <f t="shared" ref="AV123:AX123" si="820">+AU123*AV$3/AU$3</f>
        <v>536.35900088620463</v>
      </c>
      <c r="AW123" s="267">
        <f t="shared" si="820"/>
        <v>519.05441918101917</v>
      </c>
      <c r="AX123" s="267">
        <f t="shared" si="820"/>
        <v>655.70734790655479</v>
      </c>
      <c r="AY123" s="146"/>
      <c r="AZ123" s="269">
        <v>534.69525020982485</v>
      </c>
      <c r="BA123" s="1074"/>
      <c r="BB123" s="146"/>
      <c r="BC123" s="146"/>
      <c r="BD123" s="71">
        <f t="shared" si="758"/>
        <v>1047.961</v>
      </c>
      <c r="BE123" s="71">
        <f t="shared" si="759"/>
        <v>1075.431</v>
      </c>
      <c r="BF123" s="71">
        <f t="shared" si="760"/>
        <v>417.79199999999997</v>
      </c>
      <c r="BG123" s="71">
        <f t="shared" si="761"/>
        <v>493.12299999999999</v>
      </c>
      <c r="BH123" s="71">
        <f t="shared" si="762"/>
        <v>709.09999999999991</v>
      </c>
      <c r="BI123" s="71">
        <f t="shared" si="763"/>
        <v>1226.7</v>
      </c>
      <c r="BJ123" s="71">
        <f t="shared" si="764"/>
        <v>1131.9000000000001</v>
      </c>
      <c r="BK123" s="71">
        <f t="shared" si="765"/>
        <v>898.4</v>
      </c>
      <c r="BL123" s="71">
        <f t="shared" si="766"/>
        <v>1543.1999999999998</v>
      </c>
      <c r="BM123" s="2565">
        <f t="shared" si="812"/>
        <v>544.90700000000004</v>
      </c>
      <c r="BN123" s="71">
        <f t="shared" si="813"/>
        <v>581.27499999999998</v>
      </c>
      <c r="BO123" s="71">
        <f t="shared" si="806"/>
        <v>655.70734790655479</v>
      </c>
      <c r="BP123" s="267">
        <f t="shared" ref="BP123:BS123" si="821">+BO123*BP$3/BO$3</f>
        <v>685.03377815007832</v>
      </c>
      <c r="BQ123" s="267">
        <f t="shared" si="821"/>
        <v>711.4579111818374</v>
      </c>
      <c r="BR123" s="267">
        <f t="shared" si="821"/>
        <v>738.55092395773249</v>
      </c>
      <c r="BS123" s="267">
        <f t="shared" si="821"/>
        <v>764.65466206162512</v>
      </c>
    </row>
    <row r="124" spans="2:71">
      <c r="B124" s="2388" t="s">
        <v>958</v>
      </c>
      <c r="C124" s="324"/>
      <c r="D124" s="324"/>
      <c r="E124" s="324"/>
      <c r="F124" s="324"/>
      <c r="G124" s="324"/>
      <c r="H124" s="324"/>
      <c r="I124" s="324"/>
      <c r="J124" s="324"/>
      <c r="K124" s="324"/>
      <c r="L124" s="324"/>
      <c r="M124" s="324"/>
      <c r="N124" s="324"/>
      <c r="O124" s="324"/>
      <c r="P124" s="324"/>
      <c r="Q124" s="324"/>
      <c r="R124" s="324"/>
      <c r="S124" s="324"/>
      <c r="T124" s="324"/>
      <c r="U124" s="324"/>
      <c r="V124" s="835"/>
      <c r="W124" s="835"/>
      <c r="X124" s="835"/>
      <c r="Y124" s="835"/>
      <c r="Z124" s="835"/>
      <c r="AA124" s="835"/>
      <c r="AB124" s="835"/>
      <c r="AC124" s="835"/>
      <c r="AD124" s="835"/>
      <c r="AE124" s="835"/>
      <c r="AF124" s="835"/>
      <c r="AG124" s="835"/>
      <c r="AH124" s="835"/>
      <c r="AI124" s="835"/>
      <c r="AJ124" s="835"/>
      <c r="AK124" s="835"/>
      <c r="AL124" s="835"/>
      <c r="AM124" s="2538">
        <v>171.488</v>
      </c>
      <c r="AN124" s="835">
        <v>109.649</v>
      </c>
      <c r="AO124" s="835">
        <v>79.953999999999994</v>
      </c>
      <c r="AP124" s="835">
        <v>11.173999999999999</v>
      </c>
      <c r="AQ124" s="835">
        <v>47.274000000000001</v>
      </c>
      <c r="AR124" s="835">
        <v>78.239999999999995</v>
      </c>
      <c r="AS124" s="835">
        <v>51.656999999999996</v>
      </c>
      <c r="AT124" s="835">
        <v>127.26</v>
      </c>
      <c r="AU124" s="267">
        <f t="shared" ref="AU124:AX124" si="822">+AT124*AU$3/AT$3</f>
        <v>92.738484380848377</v>
      </c>
      <c r="AV124" s="267">
        <f t="shared" si="822"/>
        <v>117.4264271692029</v>
      </c>
      <c r="AW124" s="267">
        <f t="shared" si="822"/>
        <v>113.63789150570128</v>
      </c>
      <c r="AX124" s="267">
        <f t="shared" si="822"/>
        <v>143.55566142460654</v>
      </c>
      <c r="AY124" s="146"/>
      <c r="AZ124" s="269">
        <v>63.207986919573159</v>
      </c>
      <c r="BA124" s="1074"/>
      <c r="BB124" s="146"/>
      <c r="BC124" s="146"/>
      <c r="BD124" s="71"/>
      <c r="BE124" s="71"/>
      <c r="BF124" s="71"/>
      <c r="BG124" s="71"/>
      <c r="BH124" s="71"/>
      <c r="BI124" s="71"/>
      <c r="BJ124" s="71"/>
      <c r="BK124" s="71"/>
      <c r="BL124" s="71"/>
      <c r="BM124" s="2565">
        <f t="shared" si="812"/>
        <v>11.173999999999999</v>
      </c>
      <c r="BN124" s="71">
        <f t="shared" si="813"/>
        <v>127.26</v>
      </c>
      <c r="BO124" s="71">
        <f t="shared" si="806"/>
        <v>143.55566142460654</v>
      </c>
      <c r="BP124" s="267">
        <f t="shared" ref="BP124:BS124" si="823">+BO124*BP$3/BO$3</f>
        <v>149.97617067202094</v>
      </c>
      <c r="BQ124" s="267">
        <f t="shared" si="823"/>
        <v>155.76127267988582</v>
      </c>
      <c r="BR124" s="267">
        <f t="shared" si="823"/>
        <v>161.69281421506352</v>
      </c>
      <c r="BS124" s="267">
        <f t="shared" si="823"/>
        <v>167.40777135428573</v>
      </c>
    </row>
    <row r="125" spans="2:71">
      <c r="B125" s="2388" t="s">
        <v>959</v>
      </c>
      <c r="C125" s="324"/>
      <c r="D125" s="324"/>
      <c r="E125" s="324"/>
      <c r="F125" s="324"/>
      <c r="G125" s="324"/>
      <c r="H125" s="324"/>
      <c r="I125" s="324"/>
      <c r="J125" s="324"/>
      <c r="K125" s="324"/>
      <c r="L125" s="324"/>
      <c r="M125" s="324"/>
      <c r="N125" s="324"/>
      <c r="O125" s="324"/>
      <c r="P125" s="324"/>
      <c r="Q125" s="324"/>
      <c r="R125" s="324"/>
      <c r="S125" s="324"/>
      <c r="T125" s="324"/>
      <c r="U125" s="324"/>
      <c r="V125" s="835"/>
      <c r="W125" s="835"/>
      <c r="X125" s="835"/>
      <c r="Y125" s="835"/>
      <c r="Z125" s="835"/>
      <c r="AA125" s="835"/>
      <c r="AB125" s="835"/>
      <c r="AC125" s="835"/>
      <c r="AD125" s="835"/>
      <c r="AE125" s="835"/>
      <c r="AF125" s="835"/>
      <c r="AG125" s="835"/>
      <c r="AH125" s="835"/>
      <c r="AI125" s="835"/>
      <c r="AJ125" s="835"/>
      <c r="AK125" s="835"/>
      <c r="AL125" s="835"/>
      <c r="AM125" s="2538">
        <v>55.860999999999997</v>
      </c>
      <c r="AN125" s="835">
        <v>73.257000000000005</v>
      </c>
      <c r="AO125" s="835">
        <v>60.139000000000003</v>
      </c>
      <c r="AP125" s="835">
        <v>111.248</v>
      </c>
      <c r="AQ125" s="835">
        <v>77.724000000000004</v>
      </c>
      <c r="AR125" s="835">
        <v>99.284999999999997</v>
      </c>
      <c r="AS125" s="835">
        <v>466.661</v>
      </c>
      <c r="AT125" s="835">
        <v>324.245</v>
      </c>
      <c r="AU125" s="268">
        <f t="shared" ref="AU125" si="824">+AT125</f>
        <v>324.245</v>
      </c>
      <c r="AV125" s="268">
        <f t="shared" ref="AV125" si="825">+AU125</f>
        <v>324.245</v>
      </c>
      <c r="AW125" s="268">
        <f t="shared" ref="AW125" si="826">+AV125</f>
        <v>324.245</v>
      </c>
      <c r="AX125" s="268">
        <f t="shared" ref="AX125" si="827">+AW125</f>
        <v>324.245</v>
      </c>
      <c r="AY125" s="146"/>
      <c r="AZ125" s="269">
        <v>466.661</v>
      </c>
      <c r="BA125" s="1074"/>
      <c r="BB125" s="146"/>
      <c r="BC125" s="146"/>
      <c r="BD125" s="71"/>
      <c r="BE125" s="71"/>
      <c r="BF125" s="71"/>
      <c r="BG125" s="71"/>
      <c r="BH125" s="71"/>
      <c r="BI125" s="71"/>
      <c r="BJ125" s="71"/>
      <c r="BK125" s="71"/>
      <c r="BL125" s="71"/>
      <c r="BM125" s="2565">
        <f t="shared" si="812"/>
        <v>111.248</v>
      </c>
      <c r="BN125" s="71">
        <f t="shared" si="813"/>
        <v>324.245</v>
      </c>
      <c r="BO125" s="71">
        <f t="shared" si="806"/>
        <v>324.245</v>
      </c>
      <c r="BP125" s="268">
        <f t="shared" ref="BP125:BP126" si="828">+BO125</f>
        <v>324.245</v>
      </c>
      <c r="BQ125" s="268">
        <f t="shared" ref="BQ125:BQ126" si="829">+BP125</f>
        <v>324.245</v>
      </c>
      <c r="BR125" s="268">
        <f t="shared" ref="BR125:BR126" si="830">+BQ125</f>
        <v>324.245</v>
      </c>
      <c r="BS125" s="268">
        <f t="shared" ref="BS125:BS126" si="831">+BR125</f>
        <v>324.245</v>
      </c>
    </row>
    <row r="126" spans="2:71">
      <c r="B126" s="2388" t="s">
        <v>962</v>
      </c>
      <c r="C126" s="324"/>
      <c r="D126" s="324"/>
      <c r="E126" s="324"/>
      <c r="F126" s="324"/>
      <c r="G126" s="324"/>
      <c r="H126" s="324"/>
      <c r="I126" s="324"/>
      <c r="J126" s="324"/>
      <c r="K126" s="324"/>
      <c r="L126" s="324"/>
      <c r="M126" s="324"/>
      <c r="N126" s="324"/>
      <c r="O126" s="324"/>
      <c r="P126" s="324"/>
      <c r="Q126" s="324"/>
      <c r="R126" s="324"/>
      <c r="S126" s="324"/>
      <c r="T126" s="324"/>
      <c r="U126" s="324"/>
      <c r="V126" s="835"/>
      <c r="W126" s="835"/>
      <c r="X126" s="835"/>
      <c r="Y126" s="835"/>
      <c r="Z126" s="835"/>
      <c r="AA126" s="835"/>
      <c r="AB126" s="835"/>
      <c r="AC126" s="835"/>
      <c r="AD126" s="835"/>
      <c r="AE126" s="835"/>
      <c r="AF126" s="835"/>
      <c r="AG126" s="835"/>
      <c r="AH126" s="835"/>
      <c r="AI126" s="835"/>
      <c r="AJ126" s="835"/>
      <c r="AK126" s="835"/>
      <c r="AL126" s="835"/>
      <c r="AM126" s="2538">
        <v>0</v>
      </c>
      <c r="AN126" s="835">
        <v>0</v>
      </c>
      <c r="AO126" s="835">
        <v>0</v>
      </c>
      <c r="AP126" s="835">
        <v>0</v>
      </c>
      <c r="AQ126" s="835">
        <v>0</v>
      </c>
      <c r="AR126" s="835">
        <v>0</v>
      </c>
      <c r="AS126" s="835">
        <v>0</v>
      </c>
      <c r="AT126" s="835">
        <v>0</v>
      </c>
      <c r="AU126" s="268">
        <f t="shared" ref="AU126" si="832">+AT126</f>
        <v>0</v>
      </c>
      <c r="AV126" s="268">
        <f t="shared" ref="AV126" si="833">+AU126</f>
        <v>0</v>
      </c>
      <c r="AW126" s="268">
        <f t="shared" ref="AW126" si="834">+AV126</f>
        <v>0</v>
      </c>
      <c r="AX126" s="268">
        <f t="shared" ref="AX126" si="835">+AW126</f>
        <v>0</v>
      </c>
      <c r="AY126" s="146"/>
      <c r="AZ126" s="269">
        <v>0</v>
      </c>
      <c r="BA126" s="1074"/>
      <c r="BB126" s="146"/>
      <c r="BC126" s="146"/>
      <c r="BD126" s="71"/>
      <c r="BE126" s="71"/>
      <c r="BF126" s="71"/>
      <c r="BG126" s="71"/>
      <c r="BH126" s="71"/>
      <c r="BI126" s="71"/>
      <c r="BJ126" s="71"/>
      <c r="BK126" s="71"/>
      <c r="BL126" s="71"/>
      <c r="BM126" s="2565">
        <f t="shared" si="812"/>
        <v>0</v>
      </c>
      <c r="BN126" s="71">
        <f t="shared" si="813"/>
        <v>0</v>
      </c>
      <c r="BO126" s="71">
        <f t="shared" si="806"/>
        <v>0</v>
      </c>
      <c r="BP126" s="268">
        <f t="shared" si="828"/>
        <v>0</v>
      </c>
      <c r="BQ126" s="268">
        <f t="shared" si="829"/>
        <v>0</v>
      </c>
      <c r="BR126" s="268">
        <f t="shared" si="830"/>
        <v>0</v>
      </c>
      <c r="BS126" s="268">
        <f t="shared" si="831"/>
        <v>0</v>
      </c>
    </row>
    <row r="127" spans="2:71">
      <c r="B127" s="2388" t="s">
        <v>963</v>
      </c>
      <c r="C127" s="324">
        <v>141.001</v>
      </c>
      <c r="D127" s="324">
        <v>180.977</v>
      </c>
      <c r="E127" s="324">
        <v>219.708</v>
      </c>
      <c r="F127" s="324">
        <v>359.48899999999998</v>
      </c>
      <c r="G127" s="324">
        <v>420.19499999999999</v>
      </c>
      <c r="H127" s="324">
        <v>428.47</v>
      </c>
      <c r="I127" s="324">
        <v>409.27100000000002</v>
      </c>
      <c r="J127" s="324">
        <v>314.92700000000002</v>
      </c>
      <c r="K127" s="324">
        <v>308.71100000000001</v>
      </c>
      <c r="L127" s="324">
        <v>231.21899999999999</v>
      </c>
      <c r="M127" s="324">
        <v>388.19799999999998</v>
      </c>
      <c r="N127" s="324">
        <f>497.753-N121</f>
        <v>296.053</v>
      </c>
      <c r="O127" s="324">
        <v>435.13400000000001</v>
      </c>
      <c r="P127" s="324">
        <v>344</v>
      </c>
      <c r="Q127" s="324">
        <v>336.85500000000002</v>
      </c>
      <c r="R127" s="324">
        <f>649.491-R121-R118</f>
        <v>427.74799999999993</v>
      </c>
      <c r="S127" s="324">
        <f>896.371-S121-S118</f>
        <v>388.07099999999991</v>
      </c>
      <c r="T127" s="324">
        <f>905.192-T121-T118</f>
        <v>449.05799999999999</v>
      </c>
      <c r="U127" s="324">
        <f>19.2+446</f>
        <v>465.2</v>
      </c>
      <c r="V127" s="835">
        <f>11.8+18.7+396.4-0.1</f>
        <v>426.79999999999995</v>
      </c>
      <c r="W127" s="835">
        <f>32.2+47+1730.8</f>
        <v>1810</v>
      </c>
      <c r="X127" s="835">
        <f>75.2+127.8+1322.6</f>
        <v>1525.6</v>
      </c>
      <c r="Y127" s="835">
        <f>308.5+166.9+183+1496.6</f>
        <v>2155</v>
      </c>
      <c r="Z127" s="835">
        <f>61.2+58.8+1832.8</f>
        <v>1952.8</v>
      </c>
      <c r="AA127" s="835">
        <f>40.9+59.4+1721.9</f>
        <v>1822.2</v>
      </c>
      <c r="AB127" s="835">
        <f>233.4+60.7+1528.6</f>
        <v>1822.6999999999998</v>
      </c>
      <c r="AC127" s="835">
        <f>379+253.9+65.6+1675.5</f>
        <v>2374</v>
      </c>
      <c r="AD127" s="835">
        <f>1716.1+230.1+458.6</f>
        <v>2404.7999999999997</v>
      </c>
      <c r="AE127" s="835">
        <f>545.8+204.8+1316.5</f>
        <v>2067.1</v>
      </c>
      <c r="AF127" s="835">
        <f>613.6+259.4+1435.3</f>
        <v>2308.3000000000002</v>
      </c>
      <c r="AG127" s="835">
        <f>1164.1+321.2+1468.5</f>
        <v>2953.8</v>
      </c>
      <c r="AH127" s="835">
        <f>1614+463.7+1499</f>
        <v>3576.7</v>
      </c>
      <c r="AI127" s="835">
        <f>454+1628.2+1176.5+1316.7</f>
        <v>4575.3999999999996</v>
      </c>
      <c r="AJ127" s="835">
        <f>848.6+419.1+1096.2+1246.9</f>
        <v>3610.8</v>
      </c>
      <c r="AK127" s="835">
        <f>986.3+421.3+127.1+0.2</f>
        <v>1534.8999999999999</v>
      </c>
      <c r="AL127" s="835">
        <f>491.3+970.5+329.7</f>
        <v>1791.5</v>
      </c>
      <c r="AM127" s="2538">
        <v>283.75599999999997</v>
      </c>
      <c r="AN127" s="835">
        <v>335.80200000000002</v>
      </c>
      <c r="AO127" s="835">
        <v>365.702</v>
      </c>
      <c r="AP127" s="835">
        <v>437.093975</v>
      </c>
      <c r="AQ127" s="835">
        <v>354.83600000000001</v>
      </c>
      <c r="AR127" s="835">
        <v>297.71699999999998</v>
      </c>
      <c r="AS127" s="835">
        <v>245.27699999999999</v>
      </c>
      <c r="AT127" s="835">
        <v>682.79700000000003</v>
      </c>
      <c r="AU127" s="268">
        <f>+AT127*AU$5/AT$5</f>
        <v>515.01226751846355</v>
      </c>
      <c r="AV127" s="268">
        <f t="shared" ref="AV127:AX127" si="836">+AU127*AV$5/AU$5</f>
        <v>616.22595816460216</v>
      </c>
      <c r="AW127" s="268">
        <f t="shared" si="836"/>
        <v>559.14245346390305</v>
      </c>
      <c r="AX127" s="268">
        <f t="shared" si="836"/>
        <v>700.66916928339674</v>
      </c>
      <c r="AY127" s="146"/>
      <c r="AZ127" s="270">
        <v>300.12322449372101</v>
      </c>
      <c r="BA127" s="1074"/>
      <c r="BB127" s="146"/>
      <c r="BC127" s="146"/>
      <c r="BD127" s="71">
        <f t="shared" si="758"/>
        <v>359.48899999999998</v>
      </c>
      <c r="BE127" s="71">
        <f t="shared" si="759"/>
        <v>314.92700000000002</v>
      </c>
      <c r="BF127" s="71">
        <f t="shared" si="760"/>
        <v>296.053</v>
      </c>
      <c r="BG127" s="71">
        <f t="shared" si="761"/>
        <v>427.74799999999993</v>
      </c>
      <c r="BH127" s="71">
        <f t="shared" si="762"/>
        <v>426.79999999999995</v>
      </c>
      <c r="BI127" s="71">
        <f t="shared" si="763"/>
        <v>1952.8</v>
      </c>
      <c r="BJ127" s="71">
        <f t="shared" si="764"/>
        <v>2404.7999999999997</v>
      </c>
      <c r="BK127" s="71">
        <f t="shared" si="765"/>
        <v>3576.7</v>
      </c>
      <c r="BL127" s="71">
        <f t="shared" si="766"/>
        <v>1791.5</v>
      </c>
      <c r="BM127" s="2565">
        <f t="shared" si="812"/>
        <v>437.093975</v>
      </c>
      <c r="BN127" s="71">
        <f t="shared" si="813"/>
        <v>682.79700000000003</v>
      </c>
      <c r="BO127" s="71">
        <f t="shared" si="806"/>
        <v>700.66916928339674</v>
      </c>
      <c r="BP127" s="268">
        <f>+BO127*BP$5/BO$5</f>
        <v>732.02999763021728</v>
      </c>
      <c r="BQ127" s="268">
        <f t="shared" ref="BQ127:BS127" si="837">+BP127*BQ$5/BP$5</f>
        <v>760.38897517072144</v>
      </c>
      <c r="BR127" s="268">
        <f t="shared" si="837"/>
        <v>789.59505286543856</v>
      </c>
      <c r="BS127" s="268">
        <f t="shared" si="837"/>
        <v>817.74470105167893</v>
      </c>
    </row>
    <row r="128" spans="2:71">
      <c r="B128" s="2388" t="s">
        <v>781</v>
      </c>
      <c r="C128" s="324"/>
      <c r="D128" s="324"/>
      <c r="E128" s="324"/>
      <c r="F128" s="324"/>
      <c r="G128" s="324"/>
      <c r="H128" s="324"/>
      <c r="I128" s="324"/>
      <c r="J128" s="324"/>
      <c r="K128" s="324"/>
      <c r="L128" s="324"/>
      <c r="M128" s="324"/>
      <c r="N128" s="324"/>
      <c r="O128" s="324"/>
      <c r="P128" s="324"/>
      <c r="Q128" s="324"/>
      <c r="R128" s="324"/>
      <c r="S128" s="324"/>
      <c r="T128" s="324"/>
      <c r="U128" s="324"/>
      <c r="V128" s="835"/>
      <c r="W128" s="835"/>
      <c r="X128" s="835"/>
      <c r="Y128" s="835"/>
      <c r="Z128" s="835"/>
      <c r="AA128" s="835"/>
      <c r="AB128" s="835"/>
      <c r="AC128" s="835"/>
      <c r="AD128" s="835"/>
      <c r="AE128" s="835"/>
      <c r="AF128" s="835"/>
      <c r="AG128" s="835"/>
      <c r="AH128" s="835"/>
      <c r="AI128" s="835"/>
      <c r="AJ128" s="835"/>
      <c r="AK128" s="835"/>
      <c r="AL128" s="835"/>
      <c r="AM128" s="2538">
        <v>0</v>
      </c>
      <c r="AN128" s="835">
        <v>0</v>
      </c>
      <c r="AO128" s="835">
        <v>0</v>
      </c>
      <c r="AP128" s="835">
        <v>0</v>
      </c>
      <c r="AQ128" s="835">
        <v>0</v>
      </c>
      <c r="AR128" s="835">
        <v>0</v>
      </c>
      <c r="AS128" s="835">
        <v>347.27</v>
      </c>
      <c r="AT128" s="835">
        <v>0</v>
      </c>
      <c r="AU128" s="268">
        <f t="shared" ref="AU128" si="838">+AT128</f>
        <v>0</v>
      </c>
      <c r="AV128" s="268">
        <f t="shared" ref="AV128" si="839">+AU128</f>
        <v>0</v>
      </c>
      <c r="AW128" s="268">
        <f t="shared" ref="AW128" si="840">+AV128</f>
        <v>0</v>
      </c>
      <c r="AX128" s="268">
        <f t="shared" ref="AX128" si="841">+AW128</f>
        <v>0</v>
      </c>
      <c r="AY128" s="146"/>
      <c r="AZ128" s="270">
        <v>347.27</v>
      </c>
      <c r="BA128" s="1074"/>
      <c r="BB128" s="146"/>
      <c r="BC128" s="146"/>
      <c r="BD128" s="71"/>
      <c r="BE128" s="71"/>
      <c r="BF128" s="71"/>
      <c r="BG128" s="71"/>
      <c r="BH128" s="71"/>
      <c r="BI128" s="71"/>
      <c r="BJ128" s="71"/>
      <c r="BK128" s="71"/>
      <c r="BL128" s="71"/>
      <c r="BM128" s="2565">
        <f t="shared" si="812"/>
        <v>0</v>
      </c>
      <c r="BN128" s="71">
        <f t="shared" si="813"/>
        <v>0</v>
      </c>
      <c r="BO128" s="71">
        <f t="shared" si="806"/>
        <v>0</v>
      </c>
      <c r="BP128" s="268">
        <f t="shared" ref="BP128" si="842">+BO128</f>
        <v>0</v>
      </c>
      <c r="BQ128" s="268">
        <f t="shared" ref="BQ128" si="843">+BP128</f>
        <v>0</v>
      </c>
      <c r="BR128" s="268">
        <f t="shared" ref="BR128" si="844">+BQ128</f>
        <v>0</v>
      </c>
      <c r="BS128" s="268">
        <f t="shared" ref="BS128" si="845">+BR128</f>
        <v>0</v>
      </c>
    </row>
    <row r="129" spans="2:71">
      <c r="B129" s="119" t="s">
        <v>524</v>
      </c>
      <c r="C129" s="264">
        <f t="shared" ref="C129:Q129" si="846">+SUM(C130:C139)</f>
        <v>4334.8950000000004</v>
      </c>
      <c r="D129" s="264">
        <f t="shared" si="846"/>
        <v>4289.8769999999995</v>
      </c>
      <c r="E129" s="264">
        <f t="shared" si="846"/>
        <v>4605.5959999999995</v>
      </c>
      <c r="F129" s="264">
        <f t="shared" si="846"/>
        <v>3744.2939999999999</v>
      </c>
      <c r="G129" s="264">
        <f t="shared" si="846"/>
        <v>3383.942</v>
      </c>
      <c r="H129" s="264">
        <f t="shared" si="846"/>
        <v>3160.491</v>
      </c>
      <c r="I129" s="264">
        <f t="shared" si="846"/>
        <v>2709.2660000000001</v>
      </c>
      <c r="J129" s="264">
        <f t="shared" si="846"/>
        <v>3247.2950000000001</v>
      </c>
      <c r="K129" s="264">
        <f t="shared" si="846"/>
        <v>2540.538</v>
      </c>
      <c r="L129" s="264">
        <f t="shared" si="846"/>
        <v>1905.779</v>
      </c>
      <c r="M129" s="264">
        <f t="shared" si="846"/>
        <v>8716.5</v>
      </c>
      <c r="N129" s="264">
        <f t="shared" si="846"/>
        <v>6410.7109999999993</v>
      </c>
      <c r="O129" s="264">
        <f t="shared" si="846"/>
        <v>8374.2160000000003</v>
      </c>
      <c r="P129" s="264">
        <f t="shared" si="846"/>
        <v>8658.134</v>
      </c>
      <c r="Q129" s="264">
        <f t="shared" si="846"/>
        <v>8435.1959999999999</v>
      </c>
      <c r="R129" s="264">
        <f t="shared" ref="R129:Z129" si="847">+SUM(R130:R139)</f>
        <v>8238.5660000000007</v>
      </c>
      <c r="S129" s="264">
        <f t="shared" si="847"/>
        <v>9359.8320000000003</v>
      </c>
      <c r="T129" s="264">
        <f t="shared" si="847"/>
        <v>9503.6220000000012</v>
      </c>
      <c r="U129" s="264">
        <f t="shared" si="847"/>
        <v>10525.800000000001</v>
      </c>
      <c r="V129" s="264">
        <f t="shared" si="847"/>
        <v>10303.800000000001</v>
      </c>
      <c r="W129" s="264">
        <f t="shared" si="847"/>
        <v>24229.599999999999</v>
      </c>
      <c r="X129" s="264">
        <f t="shared" si="847"/>
        <v>24955.5</v>
      </c>
      <c r="Y129" s="264">
        <f t="shared" si="847"/>
        <v>22977.100000000002</v>
      </c>
      <c r="Z129" s="264">
        <f t="shared" si="847"/>
        <v>17370.899999999998</v>
      </c>
      <c r="AA129" s="264">
        <f>+SUM(AA130:AA139)</f>
        <v>18098</v>
      </c>
      <c r="AB129" s="264">
        <f>+SUM(AB130:AB139)</f>
        <v>17802.900000000001</v>
      </c>
      <c r="AC129" s="264">
        <f>+SUM(AC130:AC139)</f>
        <v>18023.7</v>
      </c>
      <c r="AD129" s="264">
        <f>+SUM(AD130:AD139)</f>
        <v>18187.8</v>
      </c>
      <c r="AE129" s="264">
        <f t="shared" ref="AE129:AH129" si="848">+SUM(AE130:AE139)</f>
        <v>14098.199999999999</v>
      </c>
      <c r="AF129" s="264">
        <f t="shared" si="848"/>
        <v>18442.199999999997</v>
      </c>
      <c r="AG129" s="264">
        <f t="shared" si="848"/>
        <v>19194.900000000001</v>
      </c>
      <c r="AH129" s="264">
        <f t="shared" si="848"/>
        <v>18996.400000000001</v>
      </c>
      <c r="AI129" s="264">
        <f t="shared" ref="AI129:AL129" si="849">+SUM(AI130:AI139)</f>
        <v>18061.600000000002</v>
      </c>
      <c r="AJ129" s="264">
        <f t="shared" si="849"/>
        <v>18081.099999999999</v>
      </c>
      <c r="AK129" s="264">
        <f t="shared" si="849"/>
        <v>12915.2</v>
      </c>
      <c r="AL129" s="264">
        <f t="shared" si="849"/>
        <v>9213.1</v>
      </c>
      <c r="AM129" s="2539">
        <f t="shared" ref="AM129:AP129" si="850">+SUM(AM130:AM139)</f>
        <v>3851.0770000000002</v>
      </c>
      <c r="AN129" s="264">
        <f t="shared" si="850"/>
        <v>3006.3829999999998</v>
      </c>
      <c r="AO129" s="264">
        <f t="shared" si="850"/>
        <v>3851.7460000000001</v>
      </c>
      <c r="AP129" s="264">
        <f t="shared" si="850"/>
        <v>4229.6090000000004</v>
      </c>
      <c r="AQ129" s="264">
        <f t="shared" ref="AQ129:AX129" si="851">+SUM(AQ130:AQ139)</f>
        <v>3961.366</v>
      </c>
      <c r="AR129" s="264">
        <f t="shared" si="851"/>
        <v>3935.6379999999999</v>
      </c>
      <c r="AS129" s="264">
        <f t="shared" si="851"/>
        <v>8496.6849999999995</v>
      </c>
      <c r="AT129" s="264">
        <f t="shared" si="851"/>
        <v>8610.7520000000022</v>
      </c>
      <c r="AU129" s="264">
        <f t="shared" si="851"/>
        <v>8677.2896971832324</v>
      </c>
      <c r="AV129" s="264">
        <f t="shared" si="851"/>
        <v>8687.0766788928322</v>
      </c>
      <c r="AW129" s="264">
        <f t="shared" si="851"/>
        <v>8691.0874183263822</v>
      </c>
      <c r="AX129" s="264">
        <f t="shared" si="851"/>
        <v>8716.3949754719615</v>
      </c>
      <c r="AY129" s="146"/>
      <c r="AZ129" s="264">
        <v>8608.6844614127058</v>
      </c>
      <c r="BA129" s="1074"/>
      <c r="BB129" s="146"/>
      <c r="BC129" s="146"/>
      <c r="BD129" s="265">
        <f t="shared" si="758"/>
        <v>3744.2939999999999</v>
      </c>
      <c r="BE129" s="265">
        <f t="shared" si="759"/>
        <v>3247.2950000000001</v>
      </c>
      <c r="BF129" s="265">
        <f t="shared" si="760"/>
        <v>6410.7109999999993</v>
      </c>
      <c r="BG129" s="265">
        <f t="shared" si="761"/>
        <v>8238.5660000000007</v>
      </c>
      <c r="BH129" s="265">
        <f t="shared" si="762"/>
        <v>10303.800000000001</v>
      </c>
      <c r="BI129" s="265">
        <f t="shared" si="763"/>
        <v>17370.899999999998</v>
      </c>
      <c r="BJ129" s="265">
        <f t="shared" si="764"/>
        <v>18187.8</v>
      </c>
      <c r="BK129" s="265">
        <f t="shared" si="765"/>
        <v>18996.400000000001</v>
      </c>
      <c r="BL129" s="265">
        <f t="shared" si="766"/>
        <v>9213.1</v>
      </c>
      <c r="BM129" s="2523">
        <f t="shared" si="767"/>
        <v>4229.6090000000004</v>
      </c>
      <c r="BN129" s="265">
        <f t="shared" si="768"/>
        <v>8610.7520000000022</v>
      </c>
      <c r="BO129" s="265">
        <f t="shared" si="806"/>
        <v>8716.3949754719615</v>
      </c>
      <c r="BP129" s="264">
        <f t="shared" ref="BP129" si="852">+SUM(BP130:BP139)</f>
        <v>8784.5872250427201</v>
      </c>
      <c r="BQ129" s="264">
        <f t="shared" ref="BQ129:BS129" si="853">+SUM(BQ130:BQ139)</f>
        <v>7332.1461062658336</v>
      </c>
      <c r="BR129" s="264">
        <f t="shared" si="853"/>
        <v>7322.8077765664593</v>
      </c>
      <c r="BS129" s="264">
        <f t="shared" si="853"/>
        <v>7323.5859707080735</v>
      </c>
    </row>
    <row r="130" spans="2:71">
      <c r="B130" s="102" t="s">
        <v>525</v>
      </c>
      <c r="C130" s="324">
        <v>3915.866</v>
      </c>
      <c r="D130" s="324">
        <v>3836.8229999999999</v>
      </c>
      <c r="E130" s="324">
        <v>4045.482</v>
      </c>
      <c r="F130" s="324">
        <v>3374.4969999999998</v>
      </c>
      <c r="G130" s="324">
        <v>2983.3960000000002</v>
      </c>
      <c r="H130" s="324">
        <v>2601.7249999999999</v>
      </c>
      <c r="I130" s="324">
        <v>2124.2150000000001</v>
      </c>
      <c r="J130" s="324">
        <v>2625.683</v>
      </c>
      <c r="K130" s="324">
        <v>1913.9159999999999</v>
      </c>
      <c r="L130" s="324">
        <v>1281.453</v>
      </c>
      <c r="M130" s="324">
        <v>7658.9470000000001</v>
      </c>
      <c r="N130" s="324">
        <v>5255.2309999999998</v>
      </c>
      <c r="O130" s="324">
        <v>7243.723</v>
      </c>
      <c r="P130" s="324">
        <v>7512.8810000000003</v>
      </c>
      <c r="Q130" s="324">
        <v>7417.5159999999996</v>
      </c>
      <c r="R130" s="324">
        <v>6881.05</v>
      </c>
      <c r="S130" s="324">
        <v>6651.3109999999997</v>
      </c>
      <c r="T130" s="324">
        <v>6788.2820000000002</v>
      </c>
      <c r="U130" s="324">
        <v>7574.1</v>
      </c>
      <c r="V130" s="835">
        <v>7432</v>
      </c>
      <c r="W130" s="835">
        <v>17390.5</v>
      </c>
      <c r="X130" s="835">
        <v>18035</v>
      </c>
      <c r="Y130" s="835">
        <v>15982.4</v>
      </c>
      <c r="Z130" s="835">
        <v>10017.299999999999</v>
      </c>
      <c r="AA130" s="835">
        <v>10776.4</v>
      </c>
      <c r="AB130" s="835">
        <v>11070.5</v>
      </c>
      <c r="AC130" s="835">
        <v>11538.1</v>
      </c>
      <c r="AD130" s="835">
        <v>11771.8</v>
      </c>
      <c r="AE130" s="835">
        <v>8003.5</v>
      </c>
      <c r="AF130" s="835">
        <v>12313.5</v>
      </c>
      <c r="AG130" s="835">
        <v>13278.7</v>
      </c>
      <c r="AH130" s="835">
        <v>13261.1</v>
      </c>
      <c r="AI130" s="835">
        <v>12965.7</v>
      </c>
      <c r="AJ130" s="835">
        <v>13026.1</v>
      </c>
      <c r="AK130" s="835">
        <v>6069.8</v>
      </c>
      <c r="AL130" s="835">
        <v>5947.9</v>
      </c>
      <c r="AM130" s="2538">
        <v>2354.6260000000002</v>
      </c>
      <c r="AN130" s="835">
        <v>1531.2360000000001</v>
      </c>
      <c r="AO130" s="835">
        <v>2351.4720000000002</v>
      </c>
      <c r="AP130" s="835">
        <v>2353.0540000000001</v>
      </c>
      <c r="AQ130" s="835">
        <v>2354.636</v>
      </c>
      <c r="AR130" s="835">
        <v>2356.2170000000001</v>
      </c>
      <c r="AS130" s="835">
        <v>6157.01</v>
      </c>
      <c r="AT130" s="835">
        <v>6074.88</v>
      </c>
      <c r="AU130" s="270">
        <f>+AU303</f>
        <v>6141.4176971832312</v>
      </c>
      <c r="AV130" s="270">
        <f>+AV303</f>
        <v>6151.204678892831</v>
      </c>
      <c r="AW130" s="270">
        <f>+AW303</f>
        <v>6155.2154183263801</v>
      </c>
      <c r="AX130" s="270">
        <f>+AX303</f>
        <v>6180.5229754719603</v>
      </c>
      <c r="AY130" s="146"/>
      <c r="AZ130" s="269">
        <v>6269.0094614127065</v>
      </c>
      <c r="BA130" s="1074"/>
      <c r="BB130" s="146"/>
      <c r="BC130" s="146"/>
      <c r="BD130" s="71">
        <f t="shared" si="758"/>
        <v>3374.4969999999998</v>
      </c>
      <c r="BE130" s="71">
        <f t="shared" si="759"/>
        <v>2625.683</v>
      </c>
      <c r="BF130" s="71">
        <f t="shared" si="760"/>
        <v>5255.2309999999998</v>
      </c>
      <c r="BG130" s="71">
        <f t="shared" si="761"/>
        <v>6881.05</v>
      </c>
      <c r="BH130" s="71">
        <f t="shared" si="762"/>
        <v>7432</v>
      </c>
      <c r="BI130" s="71">
        <f t="shared" si="763"/>
        <v>10017.299999999999</v>
      </c>
      <c r="BJ130" s="71">
        <f t="shared" si="764"/>
        <v>11771.8</v>
      </c>
      <c r="BK130" s="71">
        <f t="shared" si="765"/>
        <v>13261.1</v>
      </c>
      <c r="BL130" s="71">
        <f t="shared" si="766"/>
        <v>5947.9</v>
      </c>
      <c r="BM130" s="2565">
        <f t="shared" si="767"/>
        <v>2353.0540000000001</v>
      </c>
      <c r="BN130" s="71">
        <f t="shared" si="768"/>
        <v>6074.88</v>
      </c>
      <c r="BO130" s="71">
        <f t="shared" si="806"/>
        <v>6180.5229754719603</v>
      </c>
      <c r="BP130" s="270">
        <f>+BP303</f>
        <v>6248.7152250427189</v>
      </c>
      <c r="BQ130" s="270">
        <f t="shared" ref="BQ130:BS130" si="854">+BQ303</f>
        <v>4783.8230000000003</v>
      </c>
      <c r="BR130" s="270">
        <f t="shared" si="854"/>
        <v>4783.8230000000003</v>
      </c>
      <c r="BS130" s="270">
        <f t="shared" si="854"/>
        <v>4783.8230000000003</v>
      </c>
    </row>
    <row r="131" spans="2:71">
      <c r="B131" s="2388" t="s">
        <v>965</v>
      </c>
      <c r="C131" s="324"/>
      <c r="D131" s="324"/>
      <c r="E131" s="324"/>
      <c r="F131" s="324"/>
      <c r="G131" s="324"/>
      <c r="H131" s="324"/>
      <c r="I131" s="324"/>
      <c r="J131" s="324"/>
      <c r="K131" s="324"/>
      <c r="L131" s="324"/>
      <c r="M131" s="324"/>
      <c r="N131" s="324"/>
      <c r="O131" s="324"/>
      <c r="P131" s="324"/>
      <c r="Q131" s="324"/>
      <c r="R131" s="324"/>
      <c r="S131" s="324"/>
      <c r="T131" s="324"/>
      <c r="U131" s="324"/>
      <c r="V131" s="835"/>
      <c r="W131" s="835"/>
      <c r="X131" s="835"/>
      <c r="Y131" s="835"/>
      <c r="Z131" s="835"/>
      <c r="AA131" s="835"/>
      <c r="AB131" s="835"/>
      <c r="AC131" s="835"/>
      <c r="AD131" s="835"/>
      <c r="AE131" s="835"/>
      <c r="AF131" s="835"/>
      <c r="AG131" s="835"/>
      <c r="AH131" s="835"/>
      <c r="AI131" s="835"/>
      <c r="AJ131" s="835"/>
      <c r="AK131" s="835"/>
      <c r="AL131" s="835"/>
      <c r="AM131" s="2538">
        <v>0</v>
      </c>
      <c r="AN131" s="835">
        <v>0</v>
      </c>
      <c r="AO131" s="835">
        <v>0</v>
      </c>
      <c r="AP131" s="835">
        <v>353.48899999999998</v>
      </c>
      <c r="AQ131" s="835">
        <v>365.22399999999999</v>
      </c>
      <c r="AR131" s="835">
        <v>351.76299999999998</v>
      </c>
      <c r="AS131" s="835">
        <v>366.07799999999997</v>
      </c>
      <c r="AT131" s="835">
        <v>558.80200000000002</v>
      </c>
      <c r="AU131" s="268">
        <f t="shared" ref="AU131" si="855">+AT131</f>
        <v>558.80200000000002</v>
      </c>
      <c r="AV131" s="268">
        <f t="shared" ref="AV131" si="856">+AU131</f>
        <v>558.80200000000002</v>
      </c>
      <c r="AW131" s="268">
        <f t="shared" ref="AW131" si="857">+AV131</f>
        <v>558.80200000000002</v>
      </c>
      <c r="AX131" s="268">
        <f t="shared" ref="AX131" si="858">+AW131</f>
        <v>558.80200000000002</v>
      </c>
      <c r="AY131" s="146"/>
      <c r="AZ131" s="269">
        <v>366.07799999999997</v>
      </c>
      <c r="BA131" s="1074"/>
      <c r="BB131" s="146"/>
      <c r="BC131" s="146"/>
      <c r="BD131" s="71"/>
      <c r="BE131" s="71"/>
      <c r="BF131" s="71"/>
      <c r="BG131" s="71"/>
      <c r="BH131" s="71"/>
      <c r="BI131" s="71"/>
      <c r="BJ131" s="71"/>
      <c r="BK131" s="71"/>
      <c r="BL131" s="71"/>
      <c r="BM131" s="2565">
        <f t="shared" ref="BM131:BM139" si="859">+AP131</f>
        <v>353.48899999999998</v>
      </c>
      <c r="BN131" s="71">
        <f t="shared" ref="BN131:BN139" si="860">+AT131</f>
        <v>558.80200000000002</v>
      </c>
      <c r="BO131" s="71">
        <f t="shared" si="806"/>
        <v>558.80200000000002</v>
      </c>
      <c r="BP131" s="268">
        <f t="shared" ref="BP131" si="861">+BO131</f>
        <v>558.80200000000002</v>
      </c>
      <c r="BQ131" s="268">
        <f t="shared" ref="BQ131" si="862">+BP131</f>
        <v>558.80200000000002</v>
      </c>
      <c r="BR131" s="268">
        <f t="shared" ref="BR131" si="863">+BQ131</f>
        <v>558.80200000000002</v>
      </c>
      <c r="BS131" s="268">
        <f t="shared" ref="BS131" si="864">+BR131</f>
        <v>558.80200000000002</v>
      </c>
    </row>
    <row r="132" spans="2:71">
      <c r="B132" s="2388" t="s">
        <v>287</v>
      </c>
      <c r="C132" s="324"/>
      <c r="D132" s="324"/>
      <c r="E132" s="324"/>
      <c r="F132" s="324"/>
      <c r="G132" s="324"/>
      <c r="H132" s="324"/>
      <c r="I132" s="324"/>
      <c r="J132" s="324"/>
      <c r="K132" s="324"/>
      <c r="L132" s="324"/>
      <c r="M132" s="324"/>
      <c r="N132" s="324"/>
      <c r="O132" s="324"/>
      <c r="P132" s="324"/>
      <c r="Q132" s="324"/>
      <c r="R132" s="324">
        <v>377.471</v>
      </c>
      <c r="S132" s="324">
        <v>1796.6</v>
      </c>
      <c r="T132" s="324">
        <v>1815.6869999999999</v>
      </c>
      <c r="U132" s="324">
        <v>2041.2</v>
      </c>
      <c r="V132" s="324">
        <v>1975.5</v>
      </c>
      <c r="W132" s="324">
        <v>2971.6</v>
      </c>
      <c r="X132" s="324">
        <v>3026.1</v>
      </c>
      <c r="Y132" s="324">
        <v>3052.6</v>
      </c>
      <c r="Z132" s="324">
        <v>2798.8</v>
      </c>
      <c r="AA132" s="324">
        <v>2799.8</v>
      </c>
      <c r="AB132" s="324">
        <v>2418.9</v>
      </c>
      <c r="AC132" s="324">
        <v>2514.6</v>
      </c>
      <c r="AD132" s="324">
        <v>2542.3000000000002</v>
      </c>
      <c r="AE132" s="324">
        <v>2214.4</v>
      </c>
      <c r="AF132" s="324">
        <v>2451.3000000000002</v>
      </c>
      <c r="AG132" s="324">
        <v>2440</v>
      </c>
      <c r="AH132" s="324">
        <v>2392.3000000000002</v>
      </c>
      <c r="AI132" s="324">
        <v>1644.7</v>
      </c>
      <c r="AJ132" s="324">
        <v>1539.1</v>
      </c>
      <c r="AK132" s="324">
        <v>1497.9</v>
      </c>
      <c r="AL132" s="324">
        <v>851.8</v>
      </c>
      <c r="AM132" s="2522">
        <v>486.95100000000002</v>
      </c>
      <c r="AN132" s="324">
        <v>509.17599999999999</v>
      </c>
      <c r="AO132" s="324">
        <v>503.84100000000001</v>
      </c>
      <c r="AP132" s="324">
        <v>571.94100000000003</v>
      </c>
      <c r="AQ132" s="324">
        <v>414.95400000000001</v>
      </c>
      <c r="AR132" s="324">
        <v>370.30500000000001</v>
      </c>
      <c r="AS132" s="324">
        <v>376.77499999999998</v>
      </c>
      <c r="AT132" s="324">
        <v>401.45499999999998</v>
      </c>
      <c r="AU132" s="267">
        <f>+FAT!AU113</f>
        <v>401.45499999999998</v>
      </c>
      <c r="AV132" s="267">
        <f>+FAT!AV113</f>
        <v>401.45499999999998</v>
      </c>
      <c r="AW132" s="267">
        <f>+FAT!AW113</f>
        <v>401.45499999999998</v>
      </c>
      <c r="AX132" s="267">
        <f>+FAT!AX113</f>
        <v>401.45499999999998</v>
      </c>
      <c r="AY132" s="146"/>
      <c r="AZ132" s="267">
        <v>376.77499999999998</v>
      </c>
      <c r="BA132" s="1074"/>
      <c r="BB132" s="146"/>
      <c r="BC132" s="146"/>
      <c r="BD132" s="71">
        <f t="shared" si="758"/>
        <v>0</v>
      </c>
      <c r="BE132" s="71">
        <f t="shared" si="759"/>
        <v>0</v>
      </c>
      <c r="BF132" s="71">
        <f t="shared" si="760"/>
        <v>0</v>
      </c>
      <c r="BG132" s="71">
        <f t="shared" si="761"/>
        <v>377.471</v>
      </c>
      <c r="BH132" s="71">
        <f t="shared" si="762"/>
        <v>1975.5</v>
      </c>
      <c r="BI132" s="71">
        <f t="shared" si="763"/>
        <v>2798.8</v>
      </c>
      <c r="BJ132" s="71">
        <f t="shared" si="764"/>
        <v>2542.3000000000002</v>
      </c>
      <c r="BK132" s="71">
        <f t="shared" si="765"/>
        <v>2392.3000000000002</v>
      </c>
      <c r="BL132" s="71">
        <f t="shared" si="766"/>
        <v>851.8</v>
      </c>
      <c r="BM132" s="2565">
        <f t="shared" si="859"/>
        <v>571.94100000000003</v>
      </c>
      <c r="BN132" s="71">
        <f t="shared" si="860"/>
        <v>401.45499999999998</v>
      </c>
      <c r="BO132" s="71">
        <f t="shared" si="806"/>
        <v>401.45499999999998</v>
      </c>
      <c r="BP132" s="267">
        <f>+FAT!BR113</f>
        <v>401.45499999999998</v>
      </c>
      <c r="BQ132" s="267">
        <f>+FAT!BS113</f>
        <v>413.90610626583253</v>
      </c>
      <c r="BR132" s="267">
        <f>+FAT!BT113</f>
        <v>404.56777656645818</v>
      </c>
      <c r="BS132" s="267">
        <f>+FAT!BU113</f>
        <v>405.34597070807274</v>
      </c>
    </row>
    <row r="133" spans="2:71">
      <c r="B133" s="2388" t="s">
        <v>966</v>
      </c>
      <c r="C133" s="324"/>
      <c r="D133" s="324"/>
      <c r="E133" s="324"/>
      <c r="F133" s="324"/>
      <c r="G133" s="324"/>
      <c r="H133" s="324"/>
      <c r="I133" s="324"/>
      <c r="J133" s="324"/>
      <c r="K133" s="324"/>
      <c r="L133" s="324"/>
      <c r="M133" s="324"/>
      <c r="N133" s="324"/>
      <c r="O133" s="324"/>
      <c r="P133" s="324"/>
      <c r="Q133" s="324"/>
      <c r="R133" s="324"/>
      <c r="S133" s="324"/>
      <c r="T133" s="324"/>
      <c r="U133" s="324"/>
      <c r="V133" s="324"/>
      <c r="W133" s="324"/>
      <c r="X133" s="324"/>
      <c r="Y133" s="324"/>
      <c r="Z133" s="324"/>
      <c r="AA133" s="324"/>
      <c r="AB133" s="324"/>
      <c r="AC133" s="324"/>
      <c r="AD133" s="324"/>
      <c r="AE133" s="324"/>
      <c r="AF133" s="324"/>
      <c r="AG133" s="324"/>
      <c r="AH133" s="324"/>
      <c r="AI133" s="324"/>
      <c r="AJ133" s="324"/>
      <c r="AK133" s="324"/>
      <c r="AL133" s="324"/>
      <c r="AM133" s="2522">
        <v>75.984999999999999</v>
      </c>
      <c r="AN133" s="324">
        <v>89.387</v>
      </c>
      <c r="AO133" s="324">
        <v>104.857</v>
      </c>
      <c r="AP133" s="324">
        <v>36.476999999999997</v>
      </c>
      <c r="AQ133" s="324">
        <v>15.961</v>
      </c>
      <c r="AR133" s="324">
        <v>21.693000000000001</v>
      </c>
      <c r="AS133" s="324">
        <v>21.127468</v>
      </c>
      <c r="AT133" s="324">
        <v>59.997285000000005</v>
      </c>
      <c r="AU133" s="268">
        <f t="shared" ref="AU133" si="865">+AT133</f>
        <v>59.997285000000005</v>
      </c>
      <c r="AV133" s="268">
        <f t="shared" ref="AV133" si="866">+AU133</f>
        <v>59.997285000000005</v>
      </c>
      <c r="AW133" s="268">
        <f t="shared" ref="AW133" si="867">+AV133</f>
        <v>59.997285000000005</v>
      </c>
      <c r="AX133" s="268">
        <f t="shared" ref="AX133" si="868">+AW133</f>
        <v>59.997285000000005</v>
      </c>
      <c r="AY133" s="146"/>
      <c r="AZ133" s="267">
        <v>21.127468</v>
      </c>
      <c r="BA133" s="1074"/>
      <c r="BB133" s="146"/>
      <c r="BC133" s="146"/>
      <c r="BD133" s="71"/>
      <c r="BE133" s="71"/>
      <c r="BF133" s="71"/>
      <c r="BG133" s="71"/>
      <c r="BH133" s="71"/>
      <c r="BI133" s="71"/>
      <c r="BJ133" s="71"/>
      <c r="BK133" s="71"/>
      <c r="BL133" s="71"/>
      <c r="BM133" s="2565">
        <f t="shared" si="859"/>
        <v>36.476999999999997</v>
      </c>
      <c r="BN133" s="71">
        <f t="shared" si="860"/>
        <v>59.997285000000005</v>
      </c>
      <c r="BO133" s="71">
        <f t="shared" si="806"/>
        <v>59.997285000000005</v>
      </c>
      <c r="BP133" s="268">
        <f t="shared" ref="BP133:BP134" si="869">+BO133</f>
        <v>59.997285000000005</v>
      </c>
      <c r="BQ133" s="268">
        <f t="shared" ref="BQ133:BQ134" si="870">+BP133</f>
        <v>59.997285000000005</v>
      </c>
      <c r="BR133" s="268">
        <f t="shared" ref="BR133:BR134" si="871">+BQ133</f>
        <v>59.997285000000005</v>
      </c>
      <c r="BS133" s="268">
        <f t="shared" ref="BS133:BS134" si="872">+BR133</f>
        <v>59.997285000000005</v>
      </c>
    </row>
    <row r="134" spans="2:71">
      <c r="B134" s="2388" t="s">
        <v>967</v>
      </c>
      <c r="C134" s="324"/>
      <c r="D134" s="324"/>
      <c r="E134" s="324"/>
      <c r="F134" s="324"/>
      <c r="G134" s="324"/>
      <c r="H134" s="324"/>
      <c r="I134" s="324"/>
      <c r="J134" s="324"/>
      <c r="K134" s="324"/>
      <c r="L134" s="324"/>
      <c r="M134" s="324"/>
      <c r="N134" s="324"/>
      <c r="O134" s="324"/>
      <c r="P134" s="324"/>
      <c r="Q134" s="324"/>
      <c r="R134" s="324"/>
      <c r="S134" s="324"/>
      <c r="T134" s="324"/>
      <c r="U134" s="324"/>
      <c r="V134" s="324"/>
      <c r="W134" s="324"/>
      <c r="X134" s="324"/>
      <c r="Y134" s="324"/>
      <c r="Z134" s="324"/>
      <c r="AA134" s="324"/>
      <c r="AB134" s="324"/>
      <c r="AC134" s="324"/>
      <c r="AD134" s="324"/>
      <c r="AE134" s="324"/>
      <c r="AF134" s="324"/>
      <c r="AG134" s="324"/>
      <c r="AH134" s="324"/>
      <c r="AI134" s="324"/>
      <c r="AJ134" s="324"/>
      <c r="AK134" s="324"/>
      <c r="AL134" s="324"/>
      <c r="AM134" s="2522">
        <v>214.59299999999999</v>
      </c>
      <c r="AN134" s="324">
        <v>225.55600000000001</v>
      </c>
      <c r="AO134" s="324">
        <v>215.60599999999999</v>
      </c>
      <c r="AP134" s="324">
        <v>265.87700000000001</v>
      </c>
      <c r="AQ134" s="324">
        <v>198.14500000000001</v>
      </c>
      <c r="AR134" s="324">
        <v>193.786</v>
      </c>
      <c r="AS134" s="324">
        <v>303.666</v>
      </c>
      <c r="AT134" s="324">
        <v>158.685</v>
      </c>
      <c r="AU134" s="268">
        <f t="shared" ref="AU134" si="873">+AT134</f>
        <v>158.685</v>
      </c>
      <c r="AV134" s="268">
        <f t="shared" ref="AV134" si="874">+AU134</f>
        <v>158.685</v>
      </c>
      <c r="AW134" s="268">
        <f t="shared" ref="AW134" si="875">+AV134</f>
        <v>158.685</v>
      </c>
      <c r="AX134" s="268">
        <f t="shared" ref="AX134" si="876">+AW134</f>
        <v>158.685</v>
      </c>
      <c r="AY134" s="146"/>
      <c r="AZ134" s="267">
        <v>303.666</v>
      </c>
      <c r="BA134" s="1074"/>
      <c r="BB134" s="146"/>
      <c r="BC134" s="146"/>
      <c r="BD134" s="71"/>
      <c r="BE134" s="71"/>
      <c r="BF134" s="71"/>
      <c r="BG134" s="71"/>
      <c r="BH134" s="71"/>
      <c r="BI134" s="71"/>
      <c r="BJ134" s="71"/>
      <c r="BK134" s="71"/>
      <c r="BL134" s="71"/>
      <c r="BM134" s="2565">
        <f t="shared" si="859"/>
        <v>265.87700000000001</v>
      </c>
      <c r="BN134" s="71">
        <f t="shared" si="860"/>
        <v>158.685</v>
      </c>
      <c r="BO134" s="71">
        <f t="shared" si="806"/>
        <v>158.685</v>
      </c>
      <c r="BP134" s="268">
        <f t="shared" si="869"/>
        <v>158.685</v>
      </c>
      <c r="BQ134" s="268">
        <f t="shared" si="870"/>
        <v>158.685</v>
      </c>
      <c r="BR134" s="268">
        <f t="shared" si="871"/>
        <v>158.685</v>
      </c>
      <c r="BS134" s="268">
        <f t="shared" si="872"/>
        <v>158.685</v>
      </c>
    </row>
    <row r="135" spans="2:71">
      <c r="B135" s="102" t="s">
        <v>526</v>
      </c>
      <c r="C135" s="324">
        <v>0</v>
      </c>
      <c r="D135" s="324">
        <v>0</v>
      </c>
      <c r="E135" s="324">
        <v>0</v>
      </c>
      <c r="F135" s="324">
        <v>34.073</v>
      </c>
      <c r="G135" s="324">
        <v>28.587</v>
      </c>
      <c r="H135" s="324">
        <v>24.661999999999999</v>
      </c>
      <c r="I135" s="324">
        <v>25.431000000000001</v>
      </c>
      <c r="J135" s="324">
        <v>23.774999999999999</v>
      </c>
      <c r="K135" s="324">
        <v>24.123999999999999</v>
      </c>
      <c r="L135" s="324">
        <v>25.001000000000001</v>
      </c>
      <c r="M135" s="324">
        <v>397.762</v>
      </c>
      <c r="N135" s="324">
        <v>422.36900000000003</v>
      </c>
      <c r="O135" s="324">
        <v>433.84100000000001</v>
      </c>
      <c r="P135" s="324">
        <v>449.97300000000001</v>
      </c>
      <c r="Q135" s="324">
        <v>463.52100000000002</v>
      </c>
      <c r="R135" s="324">
        <v>431.53399999999999</v>
      </c>
      <c r="S135" s="324">
        <v>430.834</v>
      </c>
      <c r="T135" s="324">
        <v>414.58699999999999</v>
      </c>
      <c r="U135" s="324">
        <v>432.8</v>
      </c>
      <c r="V135" s="324">
        <v>450.6</v>
      </c>
      <c r="W135" s="324">
        <v>1504.9</v>
      </c>
      <c r="X135" s="324">
        <v>1413.5</v>
      </c>
      <c r="Y135" s="324">
        <v>1490.7</v>
      </c>
      <c r="Z135" s="324">
        <v>1288</v>
      </c>
      <c r="AA135" s="324">
        <v>1186.9000000000001</v>
      </c>
      <c r="AB135" s="324">
        <v>1239.0999999999999</v>
      </c>
      <c r="AC135" s="324">
        <v>932.7</v>
      </c>
      <c r="AD135" s="324">
        <v>994</v>
      </c>
      <c r="AE135" s="324">
        <v>803.9</v>
      </c>
      <c r="AF135" s="324">
        <v>906.9</v>
      </c>
      <c r="AG135" s="324">
        <v>895.2</v>
      </c>
      <c r="AH135" s="324">
        <v>934.4</v>
      </c>
      <c r="AI135" s="324">
        <v>879.2</v>
      </c>
      <c r="AJ135" s="324">
        <v>898.4</v>
      </c>
      <c r="AK135" s="324">
        <v>3244.4</v>
      </c>
      <c r="AL135" s="324">
        <v>328.1</v>
      </c>
      <c r="AM135" s="2522">
        <v>28.867999999999999</v>
      </c>
      <c r="AN135" s="324">
        <v>0</v>
      </c>
      <c r="AO135" s="324">
        <v>0</v>
      </c>
      <c r="AP135" s="324">
        <v>0</v>
      </c>
      <c r="AQ135" s="324">
        <v>0</v>
      </c>
      <c r="AR135" s="324">
        <v>0</v>
      </c>
      <c r="AS135" s="324">
        <v>135.029</v>
      </c>
      <c r="AT135" s="324">
        <v>0</v>
      </c>
      <c r="AU135" s="268">
        <f t="shared" ref="AU135:AU139" si="877">+AT135</f>
        <v>0</v>
      </c>
      <c r="AV135" s="268">
        <f t="shared" ref="AV135:AV139" si="878">+AU135</f>
        <v>0</v>
      </c>
      <c r="AW135" s="268">
        <f t="shared" ref="AW135:AW139" si="879">+AV135</f>
        <v>0</v>
      </c>
      <c r="AX135" s="268">
        <f t="shared" ref="AX135:AX139" si="880">+AW135</f>
        <v>0</v>
      </c>
      <c r="AY135" s="146"/>
      <c r="AZ135" s="268">
        <v>135.029</v>
      </c>
      <c r="BA135" s="1074"/>
      <c r="BB135" s="146"/>
      <c r="BC135" s="146"/>
      <c r="BD135" s="71">
        <f t="shared" si="758"/>
        <v>34.073</v>
      </c>
      <c r="BE135" s="71">
        <f t="shared" si="759"/>
        <v>23.774999999999999</v>
      </c>
      <c r="BF135" s="71">
        <f t="shared" si="760"/>
        <v>422.36900000000003</v>
      </c>
      <c r="BG135" s="71">
        <f t="shared" si="761"/>
        <v>431.53399999999999</v>
      </c>
      <c r="BH135" s="71">
        <f t="shared" si="762"/>
        <v>450.6</v>
      </c>
      <c r="BI135" s="71">
        <f t="shared" si="763"/>
        <v>1288</v>
      </c>
      <c r="BJ135" s="71">
        <f t="shared" si="764"/>
        <v>994</v>
      </c>
      <c r="BK135" s="71">
        <f t="shared" si="765"/>
        <v>934.4</v>
      </c>
      <c r="BL135" s="71">
        <f t="shared" si="766"/>
        <v>328.1</v>
      </c>
      <c r="BM135" s="2565">
        <f t="shared" si="859"/>
        <v>0</v>
      </c>
      <c r="BN135" s="71">
        <f t="shared" si="860"/>
        <v>0</v>
      </c>
      <c r="BO135" s="71">
        <f t="shared" si="806"/>
        <v>0</v>
      </c>
      <c r="BP135" s="268">
        <f t="shared" ref="BP135" si="881">+BO135</f>
        <v>0</v>
      </c>
      <c r="BQ135" s="268">
        <f t="shared" ref="BQ135:BQ139" si="882">+BP135</f>
        <v>0</v>
      </c>
      <c r="BR135" s="268">
        <f t="shared" ref="BR135:BR139" si="883">+BQ135</f>
        <v>0</v>
      </c>
      <c r="BS135" s="268">
        <f t="shared" ref="BS135:BS139" si="884">+BR135</f>
        <v>0</v>
      </c>
    </row>
    <row r="136" spans="2:71">
      <c r="B136" s="2388" t="s">
        <v>958</v>
      </c>
      <c r="C136" s="324"/>
      <c r="D136" s="324"/>
      <c r="E136" s="324"/>
      <c r="F136" s="324"/>
      <c r="G136" s="324"/>
      <c r="H136" s="324"/>
      <c r="I136" s="324"/>
      <c r="J136" s="324"/>
      <c r="K136" s="324"/>
      <c r="L136" s="324"/>
      <c r="M136" s="324"/>
      <c r="N136" s="324"/>
      <c r="O136" s="324"/>
      <c r="P136" s="324"/>
      <c r="Q136" s="324"/>
      <c r="R136" s="324"/>
      <c r="S136" s="324"/>
      <c r="T136" s="324"/>
      <c r="U136" s="324"/>
      <c r="V136" s="324"/>
      <c r="W136" s="324"/>
      <c r="X136" s="324"/>
      <c r="Y136" s="324"/>
      <c r="Z136" s="324"/>
      <c r="AA136" s="324"/>
      <c r="AB136" s="324"/>
      <c r="AC136" s="324"/>
      <c r="AD136" s="324"/>
      <c r="AE136" s="324"/>
      <c r="AF136" s="324"/>
      <c r="AG136" s="324"/>
      <c r="AH136" s="324"/>
      <c r="AI136" s="324"/>
      <c r="AJ136" s="324"/>
      <c r="AK136" s="324"/>
      <c r="AL136" s="324"/>
      <c r="AM136" s="2522"/>
      <c r="AN136" s="324"/>
      <c r="AO136" s="324"/>
      <c r="AP136" s="324"/>
      <c r="AQ136" s="324"/>
      <c r="AR136" s="324"/>
      <c r="AS136" s="324">
        <v>0</v>
      </c>
      <c r="AT136" s="324">
        <v>104.627</v>
      </c>
      <c r="AU136" s="268">
        <f t="shared" ref="AU136:AU138" si="885">+AT136</f>
        <v>104.627</v>
      </c>
      <c r="AV136" s="268">
        <f t="shared" ref="AV136:AV138" si="886">+AU136</f>
        <v>104.627</v>
      </c>
      <c r="AW136" s="268">
        <f t="shared" ref="AW136:AW138" si="887">+AV136</f>
        <v>104.627</v>
      </c>
      <c r="AX136" s="268">
        <f t="shared" ref="AX136:AX138" si="888">+AW136</f>
        <v>104.627</v>
      </c>
      <c r="AY136" s="146"/>
      <c r="AZ136" s="268"/>
      <c r="BA136" s="1074"/>
      <c r="BB136" s="146"/>
      <c r="BC136" s="146"/>
      <c r="BD136" s="71"/>
      <c r="BE136" s="71"/>
      <c r="BF136" s="71"/>
      <c r="BG136" s="71"/>
      <c r="BH136" s="71"/>
      <c r="BI136" s="71"/>
      <c r="BJ136" s="71"/>
      <c r="BK136" s="71"/>
      <c r="BL136" s="71"/>
      <c r="BM136" s="2565">
        <f t="shared" ref="BM136:BM137" si="889">+AP136</f>
        <v>0</v>
      </c>
      <c r="BN136" s="71">
        <f t="shared" ref="BN136:BN137" si="890">+AT136</f>
        <v>104.627</v>
      </c>
      <c r="BO136" s="71">
        <f t="shared" ref="BO136:BO137" si="891">+AX136</f>
        <v>104.627</v>
      </c>
      <c r="BP136" s="268">
        <f t="shared" ref="BP136:BP137" si="892">+BO136</f>
        <v>104.627</v>
      </c>
      <c r="BQ136" s="268">
        <f t="shared" ref="BQ136:BQ137" si="893">+BP136</f>
        <v>104.627</v>
      </c>
      <c r="BR136" s="268">
        <f t="shared" ref="BR136:BR137" si="894">+BQ136</f>
        <v>104.627</v>
      </c>
      <c r="BS136" s="268">
        <f t="shared" ref="BS136:BS137" si="895">+BR136</f>
        <v>104.627</v>
      </c>
    </row>
    <row r="137" spans="2:71">
      <c r="B137" s="2388" t="s">
        <v>959</v>
      </c>
      <c r="C137" s="324"/>
      <c r="D137" s="324"/>
      <c r="E137" s="324"/>
      <c r="F137" s="324"/>
      <c r="G137" s="324"/>
      <c r="H137" s="324"/>
      <c r="I137" s="324"/>
      <c r="J137" s="324"/>
      <c r="K137" s="324"/>
      <c r="L137" s="324"/>
      <c r="M137" s="324"/>
      <c r="N137" s="324"/>
      <c r="O137" s="324"/>
      <c r="P137" s="324"/>
      <c r="Q137" s="324"/>
      <c r="R137" s="324"/>
      <c r="S137" s="324"/>
      <c r="T137" s="324"/>
      <c r="U137" s="324"/>
      <c r="V137" s="324"/>
      <c r="W137" s="324"/>
      <c r="X137" s="324"/>
      <c r="Y137" s="324"/>
      <c r="Z137" s="324"/>
      <c r="AA137" s="324"/>
      <c r="AB137" s="324"/>
      <c r="AC137" s="324"/>
      <c r="AD137" s="324"/>
      <c r="AE137" s="324"/>
      <c r="AF137" s="324"/>
      <c r="AG137" s="324"/>
      <c r="AH137" s="324"/>
      <c r="AI137" s="324"/>
      <c r="AJ137" s="324"/>
      <c r="AK137" s="324"/>
      <c r="AL137" s="324"/>
      <c r="AM137" s="2522"/>
      <c r="AN137" s="324"/>
      <c r="AO137" s="324"/>
      <c r="AP137" s="324"/>
      <c r="AQ137" s="324"/>
      <c r="AR137" s="324"/>
      <c r="AS137" s="324">
        <v>0</v>
      </c>
      <c r="AT137" s="324">
        <v>79.441999999999993</v>
      </c>
      <c r="AU137" s="268">
        <f t="shared" si="885"/>
        <v>79.441999999999993</v>
      </c>
      <c r="AV137" s="268">
        <f t="shared" si="886"/>
        <v>79.441999999999993</v>
      </c>
      <c r="AW137" s="268">
        <f t="shared" si="887"/>
        <v>79.441999999999993</v>
      </c>
      <c r="AX137" s="268">
        <f t="shared" si="888"/>
        <v>79.441999999999993</v>
      </c>
      <c r="AY137" s="146"/>
      <c r="AZ137" s="268"/>
      <c r="BA137" s="1074"/>
      <c r="BB137" s="146"/>
      <c r="BC137" s="146"/>
      <c r="BD137" s="71"/>
      <c r="BE137" s="71"/>
      <c r="BF137" s="71"/>
      <c r="BG137" s="71"/>
      <c r="BH137" s="71"/>
      <c r="BI137" s="71"/>
      <c r="BJ137" s="71"/>
      <c r="BK137" s="71"/>
      <c r="BL137" s="71"/>
      <c r="BM137" s="2565">
        <f t="shared" si="889"/>
        <v>0</v>
      </c>
      <c r="BN137" s="71">
        <f t="shared" si="890"/>
        <v>79.441999999999993</v>
      </c>
      <c r="BO137" s="71">
        <f t="shared" si="891"/>
        <v>79.441999999999993</v>
      </c>
      <c r="BP137" s="268">
        <f t="shared" si="892"/>
        <v>79.441999999999993</v>
      </c>
      <c r="BQ137" s="268">
        <f t="shared" si="893"/>
        <v>79.441999999999993</v>
      </c>
      <c r="BR137" s="268">
        <f t="shared" si="894"/>
        <v>79.441999999999993</v>
      </c>
      <c r="BS137" s="268">
        <f t="shared" si="895"/>
        <v>79.441999999999993</v>
      </c>
    </row>
    <row r="138" spans="2:71">
      <c r="B138" s="2388" t="s">
        <v>962</v>
      </c>
      <c r="C138" s="324"/>
      <c r="D138" s="324"/>
      <c r="E138" s="324"/>
      <c r="F138" s="324"/>
      <c r="G138" s="324"/>
      <c r="H138" s="324"/>
      <c r="I138" s="324"/>
      <c r="J138" s="324"/>
      <c r="K138" s="324"/>
      <c r="L138" s="324"/>
      <c r="M138" s="324"/>
      <c r="N138" s="324"/>
      <c r="O138" s="324"/>
      <c r="P138" s="324"/>
      <c r="Q138" s="324"/>
      <c r="R138" s="324"/>
      <c r="S138" s="324"/>
      <c r="T138" s="324"/>
      <c r="U138" s="324"/>
      <c r="V138" s="324"/>
      <c r="W138" s="324"/>
      <c r="X138" s="324"/>
      <c r="Y138" s="324"/>
      <c r="Z138" s="324"/>
      <c r="AA138" s="324"/>
      <c r="AB138" s="324"/>
      <c r="AC138" s="324"/>
      <c r="AD138" s="324"/>
      <c r="AE138" s="324"/>
      <c r="AF138" s="324"/>
      <c r="AG138" s="324"/>
      <c r="AH138" s="324"/>
      <c r="AI138" s="324"/>
      <c r="AJ138" s="324"/>
      <c r="AK138" s="324"/>
      <c r="AL138" s="324"/>
      <c r="AM138" s="2522">
        <v>422.71100000000001</v>
      </c>
      <c r="AN138" s="324">
        <v>380.13600000000002</v>
      </c>
      <c r="AO138" s="324">
        <v>389.21899999999999</v>
      </c>
      <c r="AP138" s="324">
        <v>462.32100000000003</v>
      </c>
      <c r="AQ138" s="324">
        <v>425.07499999999999</v>
      </c>
      <c r="AR138" s="324">
        <v>438.959</v>
      </c>
      <c r="AS138" s="324">
        <v>867.88699999999994</v>
      </c>
      <c r="AT138" s="324">
        <v>890.18100000000004</v>
      </c>
      <c r="AU138" s="268">
        <f t="shared" si="885"/>
        <v>890.18100000000004</v>
      </c>
      <c r="AV138" s="268">
        <f t="shared" si="886"/>
        <v>890.18100000000004</v>
      </c>
      <c r="AW138" s="268">
        <f t="shared" si="887"/>
        <v>890.18100000000004</v>
      </c>
      <c r="AX138" s="268">
        <f t="shared" si="888"/>
        <v>890.18100000000004</v>
      </c>
      <c r="AY138" s="146"/>
      <c r="AZ138" s="268">
        <v>867.88699999999994</v>
      </c>
      <c r="BA138" s="1074"/>
      <c r="BB138" s="146"/>
      <c r="BC138" s="146"/>
      <c r="BD138" s="71"/>
      <c r="BE138" s="71"/>
      <c r="BF138" s="71"/>
      <c r="BG138" s="71"/>
      <c r="BH138" s="71"/>
      <c r="BI138" s="71"/>
      <c r="BJ138" s="71"/>
      <c r="BK138" s="71"/>
      <c r="BL138" s="71"/>
      <c r="BM138" s="2565">
        <f t="shared" si="859"/>
        <v>462.32100000000003</v>
      </c>
      <c r="BN138" s="71">
        <f t="shared" si="860"/>
        <v>890.18100000000004</v>
      </c>
      <c r="BO138" s="71">
        <f t="shared" si="806"/>
        <v>890.18100000000004</v>
      </c>
      <c r="BP138" s="268">
        <f t="shared" ref="BP138" si="896">+BO138</f>
        <v>890.18100000000004</v>
      </c>
      <c r="BQ138" s="268">
        <f t="shared" ref="BQ138" si="897">+BP138</f>
        <v>890.18100000000004</v>
      </c>
      <c r="BR138" s="268">
        <f t="shared" ref="BR138" si="898">+BQ138</f>
        <v>890.18100000000004</v>
      </c>
      <c r="BS138" s="268">
        <f t="shared" ref="BS138" si="899">+BR138</f>
        <v>890.18100000000004</v>
      </c>
    </row>
    <row r="139" spans="2:71">
      <c r="B139" s="2388" t="s">
        <v>968</v>
      </c>
      <c r="C139" s="324">
        <v>419.029</v>
      </c>
      <c r="D139" s="324">
        <v>453.05399999999997</v>
      </c>
      <c r="E139" s="324">
        <v>560.11400000000003</v>
      </c>
      <c r="F139" s="324">
        <v>335.72399999999999</v>
      </c>
      <c r="G139" s="324">
        <v>371.959</v>
      </c>
      <c r="H139" s="324">
        <v>534.10400000000004</v>
      </c>
      <c r="I139" s="324">
        <v>559.62</v>
      </c>
      <c r="J139" s="324">
        <v>597.83699999999999</v>
      </c>
      <c r="K139" s="324">
        <v>602.49800000000005</v>
      </c>
      <c r="L139" s="324">
        <v>599.32500000000005</v>
      </c>
      <c r="M139" s="324">
        <v>659.79100000000005</v>
      </c>
      <c r="N139" s="324">
        <v>733.11099999999999</v>
      </c>
      <c r="O139" s="324">
        <v>696.65200000000004</v>
      </c>
      <c r="P139" s="324">
        <v>695.28</v>
      </c>
      <c r="Q139" s="324">
        <v>554.15899999999999</v>
      </c>
      <c r="R139" s="324">
        <f>925.982-R132</f>
        <v>548.51099999999997</v>
      </c>
      <c r="S139" s="324">
        <f>2277.687-S132</f>
        <v>481.08699999999999</v>
      </c>
      <c r="T139" s="324">
        <f>2300.753-T132</f>
        <v>485.06600000000026</v>
      </c>
      <c r="U139" s="324">
        <f>123.7+247.1+106.9</f>
        <v>477.70000000000005</v>
      </c>
      <c r="V139" s="324">
        <f>122.6+201.4+121.7</f>
        <v>445.7</v>
      </c>
      <c r="W139" s="324">
        <f>1049.3+1146.9+166.4</f>
        <v>2362.6</v>
      </c>
      <c r="X139" s="324">
        <f>20.9+108.8+1185.9+1165.3</f>
        <v>2480.9</v>
      </c>
      <c r="Y139" s="324">
        <f>20.9+110.3+1198.8+1121.4</f>
        <v>2451.4</v>
      </c>
      <c r="Z139" s="324">
        <f>43.8+109.5+2000.4+1113.1</f>
        <v>3266.8</v>
      </c>
      <c r="AA139" s="324">
        <f>1120.2+2058.6+112.3+43.8</f>
        <v>3334.9000000000005</v>
      </c>
      <c r="AB139" s="324">
        <f>43.8+108.4+1991.7+930.5</f>
        <v>3074.4</v>
      </c>
      <c r="AC139" s="324">
        <f>43.8+111.5+1886.8+996.2</f>
        <v>3038.3</v>
      </c>
      <c r="AD139" s="324">
        <f>53.7+114.8+1768.7+942.5</f>
        <v>2879.7</v>
      </c>
      <c r="AE139" s="324">
        <f>46.3+108.2+434.9+1632.6+854.4</f>
        <v>3076.4</v>
      </c>
      <c r="AF139" s="324">
        <f>22.5+113.6+23.1+1660.6+951-0.3</f>
        <v>2770.5</v>
      </c>
      <c r="AG139" s="324">
        <f>21.8+116.5+1522.4+920.3</f>
        <v>2581</v>
      </c>
      <c r="AH139" s="324">
        <f>26.2+117.4+448.5+191.3+873.6+751.6</f>
        <v>2408.6</v>
      </c>
      <c r="AI139" s="324">
        <f>12.1+121.3+431.7+443.4+799.1+764.4</f>
        <v>2572</v>
      </c>
      <c r="AJ139" s="324">
        <f>9.3+122.7+608.1+1152+725.4</f>
        <v>2617.5</v>
      </c>
      <c r="AK139" s="324">
        <f>1227.1+744.4+125.5+6+0.1</f>
        <v>2103.1</v>
      </c>
      <c r="AL139" s="324">
        <f>1255.5+686.5+16.1+127.2</f>
        <v>2085.2999999999997</v>
      </c>
      <c r="AM139" s="2522">
        <v>267.34300000000002</v>
      </c>
      <c r="AN139" s="324">
        <v>270.892</v>
      </c>
      <c r="AO139" s="324">
        <v>286.75099999999998</v>
      </c>
      <c r="AP139" s="324">
        <v>186.45</v>
      </c>
      <c r="AQ139" s="324">
        <v>187.37100000000001</v>
      </c>
      <c r="AR139" s="324">
        <v>202.91499999999999</v>
      </c>
      <c r="AS139" s="324">
        <v>269.11253199999999</v>
      </c>
      <c r="AT139" s="324">
        <v>282.68271499999997</v>
      </c>
      <c r="AU139" s="268">
        <f t="shared" si="877"/>
        <v>282.68271499999997</v>
      </c>
      <c r="AV139" s="268">
        <f t="shared" si="878"/>
        <v>282.68271499999997</v>
      </c>
      <c r="AW139" s="268">
        <f t="shared" si="879"/>
        <v>282.68271499999997</v>
      </c>
      <c r="AX139" s="268">
        <f t="shared" si="880"/>
        <v>282.68271499999997</v>
      </c>
      <c r="AY139" s="146"/>
      <c r="AZ139" s="268">
        <v>269.11253199999999</v>
      </c>
      <c r="BA139" s="1074"/>
      <c r="BB139" s="146"/>
      <c r="BC139" s="146"/>
      <c r="BD139" s="71">
        <f t="shared" si="758"/>
        <v>335.72399999999999</v>
      </c>
      <c r="BE139" s="71">
        <f t="shared" si="759"/>
        <v>597.83699999999999</v>
      </c>
      <c r="BF139" s="71">
        <f t="shared" si="760"/>
        <v>733.11099999999999</v>
      </c>
      <c r="BG139" s="71">
        <f t="shared" si="761"/>
        <v>548.51099999999997</v>
      </c>
      <c r="BH139" s="71">
        <f t="shared" si="762"/>
        <v>445.7</v>
      </c>
      <c r="BI139" s="71">
        <f t="shared" si="763"/>
        <v>3266.8</v>
      </c>
      <c r="BJ139" s="71">
        <f t="shared" si="764"/>
        <v>2879.7</v>
      </c>
      <c r="BK139" s="71">
        <f t="shared" si="765"/>
        <v>2408.6</v>
      </c>
      <c r="BL139" s="71">
        <f t="shared" si="766"/>
        <v>2085.2999999999997</v>
      </c>
      <c r="BM139" s="2565">
        <f t="shared" si="859"/>
        <v>186.45</v>
      </c>
      <c r="BN139" s="71">
        <f t="shared" si="860"/>
        <v>282.68271499999997</v>
      </c>
      <c r="BO139" s="71">
        <f t="shared" si="806"/>
        <v>282.68271499999997</v>
      </c>
      <c r="BP139" s="268">
        <f t="shared" ref="BP139" si="900">+BO139</f>
        <v>282.68271499999997</v>
      </c>
      <c r="BQ139" s="268">
        <f t="shared" si="882"/>
        <v>282.68271499999997</v>
      </c>
      <c r="BR139" s="268">
        <f t="shared" si="883"/>
        <v>282.68271499999997</v>
      </c>
      <c r="BS139" s="268">
        <f t="shared" si="884"/>
        <v>282.68271499999997</v>
      </c>
    </row>
    <row r="140" spans="2:71" s="105" customFormat="1">
      <c r="B140" s="119" t="s">
        <v>527</v>
      </c>
      <c r="C140" s="834">
        <f>1340.047-C141</f>
        <v>1293.028</v>
      </c>
      <c r="D140" s="834">
        <f>981.933-D141</f>
        <v>935.529</v>
      </c>
      <c r="E140" s="834">
        <f>911.747-E141</f>
        <v>856.01299999999992</v>
      </c>
      <c r="F140" s="834">
        <f>1077.767-F141</f>
        <v>1028.1860000000001</v>
      </c>
      <c r="G140" s="834">
        <f>930.465-G141</f>
        <v>882.24599999999998</v>
      </c>
      <c r="H140" s="834">
        <f>-H141+837.749</f>
        <v>792.51400000000001</v>
      </c>
      <c r="I140" s="834">
        <f>957.716-I141</f>
        <v>910.99400000000003</v>
      </c>
      <c r="J140" s="834">
        <v>996.38499999999999</v>
      </c>
      <c r="K140" s="834">
        <v>1201.3920000000001</v>
      </c>
      <c r="L140" s="834">
        <v>1357.635</v>
      </c>
      <c r="M140" s="834">
        <v>1412.5550000000001</v>
      </c>
      <c r="N140" s="834">
        <v>1634.7460000000001</v>
      </c>
      <c r="O140" s="834">
        <v>1731.6289999999999</v>
      </c>
      <c r="P140" s="834">
        <v>2253.0549999999998</v>
      </c>
      <c r="Q140" s="834">
        <v>2502.1770000000001</v>
      </c>
      <c r="R140" s="834">
        <v>2574.1019999999999</v>
      </c>
      <c r="S140" s="834">
        <v>2733.8530000000001</v>
      </c>
      <c r="T140" s="834">
        <v>2699.1390000000001</v>
      </c>
      <c r="U140" s="834">
        <v>3057.9</v>
      </c>
      <c r="V140" s="836">
        <v>3362.3</v>
      </c>
      <c r="W140" s="836">
        <f>20295.5-W141</f>
        <v>20266.099999999999</v>
      </c>
      <c r="X140" s="836">
        <v>23245.599999999999</v>
      </c>
      <c r="Y140" s="836">
        <v>24600.5</v>
      </c>
      <c r="Z140" s="836">
        <v>27364.3</v>
      </c>
      <c r="AA140" s="836">
        <v>28691.3</v>
      </c>
      <c r="AB140" s="836">
        <v>26311</v>
      </c>
      <c r="AC140" s="836">
        <v>27849.9</v>
      </c>
      <c r="AD140" s="836">
        <v>28545.599999999999</v>
      </c>
      <c r="AE140" s="836">
        <v>23821.9</v>
      </c>
      <c r="AF140" s="836">
        <v>24231.1</v>
      </c>
      <c r="AG140" s="836">
        <v>22985</v>
      </c>
      <c r="AH140" s="836">
        <v>22332.7</v>
      </c>
      <c r="AI140" s="836">
        <v>22007.7</v>
      </c>
      <c r="AJ140" s="836">
        <v>20543.900000000001</v>
      </c>
      <c r="AK140" s="836">
        <v>28029.1</v>
      </c>
      <c r="AL140" s="836">
        <v>23103.200000000001</v>
      </c>
      <c r="AM140" s="2540">
        <v>9423.253999999999</v>
      </c>
      <c r="AN140" s="836">
        <v>9049.7000000000007</v>
      </c>
      <c r="AO140" s="836">
        <v>9265.6139999999996</v>
      </c>
      <c r="AP140" s="836">
        <v>9209.9150000000009</v>
      </c>
      <c r="AQ140" s="836">
        <v>9154.3069999999989</v>
      </c>
      <c r="AR140" s="836">
        <v>9460.1539999999986</v>
      </c>
      <c r="AS140" s="836">
        <v>13040.824999999999</v>
      </c>
      <c r="AT140" s="836">
        <v>12976.710000000001</v>
      </c>
      <c r="AU140" s="838">
        <f>+AT140+AU42-AU233+AU78</f>
        <v>13220.499503876057</v>
      </c>
      <c r="AV140" s="838">
        <f>+AU140+AV42-AV233+AV78</f>
        <v>13410.562514295099</v>
      </c>
      <c r="AW140" s="838">
        <f>+AV140+AW42-AW233+AW78</f>
        <v>13576.504180309308</v>
      </c>
      <c r="AX140" s="838">
        <f>+AW140+AX42-AX233+AX78</f>
        <v>13999.436597542408</v>
      </c>
      <c r="AY140" s="264"/>
      <c r="AZ140" s="838">
        <v>13127.414634565377</v>
      </c>
      <c r="BA140" s="1076"/>
      <c r="BB140" s="264"/>
      <c r="BC140" s="264"/>
      <c r="BD140" s="265">
        <f t="shared" si="758"/>
        <v>1028.1860000000001</v>
      </c>
      <c r="BE140" s="265">
        <f t="shared" si="759"/>
        <v>996.38499999999999</v>
      </c>
      <c r="BF140" s="265">
        <f t="shared" si="760"/>
        <v>1634.7460000000001</v>
      </c>
      <c r="BG140" s="265">
        <f t="shared" si="761"/>
        <v>2574.1019999999999</v>
      </c>
      <c r="BH140" s="265">
        <f t="shared" si="762"/>
        <v>3362.3</v>
      </c>
      <c r="BI140" s="265">
        <f t="shared" si="763"/>
        <v>27364.3</v>
      </c>
      <c r="BJ140" s="265">
        <f t="shared" si="764"/>
        <v>28545.599999999999</v>
      </c>
      <c r="BK140" s="265">
        <f t="shared" si="765"/>
        <v>22332.7</v>
      </c>
      <c r="BL140" s="265">
        <f t="shared" si="766"/>
        <v>23103.200000000001</v>
      </c>
      <c r="BM140" s="2523">
        <f t="shared" si="767"/>
        <v>9209.9150000000009</v>
      </c>
      <c r="BN140" s="265">
        <f t="shared" si="768"/>
        <v>12976.710000000001</v>
      </c>
      <c r="BO140" s="265">
        <f t="shared" si="806"/>
        <v>13999.436597542408</v>
      </c>
      <c r="BP140" s="838">
        <f>+BO140+BP42-BP233+BP78</f>
        <v>14976.400702242147</v>
      </c>
      <c r="BQ140" s="838">
        <f>+BP140+BQ42-BQ233+BQ78</f>
        <v>16037.815239364114</v>
      </c>
      <c r="BR140" s="838">
        <f>+BQ140+BR42-BR233+BR78</f>
        <v>17225.669015216175</v>
      </c>
      <c r="BS140" s="838">
        <f>+BR140+BS42-BS233+BS78</f>
        <v>18376.50290529128</v>
      </c>
    </row>
    <row r="141" spans="2:71">
      <c r="B141" s="102" t="s">
        <v>528</v>
      </c>
      <c r="C141" s="324">
        <v>47.018999999999998</v>
      </c>
      <c r="D141" s="324">
        <v>46.404000000000003</v>
      </c>
      <c r="E141" s="324">
        <v>55.734000000000002</v>
      </c>
      <c r="F141" s="324">
        <v>49.581000000000003</v>
      </c>
      <c r="G141" s="324">
        <v>48.219000000000001</v>
      </c>
      <c r="H141" s="324">
        <v>45.234999999999999</v>
      </c>
      <c r="I141" s="324">
        <v>46.722000000000001</v>
      </c>
      <c r="J141" s="324">
        <v>0</v>
      </c>
      <c r="K141" s="324">
        <v>0</v>
      </c>
      <c r="L141" s="324">
        <v>0</v>
      </c>
      <c r="M141" s="324">
        <v>0</v>
      </c>
      <c r="N141" s="324">
        <v>0</v>
      </c>
      <c r="O141" s="324">
        <v>0</v>
      </c>
      <c r="P141" s="324">
        <v>0</v>
      </c>
      <c r="Q141" s="324">
        <v>0</v>
      </c>
      <c r="R141" s="324">
        <v>0</v>
      </c>
      <c r="S141" s="324">
        <v>0</v>
      </c>
      <c r="T141" s="324">
        <v>0</v>
      </c>
      <c r="U141" s="324">
        <v>0</v>
      </c>
      <c r="V141" s="835">
        <f>+U141</f>
        <v>0</v>
      </c>
      <c r="W141" s="835">
        <v>29.4</v>
      </c>
      <c r="X141" s="835">
        <v>27.9</v>
      </c>
      <c r="Y141" s="835">
        <v>25.7</v>
      </c>
      <c r="Z141" s="835">
        <v>22.6</v>
      </c>
      <c r="AA141" s="835">
        <v>22.6</v>
      </c>
      <c r="AB141" s="835">
        <v>17.399999999999999</v>
      </c>
      <c r="AC141" s="835">
        <v>14.7</v>
      </c>
      <c r="AD141" s="835">
        <v>21.2</v>
      </c>
      <c r="AE141" s="835">
        <v>18.5</v>
      </c>
      <c r="AF141" s="835">
        <v>18.399999999999999</v>
      </c>
      <c r="AG141" s="835">
        <v>17.3</v>
      </c>
      <c r="AH141" s="835">
        <v>18.5</v>
      </c>
      <c r="AI141" s="835">
        <v>18.5</v>
      </c>
      <c r="AJ141" s="835">
        <v>16.3</v>
      </c>
      <c r="AK141" s="835">
        <v>16.100000000000001</v>
      </c>
      <c r="AL141" s="835">
        <v>17.2</v>
      </c>
      <c r="AM141" s="2538">
        <v>0</v>
      </c>
      <c r="AN141" s="835">
        <v>0</v>
      </c>
      <c r="AO141" s="835">
        <v>0</v>
      </c>
      <c r="AP141" s="835">
        <v>0</v>
      </c>
      <c r="AQ141" s="835">
        <v>0</v>
      </c>
      <c r="AR141" s="835">
        <v>0</v>
      </c>
      <c r="AS141" s="835">
        <v>0</v>
      </c>
      <c r="AT141" s="835">
        <v>0</v>
      </c>
      <c r="AU141" s="269">
        <f t="shared" ref="AU141" si="901">+AT141</f>
        <v>0</v>
      </c>
      <c r="AV141" s="269">
        <f t="shared" ref="AV141" si="902">+AU141</f>
        <v>0</v>
      </c>
      <c r="AW141" s="269">
        <f t="shared" ref="AW141" si="903">+AV141</f>
        <v>0</v>
      </c>
      <c r="AX141" s="269">
        <f t="shared" ref="AX141" si="904">+AW141</f>
        <v>0</v>
      </c>
      <c r="AY141" s="146"/>
      <c r="AZ141" s="269">
        <v>0</v>
      </c>
      <c r="BA141" s="1074"/>
      <c r="BB141" s="146"/>
      <c r="BC141" s="146"/>
      <c r="BD141" s="71">
        <f t="shared" si="758"/>
        <v>49.581000000000003</v>
      </c>
      <c r="BE141" s="71">
        <f t="shared" si="759"/>
        <v>0</v>
      </c>
      <c r="BF141" s="71">
        <f t="shared" si="760"/>
        <v>0</v>
      </c>
      <c r="BG141" s="71">
        <f t="shared" si="761"/>
        <v>0</v>
      </c>
      <c r="BH141" s="71">
        <f t="shared" si="762"/>
        <v>0</v>
      </c>
      <c r="BI141" s="71">
        <f t="shared" si="763"/>
        <v>22.6</v>
      </c>
      <c r="BJ141" s="71">
        <f t="shared" si="764"/>
        <v>21.2</v>
      </c>
      <c r="BK141" s="71">
        <f t="shared" si="765"/>
        <v>18.5</v>
      </c>
      <c r="BL141" s="71">
        <f t="shared" si="766"/>
        <v>17.2</v>
      </c>
      <c r="BM141" s="2565">
        <f t="shared" si="767"/>
        <v>0</v>
      </c>
      <c r="BN141" s="71">
        <f t="shared" si="768"/>
        <v>0</v>
      </c>
      <c r="BO141" s="71">
        <f t="shared" si="806"/>
        <v>0</v>
      </c>
      <c r="BP141" s="268">
        <f t="shared" ref="BP141" si="905">+BO141</f>
        <v>0</v>
      </c>
      <c r="BQ141" s="268">
        <f t="shared" ref="BQ141" si="906">+BP141</f>
        <v>0</v>
      </c>
      <c r="BR141" s="268">
        <f t="shared" ref="BR141" si="907">+BQ141</f>
        <v>0</v>
      </c>
      <c r="BS141" s="268">
        <f t="shared" ref="BS141" si="908">+BR141</f>
        <v>0</v>
      </c>
    </row>
    <row r="142" spans="2:71">
      <c r="B142" s="119" t="s">
        <v>529</v>
      </c>
      <c r="C142" s="264">
        <f t="shared" ref="C142:AX142" si="909">+C140+C129+C116+C141</f>
        <v>7462.9840000000013</v>
      </c>
      <c r="D142" s="264">
        <f t="shared" si="909"/>
        <v>7121.8499999999995</v>
      </c>
      <c r="E142" s="264">
        <f t="shared" si="909"/>
        <v>7852.3779999999997</v>
      </c>
      <c r="F142" s="264">
        <f t="shared" si="909"/>
        <v>7233.598</v>
      </c>
      <c r="G142" s="264">
        <f t="shared" si="909"/>
        <v>6638.7709999999997</v>
      </c>
      <c r="H142" s="264">
        <f t="shared" si="909"/>
        <v>6343.777</v>
      </c>
      <c r="I142" s="264">
        <f t="shared" si="909"/>
        <v>5997.0329999999994</v>
      </c>
      <c r="J142" s="264">
        <f t="shared" si="909"/>
        <v>6657.0910000000003</v>
      </c>
      <c r="K142" s="264">
        <f t="shared" si="909"/>
        <v>5803.875</v>
      </c>
      <c r="L142" s="264">
        <f t="shared" si="909"/>
        <v>5413.0759999999991</v>
      </c>
      <c r="M142" s="264">
        <f t="shared" si="909"/>
        <v>12892.083000000001</v>
      </c>
      <c r="N142" s="264">
        <f t="shared" si="909"/>
        <v>10880.793</v>
      </c>
      <c r="O142" s="264">
        <f t="shared" si="909"/>
        <v>12606.709000000001</v>
      </c>
      <c r="P142" s="264">
        <f t="shared" si="909"/>
        <v>13295.741</v>
      </c>
      <c r="Q142" s="264">
        <f t="shared" si="909"/>
        <v>13527.208000000001</v>
      </c>
      <c r="R142" s="264">
        <f t="shared" si="909"/>
        <v>14197.690000000002</v>
      </c>
      <c r="S142" s="264">
        <f t="shared" si="909"/>
        <v>14893.580000000002</v>
      </c>
      <c r="T142" s="264">
        <f t="shared" si="909"/>
        <v>15263.802000000003</v>
      </c>
      <c r="U142" s="264">
        <f t="shared" si="909"/>
        <v>16682</v>
      </c>
      <c r="V142" s="264">
        <f t="shared" si="909"/>
        <v>17288.100000000002</v>
      </c>
      <c r="W142" s="264">
        <f t="shared" si="909"/>
        <v>53159.7</v>
      </c>
      <c r="X142" s="264">
        <f t="shared" si="909"/>
        <v>57380.700000000004</v>
      </c>
      <c r="Y142" s="264">
        <f t="shared" si="909"/>
        <v>58655.8</v>
      </c>
      <c r="Z142" s="264">
        <f t="shared" si="909"/>
        <v>56052.2</v>
      </c>
      <c r="AA142" s="264">
        <f t="shared" si="909"/>
        <v>57462.8</v>
      </c>
      <c r="AB142" s="264">
        <f t="shared" si="909"/>
        <v>54560.800000000003</v>
      </c>
      <c r="AC142" s="264">
        <f t="shared" si="909"/>
        <v>56498.5</v>
      </c>
      <c r="AD142" s="264">
        <f t="shared" si="909"/>
        <v>58497.999999999993</v>
      </c>
      <c r="AE142" s="264">
        <f t="shared" si="909"/>
        <v>47513.3</v>
      </c>
      <c r="AF142" s="264">
        <f t="shared" si="909"/>
        <v>52714.1</v>
      </c>
      <c r="AG142" s="264">
        <f t="shared" si="909"/>
        <v>53216.900000000009</v>
      </c>
      <c r="AH142" s="264">
        <f t="shared" si="909"/>
        <v>53475.900000000009</v>
      </c>
      <c r="AI142" s="264">
        <f t="shared" si="909"/>
        <v>52268.200000000004</v>
      </c>
      <c r="AJ142" s="264">
        <f t="shared" si="909"/>
        <v>49623.200000000004</v>
      </c>
      <c r="AK142" s="264">
        <f t="shared" si="909"/>
        <v>49801.200000000004</v>
      </c>
      <c r="AL142" s="264">
        <f t="shared" si="909"/>
        <v>42284.6</v>
      </c>
      <c r="AM142" s="2539">
        <f t="shared" si="909"/>
        <v>18738.93</v>
      </c>
      <c r="AN142" s="264">
        <f t="shared" si="909"/>
        <v>17843.156000000003</v>
      </c>
      <c r="AO142" s="264">
        <f t="shared" si="909"/>
        <v>19489.255000000001</v>
      </c>
      <c r="AP142" s="264">
        <f t="shared" si="909"/>
        <v>20315.234</v>
      </c>
      <c r="AQ142" s="264">
        <f t="shared" si="909"/>
        <v>19790.760999999999</v>
      </c>
      <c r="AR142" s="264">
        <f t="shared" si="909"/>
        <v>20092.266999999996</v>
      </c>
      <c r="AS142" s="264">
        <f t="shared" si="909"/>
        <v>29046.525999999998</v>
      </c>
      <c r="AT142" s="264">
        <f t="shared" si="909"/>
        <v>28971.301000000003</v>
      </c>
      <c r="AU142" s="264">
        <f t="shared" si="909"/>
        <v>27895.671458451019</v>
      </c>
      <c r="AV142" s="264">
        <f t="shared" si="909"/>
        <v>28547.286665884018</v>
      </c>
      <c r="AW142" s="264">
        <f t="shared" si="909"/>
        <v>28940.453034916751</v>
      </c>
      <c r="AX142" s="264">
        <f t="shared" si="909"/>
        <v>30169.230162525942</v>
      </c>
      <c r="AY142" s="146"/>
      <c r="AZ142" s="264">
        <v>29072.103740726416</v>
      </c>
      <c r="BA142" s="1074"/>
      <c r="BB142" s="146"/>
      <c r="BC142" s="146"/>
      <c r="BD142" s="265">
        <f t="shared" si="758"/>
        <v>7233.598</v>
      </c>
      <c r="BE142" s="265">
        <f t="shared" si="759"/>
        <v>6657.0910000000003</v>
      </c>
      <c r="BF142" s="264">
        <f t="shared" ref="BF142:BS142" si="910">+BF140+BF129+BF116+BF141</f>
        <v>10880.793</v>
      </c>
      <c r="BG142" s="264">
        <f t="shared" si="910"/>
        <v>14197.690000000002</v>
      </c>
      <c r="BH142" s="264">
        <f t="shared" si="910"/>
        <v>17288.100000000002</v>
      </c>
      <c r="BI142" s="264">
        <f t="shared" si="910"/>
        <v>56052.2</v>
      </c>
      <c r="BJ142" s="264">
        <f t="shared" si="910"/>
        <v>58497.999999999993</v>
      </c>
      <c r="BK142" s="264">
        <f t="shared" si="910"/>
        <v>53475.900000000009</v>
      </c>
      <c r="BL142" s="264">
        <f t="shared" si="910"/>
        <v>42284.6</v>
      </c>
      <c r="BM142" s="2539">
        <f t="shared" si="910"/>
        <v>20315.234</v>
      </c>
      <c r="BN142" s="264">
        <f t="shared" si="910"/>
        <v>28971.301000000003</v>
      </c>
      <c r="BO142" s="264">
        <f t="shared" si="910"/>
        <v>30169.230162525942</v>
      </c>
      <c r="BP142" s="264">
        <f t="shared" si="910"/>
        <v>31583.561722619295</v>
      </c>
      <c r="BQ142" s="264">
        <f t="shared" si="910"/>
        <v>31474.55072365237</v>
      </c>
      <c r="BR142" s="264">
        <f t="shared" si="910"/>
        <v>32932.736471531098</v>
      </c>
      <c r="BS142" s="264">
        <f t="shared" si="910"/>
        <v>34358.578621227185</v>
      </c>
    </row>
    <row r="143" spans="2:71">
      <c r="B143" s="118" t="s">
        <v>530</v>
      </c>
      <c r="C143" s="69">
        <f t="shared" ref="C143:AX143" si="911">+C142-C115</f>
        <v>-1375.6289999999999</v>
      </c>
      <c r="D143" s="69">
        <f t="shared" si="911"/>
        <v>-1425.777000000001</v>
      </c>
      <c r="E143" s="69">
        <f t="shared" si="911"/>
        <v>-1885.7600000000011</v>
      </c>
      <c r="F143" s="69">
        <f t="shared" si="911"/>
        <v>-2161.3829999999998</v>
      </c>
      <c r="G143" s="69">
        <f t="shared" si="911"/>
        <v>-2201.7670000000007</v>
      </c>
      <c r="H143" s="69">
        <f t="shared" si="911"/>
        <v>-2133.3559999999998</v>
      </c>
      <c r="I143" s="69">
        <f t="shared" si="911"/>
        <v>-1950.6810000000005</v>
      </c>
      <c r="J143" s="69">
        <f t="shared" si="911"/>
        <v>-1764.4879999999994</v>
      </c>
      <c r="K143" s="69">
        <f t="shared" si="911"/>
        <v>-1989.701</v>
      </c>
      <c r="L143" s="69">
        <f t="shared" si="911"/>
        <v>-2324.8330000000005</v>
      </c>
      <c r="M143" s="69">
        <f t="shared" si="911"/>
        <v>-1951.973</v>
      </c>
      <c r="N143" s="69">
        <f t="shared" si="911"/>
        <v>-4076.6689999999999</v>
      </c>
      <c r="O143" s="69">
        <f t="shared" si="911"/>
        <v>-1582.4159999999993</v>
      </c>
      <c r="P143" s="69">
        <f t="shared" si="911"/>
        <v>-1028.3149999999987</v>
      </c>
      <c r="Q143" s="69">
        <f t="shared" si="911"/>
        <v>-1273.2789999999986</v>
      </c>
      <c r="R143" s="69">
        <f t="shared" si="911"/>
        <v>-1181.8589999999986</v>
      </c>
      <c r="S143" s="69">
        <f t="shared" si="911"/>
        <v>-1199.6549999999988</v>
      </c>
      <c r="T143" s="69">
        <f t="shared" si="911"/>
        <v>-1271.5759999999973</v>
      </c>
      <c r="U143" s="69">
        <f t="shared" si="911"/>
        <v>-943.67700000000332</v>
      </c>
      <c r="V143" s="69">
        <f t="shared" si="911"/>
        <v>-3896.505000000001</v>
      </c>
      <c r="W143" s="69">
        <f t="shared" si="911"/>
        <v>-2899.1000000000058</v>
      </c>
      <c r="X143" s="69">
        <f t="shared" si="911"/>
        <v>-3712.1999999999971</v>
      </c>
      <c r="Y143" s="69">
        <f t="shared" si="911"/>
        <v>-5664.7999999999956</v>
      </c>
      <c r="Z143" s="69">
        <f t="shared" si="911"/>
        <v>-4865.3000000000029</v>
      </c>
      <c r="AA143" s="69">
        <f t="shared" si="911"/>
        <v>-4355.2999999999956</v>
      </c>
      <c r="AB143" s="69">
        <f t="shared" si="911"/>
        <v>-4041.5999999999913</v>
      </c>
      <c r="AC143" s="69">
        <f t="shared" si="911"/>
        <v>-2136.8999999999942</v>
      </c>
      <c r="AD143" s="69">
        <f t="shared" si="911"/>
        <v>-1950.6000000000058</v>
      </c>
      <c r="AE143" s="69">
        <f t="shared" si="911"/>
        <v>-4710.7999999999956</v>
      </c>
      <c r="AF143" s="69">
        <f t="shared" si="911"/>
        <v>-1616.5999999999985</v>
      </c>
      <c r="AG143" s="69">
        <f t="shared" si="911"/>
        <v>-1283.9999999999927</v>
      </c>
      <c r="AH143" s="69">
        <f t="shared" si="911"/>
        <v>-1209.5999999999913</v>
      </c>
      <c r="AI143" s="69">
        <f t="shared" si="911"/>
        <v>-924.19999999999709</v>
      </c>
      <c r="AJ143" s="69">
        <f t="shared" si="911"/>
        <v>-970.29999999999563</v>
      </c>
      <c r="AK143" s="69">
        <f t="shared" si="911"/>
        <v>-769.59999999999127</v>
      </c>
      <c r="AL143" s="69">
        <f t="shared" si="911"/>
        <v>-462.40000000000146</v>
      </c>
      <c r="AM143" s="2541">
        <f t="shared" si="911"/>
        <v>0</v>
      </c>
      <c r="AN143" s="69">
        <f t="shared" si="911"/>
        <v>0</v>
      </c>
      <c r="AO143" s="69">
        <f t="shared" si="911"/>
        <v>0</v>
      </c>
      <c r="AP143" s="69">
        <f t="shared" si="911"/>
        <v>0</v>
      </c>
      <c r="AQ143" s="69">
        <f t="shared" si="911"/>
        <v>0</v>
      </c>
      <c r="AR143" s="69">
        <f t="shared" si="911"/>
        <v>0</v>
      </c>
      <c r="AS143" s="69">
        <f t="shared" si="911"/>
        <v>0</v>
      </c>
      <c r="AT143" s="69">
        <f t="shared" si="911"/>
        <v>-3.9999999971769284E-3</v>
      </c>
      <c r="AU143" s="69">
        <f t="shared" si="911"/>
        <v>0</v>
      </c>
      <c r="AV143" s="69">
        <f t="shared" si="911"/>
        <v>0</v>
      </c>
      <c r="AW143" s="69">
        <f t="shared" si="911"/>
        <v>0</v>
      </c>
      <c r="AX143" s="69">
        <f t="shared" si="911"/>
        <v>0</v>
      </c>
      <c r="AY143" s="146"/>
      <c r="AZ143" s="69">
        <v>0</v>
      </c>
      <c r="BA143" s="1074"/>
      <c r="BB143" s="146"/>
      <c r="BC143" s="146"/>
      <c r="BD143" s="69">
        <f t="shared" ref="BD143:BS143" si="912">+BD142-BD115</f>
        <v>-2161.3829999999998</v>
      </c>
      <c r="BE143" s="69">
        <f t="shared" si="912"/>
        <v>-1764.4879999999994</v>
      </c>
      <c r="BF143" s="69">
        <f t="shared" si="912"/>
        <v>-4076.6689999999999</v>
      </c>
      <c r="BG143" s="69">
        <f t="shared" si="912"/>
        <v>-1181.8589999999986</v>
      </c>
      <c r="BH143" s="69">
        <f t="shared" si="912"/>
        <v>-3896.505000000001</v>
      </c>
      <c r="BI143" s="69">
        <f t="shared" si="912"/>
        <v>-4865.3000000000029</v>
      </c>
      <c r="BJ143" s="69">
        <f t="shared" si="912"/>
        <v>-1950.6000000000058</v>
      </c>
      <c r="BK143" s="69">
        <f t="shared" si="912"/>
        <v>-1209.5999999999913</v>
      </c>
      <c r="BL143" s="69">
        <f t="shared" si="912"/>
        <v>-462.40000000000146</v>
      </c>
      <c r="BM143" s="2541">
        <f t="shared" si="912"/>
        <v>0</v>
      </c>
      <c r="BN143" s="69">
        <f t="shared" si="912"/>
        <v>-3.9999999971769284E-3</v>
      </c>
      <c r="BO143" s="69">
        <f t="shared" si="912"/>
        <v>0</v>
      </c>
      <c r="BP143" s="69">
        <f t="shared" si="912"/>
        <v>0</v>
      </c>
      <c r="BQ143" s="69">
        <f t="shared" si="912"/>
        <v>0</v>
      </c>
      <c r="BR143" s="69">
        <f t="shared" si="912"/>
        <v>0</v>
      </c>
      <c r="BS143" s="69">
        <f t="shared" si="912"/>
        <v>0</v>
      </c>
    </row>
    <row r="144" spans="2:71">
      <c r="B144" s="102"/>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c r="AA144" s="146"/>
      <c r="AB144" s="146"/>
      <c r="AC144" s="146"/>
      <c r="AD144" s="146"/>
      <c r="AE144" s="146"/>
      <c r="AF144" s="146"/>
      <c r="AG144" s="146"/>
      <c r="AH144" s="146"/>
      <c r="AI144" s="146"/>
      <c r="AJ144" s="146"/>
      <c r="AK144" s="146"/>
      <c r="AL144" s="146"/>
      <c r="AM144" s="2532"/>
      <c r="AN144" s="146"/>
      <c r="AO144" s="146"/>
      <c r="AP144" s="146"/>
      <c r="AQ144" s="146"/>
      <c r="AR144" s="146"/>
      <c r="AS144" s="146"/>
      <c r="AT144" s="146"/>
      <c r="AU144" s="146"/>
      <c r="AV144" s="146"/>
      <c r="AW144" s="146"/>
      <c r="AX144" s="146"/>
      <c r="AY144" s="146"/>
      <c r="AZ144" s="146"/>
      <c r="BA144" s="1074"/>
      <c r="BB144" s="146"/>
      <c r="BC144" s="146"/>
      <c r="BD144" s="146"/>
      <c r="BE144" s="146"/>
      <c r="BF144" s="146"/>
      <c r="BG144" s="146"/>
      <c r="BH144" s="146"/>
      <c r="BI144" s="146"/>
      <c r="BJ144" s="146"/>
      <c r="BK144" s="146"/>
      <c r="BL144" s="146"/>
      <c r="BM144" s="2532"/>
      <c r="BN144" s="146"/>
      <c r="BO144" s="146"/>
      <c r="BP144" s="146"/>
      <c r="BQ144" s="146"/>
      <c r="BR144" s="146"/>
      <c r="BS144" s="146"/>
    </row>
    <row r="145" spans="2:71" s="105" customFormat="1">
      <c r="B145" s="138" t="s">
        <v>531</v>
      </c>
      <c r="C145" s="583">
        <f t="shared" ref="C145:T145" si="913">C146+C149</f>
        <v>2888.3519999999999</v>
      </c>
      <c r="D145" s="583">
        <f t="shared" si="913"/>
        <v>2823.8179999999998</v>
      </c>
      <c r="E145" s="583">
        <f t="shared" si="913"/>
        <v>2841.6180000000004</v>
      </c>
      <c r="F145" s="583">
        <f t="shared" si="913"/>
        <v>2709.8630000000003</v>
      </c>
      <c r="G145" s="583">
        <f t="shared" si="913"/>
        <v>2805.2749999999996</v>
      </c>
      <c r="H145" s="583">
        <f t="shared" si="913"/>
        <v>2862.9809999999998</v>
      </c>
      <c r="I145" s="583">
        <f t="shared" si="913"/>
        <v>2842.7690000000002</v>
      </c>
      <c r="J145" s="583">
        <f t="shared" si="913"/>
        <v>2637.69</v>
      </c>
      <c r="K145" s="583">
        <f t="shared" si="913"/>
        <v>3027.3690000000001</v>
      </c>
      <c r="L145" s="583">
        <f t="shared" si="913"/>
        <v>2905.5129999999999</v>
      </c>
      <c r="M145" s="583">
        <f t="shared" si="913"/>
        <v>7278.6139999999996</v>
      </c>
      <c r="N145" s="583">
        <f t="shared" si="913"/>
        <v>7574.5870000000004</v>
      </c>
      <c r="O145" s="583">
        <f t="shared" si="913"/>
        <v>8014.7860000000001</v>
      </c>
      <c r="P145" s="583">
        <f t="shared" si="913"/>
        <v>8521.5999999999985</v>
      </c>
      <c r="Q145" s="583">
        <f t="shared" si="913"/>
        <v>8753.4389999999985</v>
      </c>
      <c r="R145" s="583">
        <f t="shared" si="913"/>
        <v>8145.2729999999992</v>
      </c>
      <c r="S145" s="583">
        <f t="shared" si="913"/>
        <v>7954.6590000000006</v>
      </c>
      <c r="T145" s="583">
        <f t="shared" si="913"/>
        <v>7771.0349999999999</v>
      </c>
      <c r="U145" s="583">
        <f t="shared" ref="U145:W145" si="914">U146+U149</f>
        <v>8292.2209999999995</v>
      </c>
      <c r="V145" s="583">
        <f t="shared" si="914"/>
        <v>7376.6009999999997</v>
      </c>
      <c r="W145" s="583">
        <f t="shared" si="914"/>
        <v>33675.199999999997</v>
      </c>
      <c r="X145" s="583">
        <f t="shared" ref="X145:Y145" si="915">X146+X149</f>
        <v>34656</v>
      </c>
      <c r="Y145" s="583">
        <f t="shared" si="915"/>
        <v>35697.5</v>
      </c>
      <c r="Z145" s="583">
        <f t="shared" ref="Z145:AA145" si="916">Z146+Z149</f>
        <v>32023.699999999997</v>
      </c>
      <c r="AA145" s="583">
        <f t="shared" si="916"/>
        <v>34946.899999999994</v>
      </c>
      <c r="AB145" s="583">
        <f t="shared" ref="AB145:AC145" si="917">AB146+AB149</f>
        <v>31406.1</v>
      </c>
      <c r="AC145" s="583">
        <f t="shared" si="917"/>
        <v>33899.800000000003</v>
      </c>
      <c r="AD145" s="583">
        <f t="shared" ref="AD145:AE145" si="918">AD146+AD149</f>
        <v>33494.799999999996</v>
      </c>
      <c r="AE145" s="583">
        <f t="shared" si="918"/>
        <v>30056.3</v>
      </c>
      <c r="AF145" s="583">
        <f t="shared" ref="AF145:AG145" si="919">AF146+AF149</f>
        <v>31502.799999999996</v>
      </c>
      <c r="AG145" s="583">
        <f t="shared" si="919"/>
        <v>30509.100000000002</v>
      </c>
      <c r="AH145" s="583">
        <f t="shared" ref="AH145:AI145" si="920">AH146+AH149</f>
        <v>28802.7</v>
      </c>
      <c r="AI145" s="583">
        <f t="shared" si="920"/>
        <v>29058.600000000002</v>
      </c>
      <c r="AJ145" s="583">
        <f t="shared" ref="AJ145:AK145" si="921">AJ146+AJ149</f>
        <v>28240</v>
      </c>
      <c r="AK145" s="583">
        <f t="shared" si="921"/>
        <v>28023</v>
      </c>
      <c r="AL145" s="583">
        <f t="shared" ref="AL145:AP145" si="922">AL146+AL149</f>
        <v>19580.900000000001</v>
      </c>
      <c r="AM145" s="583">
        <f t="shared" si="922"/>
        <v>3571.8799999999983</v>
      </c>
      <c r="AN145" s="583">
        <f t="shared" si="922"/>
        <v>4328.5039999999999</v>
      </c>
      <c r="AO145" s="583">
        <f t="shared" si="922"/>
        <v>4779.3110000000006</v>
      </c>
      <c r="AP145" s="583">
        <f t="shared" si="922"/>
        <v>4752.9589750000005</v>
      </c>
      <c r="AQ145" s="583">
        <f t="shared" ref="AQ145" si="923">AQ146+AQ149</f>
        <v>4693.9930000000004</v>
      </c>
      <c r="AR145" s="583">
        <f t="shared" ref="AR145:AS145" si="924">AR146+AR149</f>
        <v>5129.9270000000006</v>
      </c>
      <c r="AS145" s="583">
        <f t="shared" si="924"/>
        <v>15278.166999999998</v>
      </c>
      <c r="AT145" s="583">
        <f t="shared" ref="AT145" si="925">AT146+AT149</f>
        <v>15752.378999999999</v>
      </c>
      <c r="AU145" s="690">
        <f t="shared" ref="AU145:AX145" si="926">AU146+AU149</f>
        <v>15171.902612122571</v>
      </c>
      <c r="AV145" s="690">
        <f t="shared" si="926"/>
        <v>15264.090043818576</v>
      </c>
      <c r="AW145" s="690">
        <f t="shared" si="926"/>
        <v>15425.931824575573</v>
      </c>
      <c r="AX145" s="690">
        <f t="shared" si="926"/>
        <v>15702.453064611704</v>
      </c>
      <c r="AY145" s="264"/>
      <c r="AZ145" s="690">
        <v>15300.957737370123</v>
      </c>
      <c r="BA145" s="1076"/>
      <c r="BB145" s="264"/>
      <c r="BC145" s="264"/>
      <c r="BD145" s="583">
        <f>BD146+BD149</f>
        <v>2709.8630000000003</v>
      </c>
      <c r="BE145" s="583">
        <f t="shared" ref="BE145:BJ145" si="927">BE146+BE149</f>
        <v>2637.69</v>
      </c>
      <c r="BF145" s="583">
        <f t="shared" si="927"/>
        <v>7574.5870000000004</v>
      </c>
      <c r="BG145" s="583">
        <f t="shared" si="927"/>
        <v>8145.2729999999992</v>
      </c>
      <c r="BH145" s="583">
        <f t="shared" si="927"/>
        <v>7376.6009999999997</v>
      </c>
      <c r="BI145" s="583">
        <f t="shared" si="927"/>
        <v>32023.699999999997</v>
      </c>
      <c r="BJ145" s="583">
        <f t="shared" si="927"/>
        <v>33494.799999999996</v>
      </c>
      <c r="BK145" s="583">
        <f t="shared" ref="BK145:BN145" si="928">BK146+BK149</f>
        <v>28802.7</v>
      </c>
      <c r="BL145" s="583">
        <f t="shared" si="928"/>
        <v>19580.900000000001</v>
      </c>
      <c r="BM145" s="2542">
        <f t="shared" si="928"/>
        <v>4752.9589750000005</v>
      </c>
      <c r="BN145" s="583">
        <f t="shared" si="928"/>
        <v>15752.378999999999</v>
      </c>
      <c r="BO145" s="583">
        <f t="shared" ref="BO145:BS145" si="929">BO146+BO149</f>
        <v>15702.453064611704</v>
      </c>
      <c r="BP145" s="690">
        <f t="shared" si="929"/>
        <v>15617.09872567925</v>
      </c>
      <c r="BQ145" s="690">
        <f t="shared" si="929"/>
        <v>15668.330013596433</v>
      </c>
      <c r="BR145" s="690">
        <f t="shared" si="929"/>
        <v>15767.824102126629</v>
      </c>
      <c r="BS145" s="690">
        <f t="shared" si="929"/>
        <v>15892.71042584613</v>
      </c>
    </row>
    <row r="146" spans="2:71" s="579" customFormat="1">
      <c r="B146" s="580" t="s">
        <v>532</v>
      </c>
      <c r="C146" s="581">
        <f t="shared" ref="C146:T146" si="930">C147-C148</f>
        <v>455.39199999999983</v>
      </c>
      <c r="D146" s="581">
        <f t="shared" si="930"/>
        <v>384.29199999999992</v>
      </c>
      <c r="E146" s="581">
        <f t="shared" si="930"/>
        <v>307.99200000000019</v>
      </c>
      <c r="F146" s="581">
        <f t="shared" si="930"/>
        <v>141.03200000000015</v>
      </c>
      <c r="G146" s="581">
        <f t="shared" si="930"/>
        <v>278.39799999999991</v>
      </c>
      <c r="H146" s="581">
        <f t="shared" si="930"/>
        <v>391.65200000000004</v>
      </c>
      <c r="I146" s="581">
        <f t="shared" si="930"/>
        <v>365.75700000000029</v>
      </c>
      <c r="J146" s="581">
        <f t="shared" si="930"/>
        <v>118.74800000000005</v>
      </c>
      <c r="K146" s="581">
        <f t="shared" si="930"/>
        <v>385.64899999999989</v>
      </c>
      <c r="L146" s="581">
        <f t="shared" si="930"/>
        <v>264.19800000000009</v>
      </c>
      <c r="M146" s="581">
        <f t="shared" si="930"/>
        <v>679.02799999999979</v>
      </c>
      <c r="N146" s="581">
        <f t="shared" si="930"/>
        <v>822.30400000000009</v>
      </c>
      <c r="O146" s="581">
        <f t="shared" si="930"/>
        <v>1218.2069999999999</v>
      </c>
      <c r="P146" s="581">
        <f t="shared" si="930"/>
        <v>1271.5070000000003</v>
      </c>
      <c r="Q146" s="581">
        <f t="shared" si="930"/>
        <v>1350.0069999999992</v>
      </c>
      <c r="R146" s="581">
        <f t="shared" si="930"/>
        <v>958.01399999999967</v>
      </c>
      <c r="S146" s="581">
        <f t="shared" si="930"/>
        <v>1361.8940000000002</v>
      </c>
      <c r="T146" s="581">
        <f t="shared" si="930"/>
        <v>1385.2129999999997</v>
      </c>
      <c r="U146" s="581">
        <f t="shared" ref="U146:W146" si="931">U147-U148</f>
        <v>1652.1</v>
      </c>
      <c r="V146" s="581">
        <f t="shared" si="931"/>
        <v>526.19999999999982</v>
      </c>
      <c r="W146" s="581">
        <f t="shared" si="931"/>
        <v>1271.3999999999987</v>
      </c>
      <c r="X146" s="581">
        <f t="shared" ref="X146:Y146" si="932">X147-X148</f>
        <v>874</v>
      </c>
      <c r="Y146" s="581">
        <f t="shared" si="932"/>
        <v>919.90000000000146</v>
      </c>
      <c r="Z146" s="581">
        <f t="shared" ref="Z146:AA146" si="933">Z147-Z148</f>
        <v>-128.5</v>
      </c>
      <c r="AA146" s="581">
        <f t="shared" si="933"/>
        <v>1260.7999999999993</v>
      </c>
      <c r="AB146" s="581">
        <f t="shared" ref="AB146:AC146" si="934">AB147-AB148</f>
        <v>831.00000000000182</v>
      </c>
      <c r="AC146" s="581">
        <f t="shared" si="934"/>
        <v>1966.2999999999993</v>
      </c>
      <c r="AD146" s="581">
        <f t="shared" ref="AD146:AE146" si="935">AD147-AD148</f>
        <v>1259.7999999999975</v>
      </c>
      <c r="AE146" s="581">
        <f t="shared" si="935"/>
        <v>1950.5999999999985</v>
      </c>
      <c r="AF146" s="581">
        <f t="shared" ref="AF146:AG146" si="936">AF147-AF148</f>
        <v>2297.6999999999989</v>
      </c>
      <c r="AG146" s="581">
        <f t="shared" si="936"/>
        <v>2096.300000000002</v>
      </c>
      <c r="AH146" s="581">
        <f t="shared" ref="AH146:AI146" si="937">AH147-AH148</f>
        <v>575.5</v>
      </c>
      <c r="AI146" s="581">
        <f t="shared" si="937"/>
        <v>1478.1999999999998</v>
      </c>
      <c r="AJ146" s="581">
        <f t="shared" ref="AJ146:AK146" si="938">AJ147-AJ148</f>
        <v>1759.1000000000004</v>
      </c>
      <c r="AK146" s="581">
        <f t="shared" si="938"/>
        <v>1866.6999999999998</v>
      </c>
      <c r="AL146" s="581">
        <f t="shared" ref="AL146:AP146" si="939">AL147-AL148</f>
        <v>-446.59999999999854</v>
      </c>
      <c r="AM146" s="581">
        <f t="shared" si="939"/>
        <v>1054.1849999999986</v>
      </c>
      <c r="AN146" s="581">
        <f t="shared" si="939"/>
        <v>1769.3580000000002</v>
      </c>
      <c r="AO146" s="581">
        <f t="shared" si="939"/>
        <v>2017.7740000000003</v>
      </c>
      <c r="AP146" s="581">
        <f t="shared" si="939"/>
        <v>1914.9049750000004</v>
      </c>
      <c r="AQ146" s="581">
        <f t="shared" ref="AQ146" si="940">AQ147-AQ148</f>
        <v>1950.9370000000008</v>
      </c>
      <c r="AR146" s="581">
        <f t="shared" ref="AR146:AS146" si="941">AR147-AR148</f>
        <v>2487.1330000000007</v>
      </c>
      <c r="AS146" s="581">
        <f t="shared" si="941"/>
        <v>2647.4389999999994</v>
      </c>
      <c r="AT146" s="581">
        <f t="shared" ref="AT146" si="942">AT147-AT148</f>
        <v>2892.5599999999995</v>
      </c>
      <c r="AU146" s="691">
        <f t="shared" ref="AU146:AX146" si="943">AU147-AU148</f>
        <v>2365.9088159922921</v>
      </c>
      <c r="AV146" s="691">
        <f t="shared" si="943"/>
        <v>2487.8795917447915</v>
      </c>
      <c r="AW146" s="691">
        <f t="shared" si="943"/>
        <v>2813.3887293407442</v>
      </c>
      <c r="AX146" s="691">
        <f t="shared" si="943"/>
        <v>3127.3978355520157</v>
      </c>
      <c r="AY146" s="582"/>
      <c r="AZ146" s="691">
        <v>2693.7520086266395</v>
      </c>
      <c r="BA146" s="1077"/>
      <c r="BB146" s="582"/>
      <c r="BC146" s="582"/>
      <c r="BD146" s="581">
        <f>BD147-BD148</f>
        <v>141.03200000000015</v>
      </c>
      <c r="BE146" s="581">
        <f t="shared" ref="BE146:BJ146" si="944">BE147-BE148</f>
        <v>118.74800000000005</v>
      </c>
      <c r="BF146" s="581">
        <f t="shared" si="944"/>
        <v>822.30400000000009</v>
      </c>
      <c r="BG146" s="581">
        <f t="shared" si="944"/>
        <v>958.01399999999967</v>
      </c>
      <c r="BH146" s="581">
        <f t="shared" si="944"/>
        <v>526.19999999999982</v>
      </c>
      <c r="BI146" s="581">
        <f t="shared" si="944"/>
        <v>-128.5</v>
      </c>
      <c r="BJ146" s="581">
        <f t="shared" si="944"/>
        <v>1259.7999999999975</v>
      </c>
      <c r="BK146" s="581">
        <f t="shared" ref="BK146:BN146" si="945">BK147-BK148</f>
        <v>575.5</v>
      </c>
      <c r="BL146" s="581">
        <f t="shared" si="945"/>
        <v>-446.59999999999854</v>
      </c>
      <c r="BM146" s="2543">
        <f t="shared" si="945"/>
        <v>1914.9049750000004</v>
      </c>
      <c r="BN146" s="581">
        <f t="shared" si="945"/>
        <v>2892.5599999999995</v>
      </c>
      <c r="BO146" s="581">
        <f t="shared" ref="BO146:BS146" si="946">BO147-BO148</f>
        <v>3127.3978355520157</v>
      </c>
      <c r="BP146" s="691">
        <f t="shared" si="946"/>
        <v>3179.7081115983956</v>
      </c>
      <c r="BQ146" s="691">
        <f t="shared" si="946"/>
        <v>3301.958952809011</v>
      </c>
      <c r="BR146" s="691">
        <f t="shared" si="946"/>
        <v>3426.8790956275097</v>
      </c>
      <c r="BS146" s="691">
        <f t="shared" si="946"/>
        <v>3547.2049932194941</v>
      </c>
    </row>
    <row r="147" spans="2:71">
      <c r="B147" s="102" t="s">
        <v>533</v>
      </c>
      <c r="C147" s="271">
        <f t="shared" ref="C147:AL147" si="947">+C100+C102+C103</f>
        <v>2102.433</v>
      </c>
      <c r="D147" s="271">
        <f t="shared" si="947"/>
        <v>2053.355</v>
      </c>
      <c r="E147" s="271">
        <f t="shared" si="947"/>
        <v>2423.319</v>
      </c>
      <c r="F147" s="271">
        <f t="shared" si="947"/>
        <v>2193.08</v>
      </c>
      <c r="G147" s="271">
        <f t="shared" si="947"/>
        <v>2182.567</v>
      </c>
      <c r="H147" s="271">
        <f t="shared" si="947"/>
        <v>2308.7190000000001</v>
      </c>
      <c r="I147" s="271">
        <f t="shared" si="947"/>
        <v>2286.5370000000003</v>
      </c>
      <c r="J147" s="271">
        <f t="shared" si="947"/>
        <v>2217.232</v>
      </c>
      <c r="K147" s="271">
        <f t="shared" si="947"/>
        <v>2138.8829999999998</v>
      </c>
      <c r="L147" s="271">
        <f t="shared" si="947"/>
        <v>2182.6410000000001</v>
      </c>
      <c r="M147" s="271">
        <f t="shared" si="947"/>
        <v>3053.8579999999997</v>
      </c>
      <c r="N147" s="271">
        <f t="shared" si="947"/>
        <v>3159.8870000000002</v>
      </c>
      <c r="O147" s="271">
        <f t="shared" si="947"/>
        <v>3283.9369999999999</v>
      </c>
      <c r="P147" s="271">
        <f t="shared" si="947"/>
        <v>3312.0590000000002</v>
      </c>
      <c r="Q147" s="271">
        <f t="shared" si="947"/>
        <v>3602.9869999999996</v>
      </c>
      <c r="R147" s="271">
        <f t="shared" si="947"/>
        <v>3762.3089999999997</v>
      </c>
      <c r="S147" s="271">
        <f t="shared" si="947"/>
        <v>3717.018</v>
      </c>
      <c r="T147" s="271">
        <f t="shared" si="947"/>
        <v>3997.1959999999999</v>
      </c>
      <c r="U147" s="271">
        <f t="shared" si="947"/>
        <v>4285.2</v>
      </c>
      <c r="V147" s="271">
        <f t="shared" si="947"/>
        <v>3625.4999999999995</v>
      </c>
      <c r="W147" s="271">
        <f t="shared" si="947"/>
        <v>8095.9999999999991</v>
      </c>
      <c r="X147" s="271">
        <f t="shared" si="947"/>
        <v>8500.1</v>
      </c>
      <c r="Y147" s="271">
        <f t="shared" si="947"/>
        <v>9817.4000000000015</v>
      </c>
      <c r="Z147" s="271">
        <f t="shared" si="947"/>
        <v>9213.1</v>
      </c>
      <c r="AA147" s="271">
        <f t="shared" si="947"/>
        <v>10089.5</v>
      </c>
      <c r="AB147" s="271">
        <f t="shared" si="947"/>
        <v>9437.8000000000011</v>
      </c>
      <c r="AC147" s="271">
        <f t="shared" si="947"/>
        <v>10202.5</v>
      </c>
      <c r="AD147" s="271">
        <f t="shared" si="947"/>
        <v>10417.599999999999</v>
      </c>
      <c r="AE147" s="271">
        <f t="shared" si="947"/>
        <v>9277.4</v>
      </c>
      <c r="AF147" s="271">
        <f t="shared" si="947"/>
        <v>9830.9999999999982</v>
      </c>
      <c r="AG147" s="271">
        <f t="shared" si="947"/>
        <v>9981.4000000000015</v>
      </c>
      <c r="AH147" s="271">
        <f t="shared" si="947"/>
        <v>9126.7999999999993</v>
      </c>
      <c r="AI147" s="271">
        <f t="shared" si="947"/>
        <v>9083</v>
      </c>
      <c r="AJ147" s="271">
        <f t="shared" si="947"/>
        <v>9130</v>
      </c>
      <c r="AK147" s="271">
        <f t="shared" si="947"/>
        <v>9172.4</v>
      </c>
      <c r="AL147" s="271">
        <f t="shared" si="947"/>
        <v>7418.8000000000011</v>
      </c>
      <c r="AM147" s="271">
        <f t="shared" ref="AM147:AP147" si="948">+AM100+AM104+AM102+AM103</f>
        <v>5906.579999999999</v>
      </c>
      <c r="AN147" s="271">
        <f t="shared" si="948"/>
        <v>6797.4170000000004</v>
      </c>
      <c r="AO147" s="271">
        <f t="shared" si="948"/>
        <v>7721.4100000000008</v>
      </c>
      <c r="AP147" s="271">
        <f t="shared" si="948"/>
        <v>7735.8590000000004</v>
      </c>
      <c r="AQ147" s="271">
        <f>+AQ100+AQ104+AQ102+AQ103</f>
        <v>7698.8150000000005</v>
      </c>
      <c r="AR147" s="271">
        <f t="shared" ref="AR147:AS147" si="949">+AR100+AR104+AR102+AR103</f>
        <v>8327.384</v>
      </c>
      <c r="AS147" s="271">
        <f t="shared" si="949"/>
        <v>8740.2829999999994</v>
      </c>
      <c r="AT147" s="271">
        <f t="shared" ref="AT147" si="950">+AT100+AT104+AT102+AT103</f>
        <v>8976.4279999999999</v>
      </c>
      <c r="AU147" s="686">
        <f>+AU100+AU104+AU102+AU103</f>
        <v>7155.408805865557</v>
      </c>
      <c r="AV147" s="686">
        <f t="shared" ref="AV147:AX147" si="951">+AV100+AV104+AV102+AV103</f>
        <v>7627.9311062762745</v>
      </c>
      <c r="AW147" s="686">
        <f t="shared" si="951"/>
        <v>8233.7377121578993</v>
      </c>
      <c r="AX147" s="686">
        <f t="shared" si="951"/>
        <v>9186.7572557801905</v>
      </c>
      <c r="AY147" s="146"/>
      <c r="AZ147" s="686">
        <v>8558.73842888125</v>
      </c>
      <c r="BA147" s="1074"/>
      <c r="BB147" s="146"/>
      <c r="BC147" s="146"/>
      <c r="BD147" s="271">
        <f t="shared" ref="BD147:BL147" si="952">+BD100+BD102+BD103</f>
        <v>2193.08</v>
      </c>
      <c r="BE147" s="271">
        <f t="shared" si="952"/>
        <v>2217.232</v>
      </c>
      <c r="BF147" s="271">
        <f t="shared" si="952"/>
        <v>3159.8870000000002</v>
      </c>
      <c r="BG147" s="271">
        <f t="shared" si="952"/>
        <v>3762.3089999999997</v>
      </c>
      <c r="BH147" s="271">
        <f t="shared" si="952"/>
        <v>3625.4999999999995</v>
      </c>
      <c r="BI147" s="271">
        <f t="shared" si="952"/>
        <v>9213.1</v>
      </c>
      <c r="BJ147" s="271">
        <f t="shared" si="952"/>
        <v>10417.599999999999</v>
      </c>
      <c r="BK147" s="271">
        <f t="shared" si="952"/>
        <v>9126.7999999999993</v>
      </c>
      <c r="BL147" s="271">
        <f t="shared" si="952"/>
        <v>7418.8000000000011</v>
      </c>
      <c r="BM147" s="2529">
        <f t="shared" ref="BM147" si="953">+BM100+BM104+BM102+BM103</f>
        <v>7735.8590000000004</v>
      </c>
      <c r="BN147" s="271">
        <f>+BN100+BN104+BN102+BN103</f>
        <v>8976.4279999999999</v>
      </c>
      <c r="BO147" s="271">
        <f t="shared" ref="BO147:BS147" si="954">+BO100+BO104+BO102+BO103</f>
        <v>9186.7572557801905</v>
      </c>
      <c r="BP147" s="686">
        <f t="shared" si="954"/>
        <v>9576.8819093026068</v>
      </c>
      <c r="BQ147" s="686">
        <f t="shared" si="954"/>
        <v>9946.8212421102144</v>
      </c>
      <c r="BR147" s="686">
        <f t="shared" si="954"/>
        <v>10326.681694122906</v>
      </c>
      <c r="BS147" s="686">
        <f t="shared" si="954"/>
        <v>10692.715001911118</v>
      </c>
    </row>
    <row r="148" spans="2:71">
      <c r="B148" s="102" t="s">
        <v>534</v>
      </c>
      <c r="C148" s="272">
        <f t="shared" ref="C148:AL148" si="955">C119+C122+C123</f>
        <v>1647.0410000000002</v>
      </c>
      <c r="D148" s="272">
        <f t="shared" si="955"/>
        <v>1669.0630000000001</v>
      </c>
      <c r="E148" s="272">
        <f t="shared" si="955"/>
        <v>2115.3269999999998</v>
      </c>
      <c r="F148" s="272">
        <f t="shared" si="955"/>
        <v>2052.0479999999998</v>
      </c>
      <c r="G148" s="272">
        <f t="shared" si="955"/>
        <v>1904.1690000000001</v>
      </c>
      <c r="H148" s="272">
        <f t="shared" si="955"/>
        <v>1917.067</v>
      </c>
      <c r="I148" s="272">
        <f t="shared" si="955"/>
        <v>1920.78</v>
      </c>
      <c r="J148" s="272">
        <f t="shared" si="955"/>
        <v>2098.4839999999999</v>
      </c>
      <c r="K148" s="272">
        <f t="shared" si="955"/>
        <v>1753.2339999999999</v>
      </c>
      <c r="L148" s="272">
        <f t="shared" si="955"/>
        <v>1918.443</v>
      </c>
      <c r="M148" s="272">
        <f t="shared" si="955"/>
        <v>2374.83</v>
      </c>
      <c r="N148" s="272">
        <f t="shared" si="955"/>
        <v>2337.5830000000001</v>
      </c>
      <c r="O148" s="272">
        <f t="shared" si="955"/>
        <v>2065.73</v>
      </c>
      <c r="P148" s="272">
        <f t="shared" si="955"/>
        <v>2040.5519999999999</v>
      </c>
      <c r="Q148" s="272">
        <f t="shared" si="955"/>
        <v>2252.9800000000005</v>
      </c>
      <c r="R148" s="272">
        <f t="shared" si="955"/>
        <v>2804.2950000000001</v>
      </c>
      <c r="S148" s="272">
        <f t="shared" si="955"/>
        <v>2355.1239999999998</v>
      </c>
      <c r="T148" s="272">
        <f t="shared" si="955"/>
        <v>2611.9830000000002</v>
      </c>
      <c r="U148" s="272">
        <f t="shared" si="955"/>
        <v>2633.1</v>
      </c>
      <c r="V148" s="272">
        <f t="shared" si="955"/>
        <v>3099.2999999999997</v>
      </c>
      <c r="W148" s="272">
        <f t="shared" si="955"/>
        <v>6824.6</v>
      </c>
      <c r="X148" s="272">
        <f t="shared" si="955"/>
        <v>7626.1</v>
      </c>
      <c r="Y148" s="272">
        <f t="shared" si="955"/>
        <v>8897.5</v>
      </c>
      <c r="Z148" s="272">
        <f t="shared" si="955"/>
        <v>9341.6</v>
      </c>
      <c r="AA148" s="272">
        <f t="shared" si="955"/>
        <v>8828.7000000000007</v>
      </c>
      <c r="AB148" s="272">
        <f t="shared" si="955"/>
        <v>8606.7999999999993</v>
      </c>
      <c r="AC148" s="272">
        <f t="shared" si="955"/>
        <v>8236.2000000000007</v>
      </c>
      <c r="AD148" s="272">
        <f t="shared" si="955"/>
        <v>9157.8000000000011</v>
      </c>
      <c r="AE148" s="272">
        <f t="shared" si="955"/>
        <v>7326.8000000000011</v>
      </c>
      <c r="AF148" s="272">
        <f t="shared" si="955"/>
        <v>7533.2999999999993</v>
      </c>
      <c r="AG148" s="272">
        <f t="shared" si="955"/>
        <v>7885.0999999999995</v>
      </c>
      <c r="AH148" s="272">
        <f t="shared" si="955"/>
        <v>8551.2999999999993</v>
      </c>
      <c r="AI148" s="272">
        <f t="shared" si="955"/>
        <v>7604.8</v>
      </c>
      <c r="AJ148" s="272">
        <f t="shared" si="955"/>
        <v>7370.9</v>
      </c>
      <c r="AK148" s="272">
        <f t="shared" si="955"/>
        <v>7305.7</v>
      </c>
      <c r="AL148" s="272">
        <f t="shared" si="955"/>
        <v>7865.4</v>
      </c>
      <c r="AM148" s="272">
        <f t="shared" ref="AM148:AP148" si="956">AM119+AM122+AM123+AM124</f>
        <v>4852.3950000000004</v>
      </c>
      <c r="AN148" s="272">
        <f t="shared" si="956"/>
        <v>5028.0590000000002</v>
      </c>
      <c r="AO148" s="272">
        <f t="shared" si="956"/>
        <v>5703.6360000000004</v>
      </c>
      <c r="AP148" s="272">
        <f t="shared" si="956"/>
        <v>5820.954025</v>
      </c>
      <c r="AQ148" s="272">
        <f>AQ119+AQ122+AQ123+AQ124</f>
        <v>5747.8779999999997</v>
      </c>
      <c r="AR148" s="272">
        <f t="shared" ref="AR148" si="957">AR119+AR122+AR123+AR124</f>
        <v>5840.2509999999993</v>
      </c>
      <c r="AS148" s="272">
        <f>AS119+AS122+AS123+AS124</f>
        <v>6092.8440000000001</v>
      </c>
      <c r="AT148" s="272">
        <f>AT119+AT122+AT123+AT124</f>
        <v>6083.8680000000004</v>
      </c>
      <c r="AU148" s="686">
        <f t="shared" ref="AU148:AX148" si="958">AU119+AU122+AU123+AU124</f>
        <v>4789.4999898732649</v>
      </c>
      <c r="AV148" s="686">
        <f t="shared" si="958"/>
        <v>5140.051514531483</v>
      </c>
      <c r="AW148" s="686">
        <f t="shared" si="958"/>
        <v>5420.348982817155</v>
      </c>
      <c r="AX148" s="686">
        <f t="shared" si="958"/>
        <v>6059.3594202281747</v>
      </c>
      <c r="AY148" s="146"/>
      <c r="AZ148" s="686">
        <v>5864.9864202546105</v>
      </c>
      <c r="BA148" s="1074"/>
      <c r="BB148" s="146"/>
      <c r="BC148" s="146"/>
      <c r="BD148" s="272">
        <f t="shared" ref="BD148:BL148" si="959">BD119+BD122+BD123</f>
        <v>2052.0479999999998</v>
      </c>
      <c r="BE148" s="272">
        <f t="shared" si="959"/>
        <v>2098.4839999999999</v>
      </c>
      <c r="BF148" s="272">
        <f t="shared" si="959"/>
        <v>2337.5830000000001</v>
      </c>
      <c r="BG148" s="272">
        <f t="shared" si="959"/>
        <v>2804.2950000000001</v>
      </c>
      <c r="BH148" s="272">
        <f t="shared" si="959"/>
        <v>3099.2999999999997</v>
      </c>
      <c r="BI148" s="272">
        <f t="shared" si="959"/>
        <v>9341.6</v>
      </c>
      <c r="BJ148" s="272">
        <f t="shared" si="959"/>
        <v>9157.8000000000011</v>
      </c>
      <c r="BK148" s="272">
        <f t="shared" si="959"/>
        <v>8551.2999999999993</v>
      </c>
      <c r="BL148" s="272">
        <f t="shared" si="959"/>
        <v>7865.4</v>
      </c>
      <c r="BM148" s="2544">
        <f t="shared" ref="BM148:BN148" si="960">BM119+BM122+BM123+BM124</f>
        <v>5820.954025</v>
      </c>
      <c r="BN148" s="272">
        <f t="shared" si="960"/>
        <v>6083.8680000000004</v>
      </c>
      <c r="BO148" s="272">
        <f t="shared" ref="BO148:BS148" si="961">BO119+BO122+BO123+BO124</f>
        <v>6059.3594202281747</v>
      </c>
      <c r="BP148" s="686">
        <f t="shared" si="961"/>
        <v>6397.1737977042112</v>
      </c>
      <c r="BQ148" s="686">
        <f t="shared" si="961"/>
        <v>6644.8622893012034</v>
      </c>
      <c r="BR148" s="686">
        <f t="shared" si="961"/>
        <v>6899.8025984953965</v>
      </c>
      <c r="BS148" s="686">
        <f t="shared" si="961"/>
        <v>7145.5100086916236</v>
      </c>
    </row>
    <row r="149" spans="2:71" s="579" customFormat="1">
      <c r="B149" s="580" t="s">
        <v>535</v>
      </c>
      <c r="C149" s="581">
        <f t="shared" ref="C149:AL149" si="962">C112+C113</f>
        <v>2432.96</v>
      </c>
      <c r="D149" s="581">
        <f t="shared" si="962"/>
        <v>2439.5259999999998</v>
      </c>
      <c r="E149" s="581">
        <f t="shared" si="962"/>
        <v>2533.6260000000002</v>
      </c>
      <c r="F149" s="581">
        <f t="shared" si="962"/>
        <v>2568.8310000000001</v>
      </c>
      <c r="G149" s="581">
        <f t="shared" si="962"/>
        <v>2526.877</v>
      </c>
      <c r="H149" s="581">
        <f t="shared" si="962"/>
        <v>2471.3289999999997</v>
      </c>
      <c r="I149" s="581">
        <f t="shared" si="962"/>
        <v>2477.0120000000002</v>
      </c>
      <c r="J149" s="581">
        <f t="shared" si="962"/>
        <v>2518.942</v>
      </c>
      <c r="K149" s="581">
        <f t="shared" si="962"/>
        <v>2641.7200000000003</v>
      </c>
      <c r="L149" s="581">
        <f t="shared" si="962"/>
        <v>2641.3150000000001</v>
      </c>
      <c r="M149" s="581">
        <f t="shared" si="962"/>
        <v>6599.5860000000002</v>
      </c>
      <c r="N149" s="581">
        <f t="shared" si="962"/>
        <v>6752.2830000000004</v>
      </c>
      <c r="O149" s="581">
        <f t="shared" si="962"/>
        <v>6796.5789999999997</v>
      </c>
      <c r="P149" s="581">
        <f t="shared" si="962"/>
        <v>7250.0929999999989</v>
      </c>
      <c r="Q149" s="581">
        <f t="shared" si="962"/>
        <v>7403.4319999999998</v>
      </c>
      <c r="R149" s="581">
        <f t="shared" si="962"/>
        <v>7187.259</v>
      </c>
      <c r="S149" s="581">
        <f t="shared" si="962"/>
        <v>6592.7650000000003</v>
      </c>
      <c r="T149" s="581">
        <f t="shared" si="962"/>
        <v>6385.8220000000001</v>
      </c>
      <c r="U149" s="581">
        <f t="shared" si="962"/>
        <v>6640.1210000000001</v>
      </c>
      <c r="V149" s="581">
        <f t="shared" si="962"/>
        <v>6850.4009999999998</v>
      </c>
      <c r="W149" s="581">
        <f t="shared" si="962"/>
        <v>32403.8</v>
      </c>
      <c r="X149" s="581">
        <f t="shared" si="962"/>
        <v>33782</v>
      </c>
      <c r="Y149" s="581">
        <f t="shared" si="962"/>
        <v>34777.599999999999</v>
      </c>
      <c r="Z149" s="581">
        <f t="shared" si="962"/>
        <v>32152.199999999997</v>
      </c>
      <c r="AA149" s="581">
        <f t="shared" si="962"/>
        <v>33686.1</v>
      </c>
      <c r="AB149" s="581">
        <f t="shared" si="962"/>
        <v>30575.1</v>
      </c>
      <c r="AC149" s="581">
        <f t="shared" si="962"/>
        <v>31933.5</v>
      </c>
      <c r="AD149" s="581">
        <f t="shared" si="962"/>
        <v>32235</v>
      </c>
      <c r="AE149" s="581">
        <f t="shared" si="962"/>
        <v>28105.7</v>
      </c>
      <c r="AF149" s="581">
        <f t="shared" si="962"/>
        <v>29205.1</v>
      </c>
      <c r="AG149" s="581">
        <f t="shared" si="962"/>
        <v>28412.799999999999</v>
      </c>
      <c r="AH149" s="581">
        <f t="shared" si="962"/>
        <v>28227.200000000001</v>
      </c>
      <c r="AI149" s="581">
        <f t="shared" si="962"/>
        <v>27580.400000000001</v>
      </c>
      <c r="AJ149" s="581">
        <f t="shared" si="962"/>
        <v>26480.9</v>
      </c>
      <c r="AK149" s="581">
        <f t="shared" si="962"/>
        <v>26156.3</v>
      </c>
      <c r="AL149" s="581">
        <f t="shared" si="962"/>
        <v>20027.5</v>
      </c>
      <c r="AM149" s="581">
        <f t="shared" ref="AM149:AP149" si="963">AM112+AM113</f>
        <v>2517.6949999999997</v>
      </c>
      <c r="AN149" s="581">
        <f t="shared" si="963"/>
        <v>2559.1459999999997</v>
      </c>
      <c r="AO149" s="581">
        <f t="shared" si="963"/>
        <v>2761.5370000000003</v>
      </c>
      <c r="AP149" s="581">
        <f t="shared" si="963"/>
        <v>2838.0540000000001</v>
      </c>
      <c r="AQ149" s="581">
        <f>AQ112+AQ113</f>
        <v>2743.056</v>
      </c>
      <c r="AR149" s="581">
        <f t="shared" ref="AR149:AS149" si="964">AR112+AR113</f>
        <v>2642.7939999999999</v>
      </c>
      <c r="AS149" s="581">
        <f t="shared" si="964"/>
        <v>12630.727999999999</v>
      </c>
      <c r="AT149" s="581">
        <f t="shared" ref="AT149" si="965">AT112+AT113</f>
        <v>12859.819</v>
      </c>
      <c r="AU149" s="691">
        <f t="shared" ref="AU149:AX149" si="966">AU112+AU113</f>
        <v>12805.993796130278</v>
      </c>
      <c r="AV149" s="691">
        <f t="shared" si="966"/>
        <v>12776.210452073785</v>
      </c>
      <c r="AW149" s="691">
        <f t="shared" si="966"/>
        <v>12612.543095234829</v>
      </c>
      <c r="AX149" s="691">
        <f t="shared" si="966"/>
        <v>12575.055229059688</v>
      </c>
      <c r="AY149" s="582"/>
      <c r="AZ149" s="691">
        <v>12607.205728743484</v>
      </c>
      <c r="BA149" s="1077"/>
      <c r="BB149" s="582"/>
      <c r="BC149" s="582"/>
      <c r="BD149" s="581">
        <f t="shared" ref="BD149:BL149" si="967">BD112+BD113</f>
        <v>2568.8310000000001</v>
      </c>
      <c r="BE149" s="581">
        <f t="shared" si="967"/>
        <v>2518.942</v>
      </c>
      <c r="BF149" s="581">
        <f t="shared" si="967"/>
        <v>6752.2830000000004</v>
      </c>
      <c r="BG149" s="581">
        <f t="shared" si="967"/>
        <v>7187.259</v>
      </c>
      <c r="BH149" s="581">
        <f t="shared" si="967"/>
        <v>6850.4009999999998</v>
      </c>
      <c r="BI149" s="581">
        <f t="shared" si="967"/>
        <v>32152.199999999997</v>
      </c>
      <c r="BJ149" s="581">
        <f t="shared" si="967"/>
        <v>32235</v>
      </c>
      <c r="BK149" s="581">
        <f t="shared" si="967"/>
        <v>28227.200000000001</v>
      </c>
      <c r="BL149" s="581">
        <f t="shared" si="967"/>
        <v>20027.5</v>
      </c>
      <c r="BM149" s="2543">
        <f t="shared" ref="BM149:BN149" si="968">BM112+BM113</f>
        <v>2838.0540000000001</v>
      </c>
      <c r="BN149" s="581">
        <f t="shared" si="968"/>
        <v>12859.819</v>
      </c>
      <c r="BO149" s="581">
        <f t="shared" ref="BO149:BS149" si="969">BO112+BO113</f>
        <v>12575.055229059688</v>
      </c>
      <c r="BP149" s="691">
        <f t="shared" si="969"/>
        <v>12437.390614080856</v>
      </c>
      <c r="BQ149" s="691">
        <f t="shared" si="969"/>
        <v>12366.371060787422</v>
      </c>
      <c r="BR149" s="691">
        <f t="shared" si="969"/>
        <v>12340.94500649912</v>
      </c>
      <c r="BS149" s="691">
        <f t="shared" si="969"/>
        <v>12345.505432626636</v>
      </c>
    </row>
    <row r="150" spans="2:71">
      <c r="B150" s="102"/>
      <c r="C150" s="288"/>
      <c r="D150" s="288"/>
      <c r="E150" s="288"/>
      <c r="F150" s="288"/>
      <c r="G150" s="288"/>
      <c r="H150" s="288"/>
      <c r="I150" s="288"/>
      <c r="J150" s="288"/>
      <c r="K150" s="288"/>
      <c r="L150" s="288"/>
      <c r="M150" s="288"/>
      <c r="N150" s="288"/>
      <c r="O150" s="288"/>
      <c r="P150" s="288"/>
      <c r="Q150" s="288"/>
      <c r="R150" s="288"/>
      <c r="S150" s="288"/>
      <c r="T150" s="288"/>
      <c r="U150" s="288"/>
      <c r="V150" s="288"/>
      <c r="W150" s="288"/>
      <c r="X150" s="288"/>
      <c r="Y150" s="288"/>
      <c r="Z150" s="288"/>
      <c r="AA150" s="288"/>
      <c r="AB150" s="288"/>
      <c r="AC150" s="288"/>
      <c r="AD150" s="288"/>
      <c r="AE150" s="288">
        <f>8*(FAT!BN565*0.7)</f>
        <v>1203.7123399204504</v>
      </c>
      <c r="AF150" s="288"/>
      <c r="AG150" s="288"/>
      <c r="AH150" s="288"/>
      <c r="AI150" s="288"/>
      <c r="AJ150" s="288"/>
      <c r="AK150" s="288"/>
      <c r="AL150" s="288"/>
      <c r="AM150" s="288"/>
      <c r="AN150" s="288"/>
      <c r="AO150" s="288"/>
      <c r="AP150" s="288"/>
      <c r="AQ150" s="288"/>
      <c r="AR150" s="288"/>
      <c r="AS150" s="288"/>
      <c r="AT150" s="288"/>
      <c r="AU150" s="692"/>
      <c r="AV150" s="692"/>
      <c r="AW150" s="692"/>
      <c r="AX150" s="692"/>
      <c r="AY150" s="146"/>
      <c r="AZ150" s="692"/>
      <c r="BA150" s="1074"/>
      <c r="BB150" s="146"/>
      <c r="BC150" s="146"/>
      <c r="BD150" s="273"/>
      <c r="BE150" s="273"/>
      <c r="BF150" s="273"/>
      <c r="BG150" s="273"/>
      <c r="BH150" s="273"/>
      <c r="BI150" s="273"/>
      <c r="BJ150" s="273"/>
      <c r="BK150" s="273"/>
      <c r="BL150" s="273"/>
      <c r="BM150" s="2609"/>
      <c r="BN150" s="273"/>
      <c r="BO150" s="273"/>
      <c r="BP150" s="692"/>
      <c r="BQ150" s="692"/>
      <c r="BR150" s="692"/>
      <c r="BS150" s="692"/>
    </row>
    <row r="151" spans="2:71" s="2670" customFormat="1" ht="12">
      <c r="B151" s="2671"/>
      <c r="C151" s="2672">
        <f t="shared" ref="C151:U151" si="970">+C152-C145</f>
        <v>0</v>
      </c>
      <c r="D151" s="2672">
        <f t="shared" si="970"/>
        <v>0</v>
      </c>
      <c r="E151" s="2672">
        <f t="shared" si="970"/>
        <v>0</v>
      </c>
      <c r="F151" s="2672">
        <f t="shared" si="970"/>
        <v>0</v>
      </c>
      <c r="G151" s="2672">
        <f t="shared" si="970"/>
        <v>0</v>
      </c>
      <c r="H151" s="2672">
        <f t="shared" si="970"/>
        <v>0</v>
      </c>
      <c r="I151" s="2672">
        <f t="shared" si="970"/>
        <v>0</v>
      </c>
      <c r="J151" s="2672">
        <f t="shared" si="970"/>
        <v>0</v>
      </c>
      <c r="K151" s="2672">
        <f t="shared" si="970"/>
        <v>0</v>
      </c>
      <c r="L151" s="2672">
        <f t="shared" si="970"/>
        <v>0</v>
      </c>
      <c r="M151" s="2672">
        <f t="shared" si="970"/>
        <v>0</v>
      </c>
      <c r="N151" s="2672">
        <f t="shared" si="970"/>
        <v>0</v>
      </c>
      <c r="O151" s="2672">
        <f t="shared" si="970"/>
        <v>0</v>
      </c>
      <c r="P151" s="2672">
        <f t="shared" si="970"/>
        <v>0</v>
      </c>
      <c r="Q151" s="2672">
        <f t="shared" si="970"/>
        <v>0</v>
      </c>
      <c r="R151" s="2672">
        <f t="shared" si="970"/>
        <v>0</v>
      </c>
      <c r="S151" s="2672">
        <f t="shared" si="970"/>
        <v>0</v>
      </c>
      <c r="T151" s="2672">
        <f t="shared" si="970"/>
        <v>0</v>
      </c>
      <c r="U151" s="2672">
        <f t="shared" si="970"/>
        <v>2.3000000001047738E-2</v>
      </c>
      <c r="V151" s="2672">
        <f t="shared" ref="V151:Y151" si="971">+V152-V145</f>
        <v>-5.0000000001091394E-3</v>
      </c>
      <c r="W151" s="2672">
        <f t="shared" si="971"/>
        <v>-0.19999999999708962</v>
      </c>
      <c r="X151" s="2672">
        <f t="shared" si="971"/>
        <v>0</v>
      </c>
      <c r="Y151" s="2672">
        <f t="shared" si="971"/>
        <v>0</v>
      </c>
      <c r="Z151" s="2672">
        <f t="shared" ref="Z151:AA151" si="972">+Z152-Z145</f>
        <v>0</v>
      </c>
      <c r="AA151" s="2672">
        <f t="shared" si="972"/>
        <v>0</v>
      </c>
      <c r="AB151" s="2672">
        <f t="shared" ref="AB151:AC151" si="973">+AB152-AB145</f>
        <v>0</v>
      </c>
      <c r="AC151" s="2672">
        <f t="shared" si="973"/>
        <v>0</v>
      </c>
      <c r="AD151" s="2672">
        <f t="shared" ref="AD151:AE151" si="974">+AD152-AD145</f>
        <v>0</v>
      </c>
      <c r="AE151" s="2672">
        <f t="shared" si="974"/>
        <v>0</v>
      </c>
      <c r="AF151" s="2672">
        <f t="shared" ref="AF151:AG151" si="975">+AF152-AF145</f>
        <v>0</v>
      </c>
      <c r="AG151" s="2672">
        <f t="shared" si="975"/>
        <v>0</v>
      </c>
      <c r="AH151" s="2672">
        <f t="shared" ref="AH151:AI151" si="976">+AH152-AH145</f>
        <v>0</v>
      </c>
      <c r="AI151" s="2672">
        <f t="shared" si="976"/>
        <v>0</v>
      </c>
      <c r="AJ151" s="2672">
        <f t="shared" ref="AJ151:AK151" si="977">+AJ152-AJ145</f>
        <v>0</v>
      </c>
      <c r="AK151" s="2672">
        <f t="shared" si="977"/>
        <v>0</v>
      </c>
      <c r="AL151" s="2672">
        <f t="shared" ref="AL151:AP151" si="978">+AL152-AL145</f>
        <v>0</v>
      </c>
      <c r="AM151" s="2672">
        <f t="shared" si="978"/>
        <v>0</v>
      </c>
      <c r="AN151" s="2672">
        <f t="shared" si="978"/>
        <v>0</v>
      </c>
      <c r="AO151" s="2672">
        <f t="shared" si="978"/>
        <v>0</v>
      </c>
      <c r="AP151" s="2672">
        <f t="shared" si="978"/>
        <v>0</v>
      </c>
      <c r="AQ151" s="2672">
        <f t="shared" ref="AQ151" si="979">+AQ152-AQ145</f>
        <v>0</v>
      </c>
      <c r="AR151" s="2672">
        <f t="shared" ref="AR151:AS151" si="980">+AR152-AR145</f>
        <v>0</v>
      </c>
      <c r="AS151" s="2672">
        <f t="shared" si="980"/>
        <v>0</v>
      </c>
      <c r="AT151" s="2672">
        <f>+AT152-AT145-AT143</f>
        <v>-1.8189894035458565E-12</v>
      </c>
      <c r="AU151" s="2672">
        <f t="shared" ref="AU151:AX151" si="981">+AU152-AU145</f>
        <v>0</v>
      </c>
      <c r="AV151" s="2672">
        <f t="shared" si="981"/>
        <v>0</v>
      </c>
      <c r="AW151" s="2672">
        <f t="shared" si="981"/>
        <v>0</v>
      </c>
      <c r="AX151" s="2672">
        <f t="shared" si="981"/>
        <v>0</v>
      </c>
      <c r="AZ151" s="2672">
        <v>0</v>
      </c>
      <c r="BA151" s="2673"/>
      <c r="BD151" s="2672">
        <f t="shared" ref="BD151:BJ151" si="982">+BD152-BD145</f>
        <v>0</v>
      </c>
      <c r="BE151" s="2672">
        <f t="shared" si="982"/>
        <v>0</v>
      </c>
      <c r="BF151" s="2672">
        <f t="shared" si="982"/>
        <v>0</v>
      </c>
      <c r="BG151" s="2672">
        <f t="shared" si="982"/>
        <v>0</v>
      </c>
      <c r="BH151" s="2672">
        <f t="shared" si="982"/>
        <v>-5.0000000001091394E-3</v>
      </c>
      <c r="BI151" s="2672">
        <f t="shared" si="982"/>
        <v>0</v>
      </c>
      <c r="BJ151" s="2672">
        <f t="shared" si="982"/>
        <v>0</v>
      </c>
      <c r="BK151" s="2672">
        <f t="shared" ref="BK151:BN151" si="983">+BK152-BK145</f>
        <v>0</v>
      </c>
      <c r="BL151" s="2672">
        <f t="shared" si="983"/>
        <v>0</v>
      </c>
      <c r="BM151" s="2674">
        <f t="shared" si="983"/>
        <v>0</v>
      </c>
      <c r="BN151" s="2672">
        <f t="shared" si="983"/>
        <v>-3.9999999989959178E-3</v>
      </c>
      <c r="BO151" s="2672">
        <f t="shared" ref="BO151:BS151" si="984">+BO152-BO145</f>
        <v>0</v>
      </c>
      <c r="BP151" s="2672">
        <f t="shared" si="984"/>
        <v>0</v>
      </c>
      <c r="BQ151" s="2672">
        <f t="shared" si="984"/>
        <v>0</v>
      </c>
      <c r="BR151" s="2672">
        <f t="shared" si="984"/>
        <v>0</v>
      </c>
      <c r="BS151" s="2672">
        <f t="shared" si="984"/>
        <v>0</v>
      </c>
    </row>
    <row r="152" spans="2:71" s="105" customFormat="1">
      <c r="B152" s="584" t="s">
        <v>531</v>
      </c>
      <c r="C152" s="585">
        <f t="shared" ref="C152:AL152" si="985">C153+C159</f>
        <v>2888.3520000000003</v>
      </c>
      <c r="D152" s="585">
        <f t="shared" si="985"/>
        <v>2823.8179999999998</v>
      </c>
      <c r="E152" s="585">
        <f t="shared" si="985"/>
        <v>2841.6180000000004</v>
      </c>
      <c r="F152" s="585">
        <f t="shared" si="985"/>
        <v>2709.8629999999994</v>
      </c>
      <c r="G152" s="585">
        <f t="shared" si="985"/>
        <v>2805.2750000000005</v>
      </c>
      <c r="H152" s="585">
        <f t="shared" si="985"/>
        <v>2862.9810000000002</v>
      </c>
      <c r="I152" s="585">
        <f t="shared" si="985"/>
        <v>2842.7690000000002</v>
      </c>
      <c r="J152" s="585">
        <f t="shared" si="985"/>
        <v>2637.69</v>
      </c>
      <c r="K152" s="585">
        <f t="shared" si="985"/>
        <v>3027.3690000000006</v>
      </c>
      <c r="L152" s="585">
        <f t="shared" si="985"/>
        <v>2905.5129999999999</v>
      </c>
      <c r="M152" s="585">
        <f t="shared" si="985"/>
        <v>7278.6140000000014</v>
      </c>
      <c r="N152" s="585">
        <f t="shared" si="985"/>
        <v>7574.5869999999995</v>
      </c>
      <c r="O152" s="585">
        <f t="shared" si="985"/>
        <v>8014.7859999999991</v>
      </c>
      <c r="P152" s="585">
        <f t="shared" si="985"/>
        <v>8521.6</v>
      </c>
      <c r="Q152" s="585">
        <f t="shared" si="985"/>
        <v>8753.4390000000003</v>
      </c>
      <c r="R152" s="585">
        <f t="shared" si="985"/>
        <v>8145.2730000000001</v>
      </c>
      <c r="S152" s="585">
        <f t="shared" si="985"/>
        <v>7954.6589999999997</v>
      </c>
      <c r="T152" s="585">
        <f t="shared" si="985"/>
        <v>7771.0349999999999</v>
      </c>
      <c r="U152" s="585">
        <f t="shared" si="985"/>
        <v>8292.2440000000006</v>
      </c>
      <c r="V152" s="585">
        <f t="shared" si="985"/>
        <v>7376.5959999999995</v>
      </c>
      <c r="W152" s="585">
        <f t="shared" si="985"/>
        <v>33675</v>
      </c>
      <c r="X152" s="585">
        <f t="shared" si="985"/>
        <v>34656</v>
      </c>
      <c r="Y152" s="585">
        <f t="shared" si="985"/>
        <v>35697.5</v>
      </c>
      <c r="Z152" s="585">
        <f t="shared" si="985"/>
        <v>32023.699999999997</v>
      </c>
      <c r="AA152" s="585">
        <f t="shared" si="985"/>
        <v>34946.9</v>
      </c>
      <c r="AB152" s="585">
        <f t="shared" si="985"/>
        <v>31406.1</v>
      </c>
      <c r="AC152" s="585">
        <f t="shared" si="985"/>
        <v>33899.800000000003</v>
      </c>
      <c r="AD152" s="585">
        <f t="shared" si="985"/>
        <v>33494.799999999996</v>
      </c>
      <c r="AE152" s="585">
        <f t="shared" si="985"/>
        <v>30056.300000000003</v>
      </c>
      <c r="AF152" s="585">
        <f t="shared" si="985"/>
        <v>31502.800000000003</v>
      </c>
      <c r="AG152" s="585">
        <f t="shared" si="985"/>
        <v>30509.099999999995</v>
      </c>
      <c r="AH152" s="585">
        <f t="shared" si="985"/>
        <v>28802.7</v>
      </c>
      <c r="AI152" s="585">
        <f t="shared" si="985"/>
        <v>29058.600000000006</v>
      </c>
      <c r="AJ152" s="585">
        <f t="shared" si="985"/>
        <v>28240</v>
      </c>
      <c r="AK152" s="585">
        <f t="shared" si="985"/>
        <v>28022.999999999996</v>
      </c>
      <c r="AL152" s="585">
        <f t="shared" si="985"/>
        <v>19580.900000000001</v>
      </c>
      <c r="AM152" s="585">
        <f t="shared" ref="AM152:AP152" si="986">AM153+AM159</f>
        <v>3571.8799999999997</v>
      </c>
      <c r="AN152" s="585">
        <f t="shared" si="986"/>
        <v>4328.5040000000008</v>
      </c>
      <c r="AO152" s="585">
        <f t="shared" si="986"/>
        <v>4779.3109999999997</v>
      </c>
      <c r="AP152" s="585">
        <f t="shared" si="986"/>
        <v>4752.9589750000014</v>
      </c>
      <c r="AQ152" s="585">
        <f>AQ153+AQ159</f>
        <v>4693.9930000000004</v>
      </c>
      <c r="AR152" s="585">
        <f t="shared" ref="AR152:AS152" si="987">AR153+AR159</f>
        <v>5129.9269999999997</v>
      </c>
      <c r="AS152" s="585">
        <f t="shared" si="987"/>
        <v>15278.166999999998</v>
      </c>
      <c r="AT152" s="585">
        <f t="shared" ref="AT152" si="988">AT153+AT159</f>
        <v>15752.375</v>
      </c>
      <c r="AU152" s="685">
        <f t="shared" ref="AU152" si="989">AU153+AU159</f>
        <v>15171.902612122567</v>
      </c>
      <c r="AV152" s="685">
        <f t="shared" ref="AV152" si="990">AV153+AV159</f>
        <v>15264.090043818573</v>
      </c>
      <c r="AW152" s="685">
        <f t="shared" ref="AW152" si="991">AW153+AW159</f>
        <v>15425.931824575568</v>
      </c>
      <c r="AX152" s="685">
        <f t="shared" ref="AX152" si="992">AX153+AX159</f>
        <v>15702.453064611698</v>
      </c>
      <c r="AY152" s="264"/>
      <c r="AZ152" s="685">
        <v>15300.957737370121</v>
      </c>
      <c r="BA152" s="1076"/>
      <c r="BB152" s="264"/>
      <c r="BC152" s="264"/>
      <c r="BD152" s="144">
        <f t="shared" ref="BD152:BL152" si="993">BD153+BD159</f>
        <v>2709.8629999999994</v>
      </c>
      <c r="BE152" s="144">
        <f t="shared" si="993"/>
        <v>2637.69</v>
      </c>
      <c r="BF152" s="144">
        <f t="shared" si="993"/>
        <v>7574.5869999999995</v>
      </c>
      <c r="BG152" s="144">
        <f t="shared" si="993"/>
        <v>8145.2730000000001</v>
      </c>
      <c r="BH152" s="144">
        <f t="shared" si="993"/>
        <v>7376.5959999999995</v>
      </c>
      <c r="BI152" s="144">
        <f t="shared" si="993"/>
        <v>32023.699999999997</v>
      </c>
      <c r="BJ152" s="144">
        <f t="shared" si="993"/>
        <v>33494.799999999996</v>
      </c>
      <c r="BK152" s="144">
        <f t="shared" si="993"/>
        <v>28802.7</v>
      </c>
      <c r="BL152" s="144">
        <f t="shared" si="993"/>
        <v>19580.900000000001</v>
      </c>
      <c r="BM152" s="2528">
        <f t="shared" ref="BM152" si="994">BM153+BM159</f>
        <v>4752.9589750000014</v>
      </c>
      <c r="BN152" s="144">
        <f t="shared" ref="BN152:BO152" si="995">BN153+BN159</f>
        <v>15752.375</v>
      </c>
      <c r="BO152" s="144">
        <f t="shared" si="995"/>
        <v>15702.453064611698</v>
      </c>
      <c r="BP152" s="685">
        <f t="shared" ref="BP152" si="996">BP153+BP159</f>
        <v>15617.09872567925</v>
      </c>
      <c r="BQ152" s="685">
        <f t="shared" ref="BQ152" si="997">BQ153+BQ159</f>
        <v>15668.330013596438</v>
      </c>
      <c r="BR152" s="685">
        <f t="shared" ref="BR152" si="998">BR153+BR159</f>
        <v>15767.824102126629</v>
      </c>
      <c r="BS152" s="685">
        <f t="shared" ref="BS152" si="999">BS153+BS159</f>
        <v>15892.710425846131</v>
      </c>
    </row>
    <row r="153" spans="2:71" s="579" customFormat="1">
      <c r="B153" s="580" t="s">
        <v>536</v>
      </c>
      <c r="C153" s="586">
        <f t="shared" ref="C153:T153" si="1000">+C157-C156-C155</f>
        <v>2612.1310000000003</v>
      </c>
      <c r="D153" s="586">
        <f t="shared" si="1000"/>
        <v>2625.4139999999998</v>
      </c>
      <c r="E153" s="586">
        <f t="shared" si="1000"/>
        <v>3023.3710000000001</v>
      </c>
      <c r="F153" s="586">
        <f t="shared" si="1000"/>
        <v>2752.2009999999991</v>
      </c>
      <c r="G153" s="586">
        <f t="shared" si="1000"/>
        <v>2761.0430000000006</v>
      </c>
      <c r="H153" s="586">
        <f t="shared" si="1000"/>
        <v>2462.9050000000002</v>
      </c>
      <c r="I153" s="586">
        <f t="shared" si="1000"/>
        <v>2254.915</v>
      </c>
      <c r="J153" s="586">
        <f t="shared" si="1000"/>
        <v>2091.2420000000002</v>
      </c>
      <c r="K153" s="586">
        <f t="shared" si="1000"/>
        <v>2115.1840000000002</v>
      </c>
      <c r="L153" s="586">
        <f t="shared" si="1000"/>
        <v>1982.2759999999998</v>
      </c>
      <c r="M153" s="586">
        <f t="shared" si="1000"/>
        <v>5909.353000000001</v>
      </c>
      <c r="N153" s="586">
        <f t="shared" si="1000"/>
        <v>5661.463999999999</v>
      </c>
      <c r="O153" s="586">
        <f t="shared" si="1000"/>
        <v>6171.0509999999995</v>
      </c>
      <c r="P153" s="586">
        <f t="shared" si="1000"/>
        <v>6598.0929999999998</v>
      </c>
      <c r="Q153" s="586">
        <f t="shared" si="1000"/>
        <v>6924.6450000000004</v>
      </c>
      <c r="R153" s="586">
        <f t="shared" si="1000"/>
        <v>5563.72</v>
      </c>
      <c r="S153" s="586">
        <f t="shared" si="1000"/>
        <v>6030.2190000000001</v>
      </c>
      <c r="T153" s="586">
        <f t="shared" si="1000"/>
        <v>6003.2669999999998</v>
      </c>
      <c r="U153" s="586">
        <f t="shared" ref="U153:W153" si="1001">+U157-U156-U155</f>
        <v>6353.0000000000009</v>
      </c>
      <c r="V153" s="586">
        <f t="shared" si="1001"/>
        <v>5247</v>
      </c>
      <c r="W153" s="586">
        <f t="shared" si="1001"/>
        <v>14766.699999999999</v>
      </c>
      <c r="X153" s="586">
        <f t="shared" ref="X153:Y153" si="1002">+X157-X156-X155</f>
        <v>13275.799999999997</v>
      </c>
      <c r="Y153" s="586">
        <f t="shared" si="1002"/>
        <v>12567.1</v>
      </c>
      <c r="Z153" s="586">
        <f t="shared" ref="Z153:AA153" si="1003">+Z157-Z156-Z155</f>
        <v>5480.5999999999995</v>
      </c>
      <c r="AA153" s="586">
        <f t="shared" si="1003"/>
        <v>7434.8000000000011</v>
      </c>
      <c r="AB153" s="586">
        <f t="shared" ref="AB153:AC153" si="1004">+AB157-AB156-AB155</f>
        <v>6152.8999999999987</v>
      </c>
      <c r="AC153" s="586">
        <f t="shared" si="1004"/>
        <v>7334.9000000000015</v>
      </c>
      <c r="AD153" s="586">
        <f t="shared" ref="AD153:AE153" si="1005">+AD157-AD156-AD155</f>
        <v>6730.8999999999987</v>
      </c>
      <c r="AE153" s="586">
        <f t="shared" si="1005"/>
        <v>7330.2999999999993</v>
      </c>
      <c r="AF153" s="586">
        <f t="shared" ref="AF153:AG153" si="1006">+AF157-AF156-AF155</f>
        <v>8763.9000000000015</v>
      </c>
      <c r="AG153" s="586">
        <f t="shared" si="1006"/>
        <v>9078.5</v>
      </c>
      <c r="AH153" s="586">
        <f t="shared" ref="AH153:AI153" si="1007">+AH157-AH156-AH155</f>
        <v>7596.2000000000016</v>
      </c>
      <c r="AI153" s="586">
        <f t="shared" si="1007"/>
        <v>9442.9000000000015</v>
      </c>
      <c r="AJ153" s="586">
        <f t="shared" ref="AJ153:AK153" si="1008">+AJ157-AJ156-AJ155</f>
        <v>9933.3000000000011</v>
      </c>
      <c r="AK153" s="586">
        <f t="shared" si="1008"/>
        <v>-562.49999999999955</v>
      </c>
      <c r="AL153" s="586">
        <f t="shared" ref="AL153:AP153" si="1009">+AL157-AL156-AL155</f>
        <v>-1663.3000000000002</v>
      </c>
      <c r="AM153" s="586">
        <f t="shared" si="1009"/>
        <v>-2222.5729999999999</v>
      </c>
      <c r="AN153" s="586">
        <f t="shared" si="1009"/>
        <v>-919.53400000000011</v>
      </c>
      <c r="AO153" s="586">
        <f t="shared" si="1009"/>
        <v>-811.46599999999989</v>
      </c>
      <c r="AP153" s="586">
        <f t="shared" si="1009"/>
        <v>-1018.5699999999999</v>
      </c>
      <c r="AQ153" s="586">
        <f t="shared" ref="AQ153" si="1010">+AQ157-AQ156-AQ155</f>
        <v>-528.46199999999999</v>
      </c>
      <c r="AR153" s="586">
        <f t="shared" ref="AR153:AS153" si="1011">+AR157-AR156-AR155</f>
        <v>166.87900000000036</v>
      </c>
      <c r="AS153" s="586">
        <f t="shared" si="1011"/>
        <v>4080.2480000000005</v>
      </c>
      <c r="AT153" s="586">
        <f t="shared" ref="AT153" si="1012">+AT157-AT156-AT155</f>
        <v>3504.1290000000008</v>
      </c>
      <c r="AU153" s="691">
        <f t="shared" ref="AU153:AX153" si="1013">+AU157-AU156-AU155</f>
        <v>2782.5572296081377</v>
      </c>
      <c r="AV153" s="691">
        <f t="shared" si="1013"/>
        <v>2661.9008229069937</v>
      </c>
      <c r="AW153" s="691">
        <f t="shared" si="1013"/>
        <v>2709.6320401878288</v>
      </c>
      <c r="AX153" s="691">
        <f t="shared" si="1013"/>
        <v>2522.5584787880457</v>
      </c>
      <c r="AY153" s="582"/>
      <c r="AZ153" s="691">
        <v>3487.2856036908497</v>
      </c>
      <c r="BA153" s="1077"/>
      <c r="BB153" s="582"/>
      <c r="BC153" s="582"/>
      <c r="BD153" s="581">
        <f t="shared" ref="BD153:BJ153" si="1014">+BD157-BD156-BD155</f>
        <v>2752.2009999999991</v>
      </c>
      <c r="BE153" s="581">
        <f t="shared" si="1014"/>
        <v>2091.2420000000002</v>
      </c>
      <c r="BF153" s="581">
        <f t="shared" si="1014"/>
        <v>5661.463999999999</v>
      </c>
      <c r="BG153" s="581">
        <f t="shared" si="1014"/>
        <v>5563.72</v>
      </c>
      <c r="BH153" s="581">
        <f t="shared" si="1014"/>
        <v>5247</v>
      </c>
      <c r="BI153" s="581">
        <f t="shared" si="1014"/>
        <v>5480.5999999999995</v>
      </c>
      <c r="BJ153" s="581">
        <f t="shared" si="1014"/>
        <v>6730.8999999999987</v>
      </c>
      <c r="BK153" s="581">
        <f t="shared" ref="BK153:BN153" si="1015">+BK157-BK156-BK155</f>
        <v>7596.2000000000016</v>
      </c>
      <c r="BL153" s="581">
        <f t="shared" si="1015"/>
        <v>-1663.3000000000002</v>
      </c>
      <c r="BM153" s="2543">
        <f t="shared" si="1015"/>
        <v>-1018.5699999999999</v>
      </c>
      <c r="BN153" s="581">
        <f t="shared" si="1015"/>
        <v>3504.1290000000008</v>
      </c>
      <c r="BO153" s="581">
        <f t="shared" ref="BO153:BS153" si="1016">+BO157-BO156-BO155</f>
        <v>2522.5584787880457</v>
      </c>
      <c r="BP153" s="691">
        <f t="shared" si="1016"/>
        <v>1532.0607772358494</v>
      </c>
      <c r="BQ153" s="691">
        <f t="shared" si="1016"/>
        <v>514.39343533650253</v>
      </c>
      <c r="BR153" s="691">
        <f t="shared" si="1016"/>
        <v>-584.45841972506605</v>
      </c>
      <c r="BS153" s="691">
        <f t="shared" si="1016"/>
        <v>-1619.370144272898</v>
      </c>
    </row>
    <row r="154" spans="2:71" s="579" customFormat="1">
      <c r="B154" s="580"/>
      <c r="C154" s="586"/>
      <c r="D154" s="586"/>
      <c r="E154" s="586"/>
      <c r="F154" s="586"/>
      <c r="G154" s="586"/>
      <c r="H154" s="586"/>
      <c r="I154" s="586"/>
      <c r="J154" s="586"/>
      <c r="K154" s="586"/>
      <c r="L154" s="586"/>
      <c r="M154" s="586"/>
      <c r="N154" s="586"/>
      <c r="O154" s="586"/>
      <c r="P154" s="586"/>
      <c r="Q154" s="586"/>
      <c r="R154" s="586"/>
      <c r="S154" s="586"/>
      <c r="T154" s="586"/>
      <c r="U154" s="586"/>
      <c r="V154" s="586"/>
      <c r="W154" s="586"/>
      <c r="X154" s="586"/>
      <c r="Y154" s="586"/>
      <c r="Z154" s="586"/>
      <c r="AA154" s="586"/>
      <c r="AB154" s="586"/>
      <c r="AC154" s="586"/>
      <c r="AD154" s="586"/>
      <c r="AE154" s="586"/>
      <c r="AF154" s="586"/>
      <c r="AG154" s="586"/>
      <c r="AH154" s="586"/>
      <c r="AI154" s="586"/>
      <c r="AJ154" s="586"/>
      <c r="AK154" s="586">
        <f>+AK153/SUM(AH52:AK52)</f>
        <v>-0.26598818122541279</v>
      </c>
      <c r="AL154" s="586">
        <f>+AL153/SUM(AI52:AL52)</f>
        <v>-1.0932293933891806</v>
      </c>
      <c r="AM154" s="586">
        <f>+AM153/SUM(AJ52:AM52)</f>
        <v>-1.4356263525608455</v>
      </c>
      <c r="AN154" s="586">
        <f>+AN153/SUM(AK52:AN52)</f>
        <v>-0.51152205922205751</v>
      </c>
      <c r="AO154" s="586">
        <f>+AO153/SUM(AL52:AO52)</f>
        <v>-0.41275983429211127</v>
      </c>
      <c r="AP154" s="586">
        <f>+AP153/SUM(AM52:AP52)</f>
        <v>-0.55041416236807228</v>
      </c>
      <c r="AQ154" s="586">
        <f>+AQ153/SUM(AN52:AQ52)</f>
        <v>-0.2866407651444649</v>
      </c>
      <c r="AR154" s="586">
        <f>+AR153/SUM(AO52:AR52)</f>
        <v>9.2940910975662608E-2</v>
      </c>
      <c r="AS154" s="586">
        <f>+AS153/SUM(AP52:AS52)</f>
        <v>2.5489016953054286</v>
      </c>
      <c r="AT154" s="586">
        <f>+AT153/SUM(AQ52:AT52)</f>
        <v>1.5813664835449988</v>
      </c>
      <c r="AU154" s="691">
        <f>+AU153/SUM(AR52:AU52)</f>
        <v>1.2784260958567821</v>
      </c>
      <c r="AV154" s="691">
        <f>+AV153/SUM(AS52:AV52)</f>
        <v>1.2902328718950951</v>
      </c>
      <c r="AW154" s="691">
        <f>+AW153/SUM(AT52:AW52)</f>
        <v>1.2074697844208391</v>
      </c>
      <c r="AX154" s="691">
        <f>+AX153/SUM(AU52:AX52)</f>
        <v>0.96819701667917824</v>
      </c>
      <c r="AY154" s="582"/>
      <c r="AZ154" s="691">
        <v>1.4851551865695738</v>
      </c>
      <c r="BA154" s="1077"/>
      <c r="BB154" s="582"/>
      <c r="BC154" s="582"/>
      <c r="BD154" s="581"/>
      <c r="BE154" s="581"/>
      <c r="BF154" s="581"/>
      <c r="BG154" s="581"/>
      <c r="BH154" s="581"/>
      <c r="BI154" s="581"/>
      <c r="BJ154" s="581"/>
      <c r="BK154" s="581"/>
      <c r="BL154" s="581"/>
      <c r="BM154" s="2543">
        <f>+BM153/SUM(BJ52:BM52)</f>
        <v>-0.10817828384329782</v>
      </c>
      <c r="BN154" s="581">
        <f>+BN153/SUM(BK52:BN52)</f>
        <v>0.45380756736648759</v>
      </c>
      <c r="BO154" s="581">
        <f>+BO153/SUM(BL52:BO52)</f>
        <v>0.3078728675809787</v>
      </c>
      <c r="BP154" s="691">
        <f>+BP153/SUM(BM52:BP52)</f>
        <v>0.16374435853760594</v>
      </c>
      <c r="BQ154" s="691">
        <f>+BQ153/SUM(BN52:BQ52)</f>
        <v>5.0417380255766954E-2</v>
      </c>
      <c r="BR154" s="691">
        <f>+BR153/SUM(BO52:BR52)</f>
        <v>-5.4250412726709385E-2</v>
      </c>
      <c r="BS154" s="691">
        <f>+BS153/SUM(BP52:BS52)</f>
        <v>-0.1466288675898722</v>
      </c>
    </row>
    <row r="155" spans="2:71">
      <c r="B155" s="102" t="s">
        <v>537</v>
      </c>
      <c r="C155" s="272">
        <f t="shared" ref="C155:AL155" si="1017">C98</f>
        <v>1965.722</v>
      </c>
      <c r="D155" s="272">
        <f t="shared" si="1017"/>
        <v>1812.961</v>
      </c>
      <c r="E155" s="272">
        <f t="shared" si="1017"/>
        <v>1623.2639999999999</v>
      </c>
      <c r="F155" s="272">
        <f t="shared" si="1017"/>
        <v>1591.8430000000001</v>
      </c>
      <c r="G155" s="272">
        <f t="shared" si="1017"/>
        <v>1352.0219999999999</v>
      </c>
      <c r="H155" s="272">
        <f t="shared" si="1017"/>
        <v>1196.8150000000001</v>
      </c>
      <c r="I155" s="272">
        <f t="shared" si="1017"/>
        <v>785.01199999999994</v>
      </c>
      <c r="J155" s="272">
        <f t="shared" si="1017"/>
        <v>1091.47</v>
      </c>
      <c r="K155" s="272">
        <f t="shared" si="1017"/>
        <v>617.36699999999996</v>
      </c>
      <c r="L155" s="272">
        <f t="shared" si="1017"/>
        <v>649.81700000000001</v>
      </c>
      <c r="M155" s="272">
        <f t="shared" si="1017"/>
        <v>2210.4119999999998</v>
      </c>
      <c r="N155" s="272">
        <f t="shared" si="1017"/>
        <v>1693.1310000000001</v>
      </c>
      <c r="O155" s="272">
        <f t="shared" si="1017"/>
        <v>798.62800000000004</v>
      </c>
      <c r="P155" s="272">
        <f t="shared" si="1017"/>
        <v>643.56299999999999</v>
      </c>
      <c r="Q155" s="272">
        <f t="shared" si="1017"/>
        <v>586.75199999999995</v>
      </c>
      <c r="R155" s="272">
        <f t="shared" si="1017"/>
        <v>1215.048</v>
      </c>
      <c r="S155" s="272">
        <f t="shared" si="1017"/>
        <v>866.90599999999995</v>
      </c>
      <c r="T155" s="272">
        <f t="shared" si="1017"/>
        <v>882.67499999999995</v>
      </c>
      <c r="U155" s="272">
        <f t="shared" si="1017"/>
        <v>910.7</v>
      </c>
      <c r="V155" s="272">
        <f t="shared" si="1017"/>
        <v>4513.6000000000004</v>
      </c>
      <c r="W155" s="272">
        <f t="shared" si="1017"/>
        <v>3150.1</v>
      </c>
      <c r="X155" s="272">
        <f t="shared" si="1017"/>
        <v>4820.1000000000004</v>
      </c>
      <c r="Y155" s="272">
        <f t="shared" si="1017"/>
        <v>5059.8999999999996</v>
      </c>
      <c r="Z155" s="272">
        <f t="shared" si="1017"/>
        <v>5821.7</v>
      </c>
      <c r="AA155" s="272">
        <f t="shared" si="1017"/>
        <v>4326.3999999999996</v>
      </c>
      <c r="AB155" s="272">
        <f t="shared" si="1017"/>
        <v>4504.8</v>
      </c>
      <c r="AC155" s="272">
        <f t="shared" si="1017"/>
        <v>3054.4</v>
      </c>
      <c r="AD155" s="272">
        <f t="shared" si="1017"/>
        <v>4007.3</v>
      </c>
      <c r="AE155" s="272">
        <f t="shared" si="1017"/>
        <v>3038.5</v>
      </c>
      <c r="AF155" s="272">
        <f t="shared" si="1017"/>
        <v>3043.8</v>
      </c>
      <c r="AG155" s="272">
        <f t="shared" si="1017"/>
        <v>3252.3</v>
      </c>
      <c r="AH155" s="272">
        <f t="shared" si="1017"/>
        <v>4195.7</v>
      </c>
      <c r="AI155" s="272">
        <f t="shared" si="1017"/>
        <v>2224.5</v>
      </c>
      <c r="AJ155" s="272">
        <f t="shared" si="1017"/>
        <v>2275.1</v>
      </c>
      <c r="AK155" s="272">
        <f t="shared" si="1017"/>
        <v>3292.5</v>
      </c>
      <c r="AL155" s="272">
        <f t="shared" si="1017"/>
        <v>3750.9</v>
      </c>
      <c r="AM155" s="272">
        <f t="shared" ref="AM155:AR155" si="1018">AM98</f>
        <v>3146.9259999999999</v>
      </c>
      <c r="AN155" s="272">
        <f t="shared" si="1018"/>
        <v>643.20000000000005</v>
      </c>
      <c r="AO155" s="272">
        <f t="shared" si="1018"/>
        <v>1159.17</v>
      </c>
      <c r="AP155" s="272">
        <f t="shared" si="1018"/>
        <v>1741.1869999999999</v>
      </c>
      <c r="AQ155" s="272">
        <f t="shared" si="1018"/>
        <v>1563.367</v>
      </c>
      <c r="AR155" s="272">
        <f t="shared" si="1018"/>
        <v>1259.4490000000001</v>
      </c>
      <c r="AS155" s="272">
        <f>AS98</f>
        <v>1315.03</v>
      </c>
      <c r="AT155" s="272">
        <f>AT98</f>
        <v>1490.7059999999999</v>
      </c>
      <c r="AU155" s="686">
        <f t="shared" ref="AU155:AX155" si="1019">AU98</f>
        <v>2355.0114675750933</v>
      </c>
      <c r="AV155" s="686">
        <f t="shared" si="1019"/>
        <v>2485.4548559858372</v>
      </c>
      <c r="AW155" s="686">
        <f t="shared" si="1019"/>
        <v>2441.7343781385521</v>
      </c>
      <c r="AX155" s="686">
        <f t="shared" si="1019"/>
        <v>2654.1154966839144</v>
      </c>
      <c r="AY155" s="146"/>
      <c r="AZ155" s="686">
        <v>2019.9918577218566</v>
      </c>
      <c r="BA155" s="1074"/>
      <c r="BB155" s="146"/>
      <c r="BC155" s="146"/>
      <c r="BD155" s="145">
        <f t="shared" ref="BD155:BL155" si="1020">BD98</f>
        <v>1591.8430000000001</v>
      </c>
      <c r="BE155" s="145">
        <f t="shared" si="1020"/>
        <v>1091.47</v>
      </c>
      <c r="BF155" s="145">
        <f t="shared" si="1020"/>
        <v>1693.1310000000001</v>
      </c>
      <c r="BG155" s="145">
        <f t="shared" si="1020"/>
        <v>1215.048</v>
      </c>
      <c r="BH155" s="145">
        <f t="shared" si="1020"/>
        <v>4513.6000000000004</v>
      </c>
      <c r="BI155" s="145">
        <f t="shared" si="1020"/>
        <v>5821.7</v>
      </c>
      <c r="BJ155" s="145">
        <f t="shared" si="1020"/>
        <v>4007.3</v>
      </c>
      <c r="BK155" s="145">
        <f t="shared" si="1020"/>
        <v>4195.7</v>
      </c>
      <c r="BL155" s="145">
        <f t="shared" si="1020"/>
        <v>3750.9</v>
      </c>
      <c r="BM155" s="2527">
        <f t="shared" ref="BM155:BN155" si="1021">BM98</f>
        <v>1741.1869999999999</v>
      </c>
      <c r="BN155" s="145">
        <f t="shared" si="1021"/>
        <v>1490.7059999999999</v>
      </c>
      <c r="BO155" s="145">
        <f t="shared" ref="BO155:BS155" si="1022">BO98</f>
        <v>2654.1154966839144</v>
      </c>
      <c r="BP155" s="686">
        <f t="shared" si="1022"/>
        <v>3693.3524478068698</v>
      </c>
      <c r="BQ155" s="686">
        <f t="shared" si="1022"/>
        <v>3246.1275646634981</v>
      </c>
      <c r="BR155" s="686">
        <f t="shared" si="1022"/>
        <v>4344.9794197250667</v>
      </c>
      <c r="BS155" s="686">
        <f t="shared" si="1022"/>
        <v>5379.8911442728986</v>
      </c>
    </row>
    <row r="156" spans="2:71">
      <c r="B156" s="102" t="s">
        <v>538</v>
      </c>
      <c r="C156" s="272">
        <f t="shared" ref="C156:AL156" si="1023">C99</f>
        <v>713.64200000000005</v>
      </c>
      <c r="D156" s="272">
        <f t="shared" si="1023"/>
        <v>824.22500000000002</v>
      </c>
      <c r="E156" s="272">
        <f t="shared" si="1023"/>
        <v>1284.607</v>
      </c>
      <c r="F156" s="272">
        <f t="shared" si="1023"/>
        <v>1191.836</v>
      </c>
      <c r="G156" s="272">
        <f t="shared" si="1023"/>
        <v>1072.098</v>
      </c>
      <c r="H156" s="272">
        <f t="shared" si="1023"/>
        <v>1075.3610000000001</v>
      </c>
      <c r="I156" s="272">
        <f t="shared" si="1023"/>
        <v>1034.9690000000001</v>
      </c>
      <c r="J156" s="272">
        <f t="shared" si="1023"/>
        <v>1207.4590000000001</v>
      </c>
      <c r="K156" s="272">
        <f t="shared" si="1023"/>
        <v>1171.066</v>
      </c>
      <c r="L156" s="272">
        <f t="shared" si="1023"/>
        <v>974.19299999999998</v>
      </c>
      <c r="M156" s="272">
        <f t="shared" si="1023"/>
        <v>1491.155</v>
      </c>
      <c r="N156" s="272">
        <f t="shared" si="1023"/>
        <v>1977.3050000000001</v>
      </c>
      <c r="O156" s="272">
        <f t="shared" si="1023"/>
        <v>1856.46</v>
      </c>
      <c r="P156" s="272">
        <f t="shared" si="1023"/>
        <v>1299.54</v>
      </c>
      <c r="Q156" s="272">
        <f t="shared" si="1023"/>
        <v>1179.3979999999999</v>
      </c>
      <c r="R156" s="272">
        <f t="shared" si="1023"/>
        <v>1215.377</v>
      </c>
      <c r="S156" s="272">
        <f t="shared" si="1023"/>
        <v>502.24099999999999</v>
      </c>
      <c r="T156" s="272">
        <f t="shared" si="1023"/>
        <v>717.78200000000004</v>
      </c>
      <c r="U156" s="272">
        <f t="shared" si="1023"/>
        <v>749.9</v>
      </c>
      <c r="V156" s="272">
        <f t="shared" si="1023"/>
        <v>1025.8</v>
      </c>
      <c r="W156" s="272">
        <f t="shared" si="1023"/>
        <v>1416.2</v>
      </c>
      <c r="X156" s="272">
        <f t="shared" si="1023"/>
        <v>2570.1999999999998</v>
      </c>
      <c r="Y156" s="272">
        <f t="shared" si="1023"/>
        <v>2891</v>
      </c>
      <c r="Z156" s="272">
        <f t="shared" si="1023"/>
        <v>2520.6</v>
      </c>
      <c r="AA156" s="272">
        <f t="shared" si="1023"/>
        <v>2249.6999999999998</v>
      </c>
      <c r="AB156" s="272">
        <f t="shared" si="1023"/>
        <v>3484.6</v>
      </c>
      <c r="AC156" s="272">
        <f t="shared" si="1023"/>
        <v>2304.5</v>
      </c>
      <c r="AD156" s="272">
        <f t="shared" si="1023"/>
        <v>1978.7</v>
      </c>
      <c r="AE156" s="272">
        <f t="shared" si="1023"/>
        <v>1498.2</v>
      </c>
      <c r="AF156" s="272">
        <f t="shared" si="1023"/>
        <v>1231.8</v>
      </c>
      <c r="AG156" s="272">
        <f t="shared" si="1023"/>
        <v>1377.2</v>
      </c>
      <c r="AH156" s="272">
        <f t="shared" si="1023"/>
        <v>1800.4</v>
      </c>
      <c r="AI156" s="272">
        <f t="shared" si="1023"/>
        <v>1587.5</v>
      </c>
      <c r="AJ156" s="272">
        <f t="shared" si="1023"/>
        <v>1180.4000000000001</v>
      </c>
      <c r="AK156" s="272">
        <f t="shared" si="1023"/>
        <v>3480.9</v>
      </c>
      <c r="AL156" s="272">
        <f t="shared" si="1023"/>
        <v>4024.1</v>
      </c>
      <c r="AM156" s="272">
        <f t="shared" ref="AM156:AP156" si="1024">AM99</f>
        <v>1510.2840000000001</v>
      </c>
      <c r="AN156" s="272">
        <f t="shared" si="1024"/>
        <v>1885.2840000000001</v>
      </c>
      <c r="AO156" s="272">
        <f t="shared" si="1024"/>
        <v>2078.7660000000001</v>
      </c>
      <c r="AP156" s="272">
        <f t="shared" si="1024"/>
        <v>1666.7819999999999</v>
      </c>
      <c r="AQ156" s="272">
        <f>AQ99</f>
        <v>1391.8320000000001</v>
      </c>
      <c r="AR156" s="272">
        <f t="shared" ref="AR156:AS156" si="1025">AR99</f>
        <v>1007.323</v>
      </c>
      <c r="AS156" s="272">
        <f t="shared" si="1025"/>
        <v>938.43</v>
      </c>
      <c r="AT156" s="272">
        <f t="shared" ref="AT156" si="1026">AT99</f>
        <v>1180.547</v>
      </c>
      <c r="AU156" s="686">
        <f t="shared" ref="AU156:AX156" si="1027">AU99</f>
        <v>1180.547</v>
      </c>
      <c r="AV156" s="686">
        <f t="shared" si="1027"/>
        <v>1180.547</v>
      </c>
      <c r="AW156" s="686">
        <f t="shared" si="1027"/>
        <v>1180.547</v>
      </c>
      <c r="AX156" s="686">
        <f t="shared" si="1027"/>
        <v>1180.547</v>
      </c>
      <c r="AY156" s="146"/>
      <c r="AZ156" s="686">
        <v>938.43</v>
      </c>
      <c r="BA156" s="1074"/>
      <c r="BB156" s="146"/>
      <c r="BC156" s="146"/>
      <c r="BD156" s="145">
        <f t="shared" ref="BD156:BL156" si="1028">BD99</f>
        <v>1191.836</v>
      </c>
      <c r="BE156" s="145">
        <f t="shared" si="1028"/>
        <v>1207.4590000000001</v>
      </c>
      <c r="BF156" s="145">
        <f t="shared" si="1028"/>
        <v>1977.3050000000001</v>
      </c>
      <c r="BG156" s="145">
        <f t="shared" si="1028"/>
        <v>1215.377</v>
      </c>
      <c r="BH156" s="145">
        <f t="shared" si="1028"/>
        <v>1025.8</v>
      </c>
      <c r="BI156" s="145">
        <f t="shared" si="1028"/>
        <v>2520.6</v>
      </c>
      <c r="BJ156" s="145">
        <f t="shared" si="1028"/>
        <v>1978.7</v>
      </c>
      <c r="BK156" s="145">
        <f t="shared" si="1028"/>
        <v>1800.4</v>
      </c>
      <c r="BL156" s="145">
        <f t="shared" si="1028"/>
        <v>4024.1</v>
      </c>
      <c r="BM156" s="2527">
        <f t="shared" ref="BM156:BN156" si="1029">BM99</f>
        <v>1666.7819999999999</v>
      </c>
      <c r="BN156" s="145">
        <f t="shared" si="1029"/>
        <v>1180.547</v>
      </c>
      <c r="BO156" s="145">
        <f t="shared" ref="BO156:BS156" si="1030">BO99</f>
        <v>1180.547</v>
      </c>
      <c r="BP156" s="686">
        <f t="shared" si="1030"/>
        <v>1200</v>
      </c>
      <c r="BQ156" s="686">
        <f t="shared" si="1030"/>
        <v>1200</v>
      </c>
      <c r="BR156" s="686">
        <f t="shared" si="1030"/>
        <v>1200</v>
      </c>
      <c r="BS156" s="686">
        <f t="shared" si="1030"/>
        <v>1200</v>
      </c>
    </row>
    <row r="157" spans="2:71">
      <c r="B157" s="102" t="s">
        <v>539</v>
      </c>
      <c r="C157" s="272">
        <f t="shared" ref="C157:AL157" si="1031">C117+C130</f>
        <v>5291.4949999999999</v>
      </c>
      <c r="D157" s="272">
        <f t="shared" si="1031"/>
        <v>5262.6</v>
      </c>
      <c r="E157" s="272">
        <f t="shared" si="1031"/>
        <v>5931.2420000000002</v>
      </c>
      <c r="F157" s="272">
        <f t="shared" si="1031"/>
        <v>5535.8799999999992</v>
      </c>
      <c r="G157" s="272">
        <f t="shared" si="1031"/>
        <v>5185.1630000000005</v>
      </c>
      <c r="H157" s="272">
        <f t="shared" si="1031"/>
        <v>4735.0810000000001</v>
      </c>
      <c r="I157" s="272">
        <f t="shared" si="1031"/>
        <v>4074.8960000000002</v>
      </c>
      <c r="J157" s="272">
        <f t="shared" si="1031"/>
        <v>4390.1710000000003</v>
      </c>
      <c r="K157" s="272">
        <f t="shared" si="1031"/>
        <v>3903.6170000000002</v>
      </c>
      <c r="L157" s="272">
        <f t="shared" si="1031"/>
        <v>3606.2860000000001</v>
      </c>
      <c r="M157" s="272">
        <f t="shared" si="1031"/>
        <v>9610.92</v>
      </c>
      <c r="N157" s="272">
        <f t="shared" si="1031"/>
        <v>9331.9</v>
      </c>
      <c r="O157" s="272">
        <f t="shared" si="1031"/>
        <v>8826.1389999999992</v>
      </c>
      <c r="P157" s="272">
        <f t="shared" si="1031"/>
        <v>8541.1959999999999</v>
      </c>
      <c r="Q157" s="272">
        <f t="shared" si="1031"/>
        <v>8690.7950000000001</v>
      </c>
      <c r="R157" s="272">
        <f t="shared" si="1031"/>
        <v>7994.1450000000004</v>
      </c>
      <c r="S157" s="272">
        <f t="shared" si="1031"/>
        <v>7399.366</v>
      </c>
      <c r="T157" s="272">
        <f t="shared" si="1031"/>
        <v>7603.7240000000002</v>
      </c>
      <c r="U157" s="272">
        <f t="shared" si="1031"/>
        <v>8013.6</v>
      </c>
      <c r="V157" s="272">
        <f t="shared" si="1031"/>
        <v>10786.4</v>
      </c>
      <c r="W157" s="272">
        <f t="shared" si="1031"/>
        <v>19333</v>
      </c>
      <c r="X157" s="272">
        <f t="shared" si="1031"/>
        <v>20666.099999999999</v>
      </c>
      <c r="Y157" s="272">
        <f t="shared" si="1031"/>
        <v>20518</v>
      </c>
      <c r="Z157" s="272">
        <f t="shared" si="1031"/>
        <v>13822.9</v>
      </c>
      <c r="AA157" s="272">
        <f t="shared" si="1031"/>
        <v>14010.9</v>
      </c>
      <c r="AB157" s="272">
        <f t="shared" si="1031"/>
        <v>14142.3</v>
      </c>
      <c r="AC157" s="272">
        <f t="shared" si="1031"/>
        <v>12693.800000000001</v>
      </c>
      <c r="AD157" s="272">
        <f t="shared" si="1031"/>
        <v>12716.9</v>
      </c>
      <c r="AE157" s="272">
        <f t="shared" si="1031"/>
        <v>11867</v>
      </c>
      <c r="AF157" s="272">
        <f t="shared" si="1031"/>
        <v>13039.5</v>
      </c>
      <c r="AG157" s="272">
        <f t="shared" si="1031"/>
        <v>13708</v>
      </c>
      <c r="AH157" s="272">
        <f t="shared" si="1031"/>
        <v>13592.300000000001</v>
      </c>
      <c r="AI157" s="272">
        <f t="shared" si="1031"/>
        <v>13254.900000000001</v>
      </c>
      <c r="AJ157" s="272">
        <f t="shared" si="1031"/>
        <v>13388.800000000001</v>
      </c>
      <c r="AK157" s="272">
        <f t="shared" si="1031"/>
        <v>6210.9000000000005</v>
      </c>
      <c r="AL157" s="272">
        <f t="shared" si="1031"/>
        <v>6111.7</v>
      </c>
      <c r="AM157" s="272">
        <f t="shared" ref="AM157:AP157" si="1032">AM117+AM130</f>
        <v>2434.6370000000002</v>
      </c>
      <c r="AN157" s="272">
        <f t="shared" si="1032"/>
        <v>1608.95</v>
      </c>
      <c r="AO157" s="272">
        <f t="shared" si="1032"/>
        <v>2426.4700000000003</v>
      </c>
      <c r="AP157" s="272">
        <f t="shared" si="1032"/>
        <v>2389.3989999999999</v>
      </c>
      <c r="AQ157" s="272">
        <f>AQ117+AQ130</f>
        <v>2426.7370000000001</v>
      </c>
      <c r="AR157" s="272">
        <f t="shared" ref="AR157:AS157" si="1033">AR117+AR130</f>
        <v>2433.6510000000003</v>
      </c>
      <c r="AS157" s="272">
        <f t="shared" si="1033"/>
        <v>6333.7080000000005</v>
      </c>
      <c r="AT157" s="272">
        <f t="shared" ref="AT157" si="1034">AT117+AT130</f>
        <v>6175.3820000000005</v>
      </c>
      <c r="AU157" s="686">
        <f t="shared" ref="AU157:AX157" si="1035">AU117+AU130</f>
        <v>6318.1156971832315</v>
      </c>
      <c r="AV157" s="686">
        <f t="shared" si="1035"/>
        <v>6327.9026788928313</v>
      </c>
      <c r="AW157" s="686">
        <f t="shared" si="1035"/>
        <v>6331.9134183263805</v>
      </c>
      <c r="AX157" s="686">
        <f t="shared" si="1035"/>
        <v>6357.2209754719606</v>
      </c>
      <c r="AY157" s="146"/>
      <c r="AZ157" s="686">
        <v>6445.7074614127068</v>
      </c>
      <c r="BA157" s="1074"/>
      <c r="BB157" s="146"/>
      <c r="BC157" s="146"/>
      <c r="BD157" s="145">
        <f t="shared" ref="BD157:BL157" si="1036">BD117+BD130</f>
        <v>5535.8799999999992</v>
      </c>
      <c r="BE157" s="145">
        <f t="shared" si="1036"/>
        <v>4390.1710000000003</v>
      </c>
      <c r="BF157" s="145">
        <f t="shared" si="1036"/>
        <v>9331.9</v>
      </c>
      <c r="BG157" s="145">
        <f t="shared" si="1036"/>
        <v>7994.1450000000004</v>
      </c>
      <c r="BH157" s="145">
        <f t="shared" si="1036"/>
        <v>10786.4</v>
      </c>
      <c r="BI157" s="145">
        <f t="shared" si="1036"/>
        <v>13822.9</v>
      </c>
      <c r="BJ157" s="145">
        <f t="shared" si="1036"/>
        <v>12716.9</v>
      </c>
      <c r="BK157" s="145">
        <f t="shared" si="1036"/>
        <v>13592.300000000001</v>
      </c>
      <c r="BL157" s="145">
        <f t="shared" si="1036"/>
        <v>6111.7</v>
      </c>
      <c r="BM157" s="2527">
        <f t="shared" ref="BM157:BN157" si="1037">BM117+BM130</f>
        <v>2389.3989999999999</v>
      </c>
      <c r="BN157" s="145">
        <f t="shared" si="1037"/>
        <v>6175.3820000000005</v>
      </c>
      <c r="BO157" s="145">
        <f t="shared" ref="BO157:BS157" si="1038">BO117+BO130</f>
        <v>6357.2209754719606</v>
      </c>
      <c r="BP157" s="686">
        <f t="shared" si="1038"/>
        <v>6425.4132250427192</v>
      </c>
      <c r="BQ157" s="686">
        <f t="shared" si="1038"/>
        <v>4960.5210000000006</v>
      </c>
      <c r="BR157" s="686">
        <f t="shared" si="1038"/>
        <v>4960.5210000000006</v>
      </c>
      <c r="BS157" s="686">
        <f t="shared" si="1038"/>
        <v>4960.5210000000006</v>
      </c>
    </row>
    <row r="158" spans="2:71">
      <c r="B158" s="10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c r="Z158" s="272"/>
      <c r="AA158" s="272"/>
      <c r="AB158" s="272"/>
      <c r="AC158" s="272"/>
      <c r="AD158" s="272"/>
      <c r="AE158" s="272"/>
      <c r="AF158" s="272"/>
      <c r="AG158" s="272"/>
      <c r="AH158" s="272"/>
      <c r="AI158" s="272"/>
      <c r="AJ158" s="272"/>
      <c r="AK158" s="272"/>
      <c r="AL158" s="272"/>
      <c r="AM158" s="272"/>
      <c r="AN158" s="272"/>
      <c r="AO158" s="272"/>
      <c r="AP158" s="272"/>
      <c r="AQ158" s="272"/>
      <c r="AR158" s="272"/>
      <c r="AS158" s="272"/>
      <c r="AT158" s="272"/>
      <c r="AU158" s="686"/>
      <c r="AV158" s="686"/>
      <c r="AW158" s="686"/>
      <c r="AX158" s="686"/>
      <c r="AY158" s="146"/>
      <c r="AZ158" s="686"/>
      <c r="BA158" s="1074"/>
      <c r="BB158" s="146"/>
      <c r="BC158" s="146"/>
      <c r="BD158" s="145"/>
      <c r="BE158" s="145"/>
      <c r="BF158" s="145"/>
      <c r="BG158" s="145"/>
      <c r="BH158" s="145"/>
      <c r="BI158" s="145"/>
      <c r="BJ158" s="145"/>
      <c r="BK158" s="145"/>
      <c r="BL158" s="145"/>
      <c r="BM158" s="2527"/>
      <c r="BN158" s="145"/>
      <c r="BO158" s="145"/>
      <c r="BP158" s="686"/>
      <c r="BQ158" s="686"/>
      <c r="BR158" s="686"/>
      <c r="BS158" s="686"/>
    </row>
    <row r="159" spans="2:71" s="579" customFormat="1">
      <c r="B159" s="580" t="s">
        <v>545</v>
      </c>
      <c r="C159" s="586">
        <f t="shared" ref="C159:T159" si="1039">C160+C161+C162+C163+C164-C165-C166</f>
        <v>276.221</v>
      </c>
      <c r="D159" s="586">
        <f t="shared" si="1039"/>
        <v>198.40399999999988</v>
      </c>
      <c r="E159" s="586">
        <f t="shared" si="1039"/>
        <v>-181.75299999999993</v>
      </c>
      <c r="F159" s="586">
        <f t="shared" si="1039"/>
        <v>-42.337999999999852</v>
      </c>
      <c r="G159" s="586">
        <f t="shared" si="1039"/>
        <v>44.232000000000085</v>
      </c>
      <c r="H159" s="586">
        <f t="shared" si="1039"/>
        <v>400.07600000000008</v>
      </c>
      <c r="I159" s="586">
        <f t="shared" si="1039"/>
        <v>587.85400000000004</v>
      </c>
      <c r="J159" s="586">
        <f t="shared" si="1039"/>
        <v>546.44799999999998</v>
      </c>
      <c r="K159" s="586">
        <f t="shared" si="1039"/>
        <v>912.18500000000029</v>
      </c>
      <c r="L159" s="586">
        <f t="shared" si="1039"/>
        <v>923.23700000000008</v>
      </c>
      <c r="M159" s="586">
        <f t="shared" si="1039"/>
        <v>1369.2610000000002</v>
      </c>
      <c r="N159" s="586">
        <f t="shared" si="1039"/>
        <v>1913.123</v>
      </c>
      <c r="O159" s="586">
        <f t="shared" si="1039"/>
        <v>1843.7349999999999</v>
      </c>
      <c r="P159" s="586">
        <f t="shared" si="1039"/>
        <v>1923.5069999999998</v>
      </c>
      <c r="Q159" s="586">
        <f t="shared" si="1039"/>
        <v>1828.7940000000003</v>
      </c>
      <c r="R159" s="586">
        <f t="shared" si="1039"/>
        <v>2581.5529999999999</v>
      </c>
      <c r="S159" s="586">
        <f t="shared" si="1039"/>
        <v>1924.44</v>
      </c>
      <c r="T159" s="586">
        <f t="shared" si="1039"/>
        <v>1767.7680000000003</v>
      </c>
      <c r="U159" s="586">
        <f t="shared" ref="U159:W159" si="1040">U160+U161+U162+U163+U164-U165-U166</f>
        <v>1939.2440000000001</v>
      </c>
      <c r="V159" s="586">
        <f t="shared" si="1040"/>
        <v>2129.596</v>
      </c>
      <c r="W159" s="586">
        <f t="shared" si="1040"/>
        <v>18908.3</v>
      </c>
      <c r="X159" s="586">
        <f t="shared" ref="X159:Y159" si="1041">X160+X161+X162+X163+X164-X165-X166</f>
        <v>21380.2</v>
      </c>
      <c r="Y159" s="586">
        <f t="shared" si="1041"/>
        <v>23130.400000000001</v>
      </c>
      <c r="Z159" s="586">
        <f t="shared" ref="Z159:AA159" si="1042">Z160+Z161+Z162+Z163+Z164-Z165-Z166</f>
        <v>26543.1</v>
      </c>
      <c r="AA159" s="586">
        <f t="shared" si="1042"/>
        <v>27512.1</v>
      </c>
      <c r="AB159" s="586">
        <f t="shared" ref="AB159:AC159" si="1043">AB160+AB161+AB162+AB163+AB164-AB165-AB166</f>
        <v>25253.200000000001</v>
      </c>
      <c r="AC159" s="586">
        <f t="shared" si="1043"/>
        <v>26564.900000000005</v>
      </c>
      <c r="AD159" s="586">
        <f t="shared" ref="AD159:AE159" si="1044">AD160+AD161+AD162+AD163+AD164-AD165-AD166</f>
        <v>26763.899999999998</v>
      </c>
      <c r="AE159" s="586">
        <f t="shared" si="1044"/>
        <v>22726.000000000004</v>
      </c>
      <c r="AF159" s="586">
        <f t="shared" ref="AF159:AG159" si="1045">AF160+AF161+AF162+AF163+AF164-AF165-AF166</f>
        <v>22738.9</v>
      </c>
      <c r="AG159" s="586">
        <f t="shared" si="1045"/>
        <v>21430.599999999995</v>
      </c>
      <c r="AH159" s="586">
        <f t="shared" ref="AH159:AI159" si="1046">AH160+AH161+AH162+AH163+AH164-AH165-AH166</f>
        <v>21206.5</v>
      </c>
      <c r="AI159" s="586">
        <f t="shared" si="1046"/>
        <v>19615.700000000004</v>
      </c>
      <c r="AJ159" s="586">
        <f t="shared" ref="AJ159:AK159" si="1047">AJ160+AJ161+AJ162+AJ163+AJ164-AJ165-AJ166</f>
        <v>18306.7</v>
      </c>
      <c r="AK159" s="586">
        <f t="shared" si="1047"/>
        <v>28585.499999999996</v>
      </c>
      <c r="AL159" s="586">
        <f t="shared" ref="AL159:AP159" si="1048">AL160+AL161+AL162+AL163+AL164-AL165-AL166</f>
        <v>21244.2</v>
      </c>
      <c r="AM159" s="586">
        <f t="shared" si="1048"/>
        <v>5794.4529999999995</v>
      </c>
      <c r="AN159" s="586">
        <f t="shared" si="1048"/>
        <v>5248.0380000000005</v>
      </c>
      <c r="AO159" s="586">
        <f t="shared" si="1048"/>
        <v>5590.777</v>
      </c>
      <c r="AP159" s="586">
        <f t="shared" si="1048"/>
        <v>5771.5289750000011</v>
      </c>
      <c r="AQ159" s="586">
        <f t="shared" ref="AQ159" si="1049">AQ160+AQ161+AQ162+AQ163+AQ164-AQ165-AQ166</f>
        <v>5222.4549999999999</v>
      </c>
      <c r="AR159" s="586">
        <f t="shared" ref="AR159:AS159" si="1050">AR160+AR161+AR162+AR163+AR164-AR165-AR166</f>
        <v>4963.0479999999989</v>
      </c>
      <c r="AS159" s="586">
        <f t="shared" si="1050"/>
        <v>11197.918999999998</v>
      </c>
      <c r="AT159" s="586">
        <f t="shared" ref="AT159" si="1051">AT160+AT161+AT162+AT163+AT164-AT165-AT166</f>
        <v>12248.245999999999</v>
      </c>
      <c r="AU159" s="691">
        <f t="shared" ref="AU159:AX159" si="1052">AU160+AU161+AU162+AU163+AU164-AU165-AU166</f>
        <v>12389.34538251443</v>
      </c>
      <c r="AV159" s="691">
        <f t="shared" si="1052"/>
        <v>12602.189220911579</v>
      </c>
      <c r="AW159" s="691">
        <f t="shared" si="1052"/>
        <v>12716.299784387738</v>
      </c>
      <c r="AX159" s="691">
        <f t="shared" si="1052"/>
        <v>13179.894585823653</v>
      </c>
      <c r="AY159" s="582"/>
      <c r="AZ159" s="691">
        <v>11813.672133679273</v>
      </c>
      <c r="BA159" s="1077"/>
      <c r="BB159" s="582"/>
      <c r="BC159" s="582"/>
      <c r="BD159" s="581">
        <f>BD160+BD161+BD162+BD163+BD164-BD165-BD166</f>
        <v>-42.337999999999852</v>
      </c>
      <c r="BE159" s="581">
        <f t="shared" ref="BE159:BJ159" si="1053">BE160+BE161+BE162+BE163+BE164-BE165-BE166</f>
        <v>546.44799999999998</v>
      </c>
      <c r="BF159" s="581">
        <f t="shared" si="1053"/>
        <v>1913.123</v>
      </c>
      <c r="BG159" s="581">
        <f t="shared" si="1053"/>
        <v>2581.5529999999999</v>
      </c>
      <c r="BH159" s="581">
        <f t="shared" si="1053"/>
        <v>2129.596</v>
      </c>
      <c r="BI159" s="581">
        <f t="shared" si="1053"/>
        <v>26543.1</v>
      </c>
      <c r="BJ159" s="581">
        <f t="shared" si="1053"/>
        <v>26763.899999999998</v>
      </c>
      <c r="BK159" s="581">
        <f t="shared" ref="BK159:BN159" si="1054">BK160+BK161+BK162+BK163+BK164-BK165-BK166</f>
        <v>21206.5</v>
      </c>
      <c r="BL159" s="581">
        <f t="shared" si="1054"/>
        <v>21244.2</v>
      </c>
      <c r="BM159" s="2543">
        <f t="shared" si="1054"/>
        <v>5771.5289750000011</v>
      </c>
      <c r="BN159" s="581">
        <f t="shared" si="1054"/>
        <v>12248.245999999999</v>
      </c>
      <c r="BO159" s="581">
        <f t="shared" ref="BO159:BS159" si="1055">BO160+BO161+BO162+BO163+BO164-BO165-BO166</f>
        <v>13179.894585823653</v>
      </c>
      <c r="BP159" s="691">
        <f t="shared" si="1055"/>
        <v>14085.037948443402</v>
      </c>
      <c r="BQ159" s="691">
        <f t="shared" si="1055"/>
        <v>15153.936578259936</v>
      </c>
      <c r="BR159" s="691">
        <f t="shared" si="1055"/>
        <v>16352.282521851695</v>
      </c>
      <c r="BS159" s="691">
        <f t="shared" si="1055"/>
        <v>17512.080570119029</v>
      </c>
    </row>
    <row r="160" spans="2:71">
      <c r="B160" s="102" t="s">
        <v>527</v>
      </c>
      <c r="C160" s="272">
        <f t="shared" ref="C160:AL160" si="1056">C140</f>
        <v>1293.028</v>
      </c>
      <c r="D160" s="272">
        <f t="shared" si="1056"/>
        <v>935.529</v>
      </c>
      <c r="E160" s="272">
        <f t="shared" si="1056"/>
        <v>856.01299999999992</v>
      </c>
      <c r="F160" s="272">
        <f t="shared" si="1056"/>
        <v>1028.1860000000001</v>
      </c>
      <c r="G160" s="272">
        <f t="shared" si="1056"/>
        <v>882.24599999999998</v>
      </c>
      <c r="H160" s="272">
        <f t="shared" si="1056"/>
        <v>792.51400000000001</v>
      </c>
      <c r="I160" s="272">
        <f t="shared" si="1056"/>
        <v>910.99400000000003</v>
      </c>
      <c r="J160" s="272">
        <f t="shared" si="1056"/>
        <v>996.38499999999999</v>
      </c>
      <c r="K160" s="272">
        <f t="shared" si="1056"/>
        <v>1201.3920000000001</v>
      </c>
      <c r="L160" s="272">
        <f t="shared" si="1056"/>
        <v>1357.635</v>
      </c>
      <c r="M160" s="272">
        <f t="shared" si="1056"/>
        <v>1412.5550000000001</v>
      </c>
      <c r="N160" s="272">
        <f t="shared" si="1056"/>
        <v>1634.7460000000001</v>
      </c>
      <c r="O160" s="272">
        <f t="shared" si="1056"/>
        <v>1731.6289999999999</v>
      </c>
      <c r="P160" s="272">
        <f t="shared" si="1056"/>
        <v>2253.0549999999998</v>
      </c>
      <c r="Q160" s="272">
        <f t="shared" si="1056"/>
        <v>2502.1770000000001</v>
      </c>
      <c r="R160" s="272">
        <f t="shared" si="1056"/>
        <v>2574.1019999999999</v>
      </c>
      <c r="S160" s="272">
        <f t="shared" si="1056"/>
        <v>2733.8530000000001</v>
      </c>
      <c r="T160" s="272">
        <f t="shared" si="1056"/>
        <v>2699.1390000000001</v>
      </c>
      <c r="U160" s="272">
        <f t="shared" si="1056"/>
        <v>3057.9</v>
      </c>
      <c r="V160" s="272">
        <f t="shared" si="1056"/>
        <v>3362.3</v>
      </c>
      <c r="W160" s="272">
        <f t="shared" si="1056"/>
        <v>20266.099999999999</v>
      </c>
      <c r="X160" s="272">
        <f t="shared" si="1056"/>
        <v>23245.599999999999</v>
      </c>
      <c r="Y160" s="272">
        <f t="shared" si="1056"/>
        <v>24600.5</v>
      </c>
      <c r="Z160" s="272">
        <f t="shared" si="1056"/>
        <v>27364.3</v>
      </c>
      <c r="AA160" s="272">
        <f t="shared" si="1056"/>
        <v>28691.3</v>
      </c>
      <c r="AB160" s="272">
        <f t="shared" si="1056"/>
        <v>26311</v>
      </c>
      <c r="AC160" s="272">
        <f t="shared" si="1056"/>
        <v>27849.9</v>
      </c>
      <c r="AD160" s="272">
        <f t="shared" si="1056"/>
        <v>28545.599999999999</v>
      </c>
      <c r="AE160" s="272">
        <f t="shared" si="1056"/>
        <v>23821.9</v>
      </c>
      <c r="AF160" s="272">
        <f t="shared" si="1056"/>
        <v>24231.1</v>
      </c>
      <c r="AG160" s="272">
        <f t="shared" si="1056"/>
        <v>22985</v>
      </c>
      <c r="AH160" s="272">
        <f t="shared" si="1056"/>
        <v>22332.7</v>
      </c>
      <c r="AI160" s="272">
        <f t="shared" si="1056"/>
        <v>22007.7</v>
      </c>
      <c r="AJ160" s="272">
        <f t="shared" si="1056"/>
        <v>20543.900000000001</v>
      </c>
      <c r="AK160" s="272">
        <f t="shared" si="1056"/>
        <v>28029.1</v>
      </c>
      <c r="AL160" s="272">
        <f t="shared" si="1056"/>
        <v>23103.200000000001</v>
      </c>
      <c r="AM160" s="272">
        <f t="shared" ref="AM160:AP160" si="1057">AM140</f>
        <v>9423.253999999999</v>
      </c>
      <c r="AN160" s="272">
        <f t="shared" si="1057"/>
        <v>9049.7000000000007</v>
      </c>
      <c r="AO160" s="272">
        <f t="shared" si="1057"/>
        <v>9265.6139999999996</v>
      </c>
      <c r="AP160" s="272">
        <f t="shared" si="1057"/>
        <v>9209.9150000000009</v>
      </c>
      <c r="AQ160" s="272">
        <f>AQ140</f>
        <v>9154.3069999999989</v>
      </c>
      <c r="AR160" s="272">
        <f t="shared" ref="AR160:AS160" si="1058">AR140</f>
        <v>9460.1539999999986</v>
      </c>
      <c r="AS160" s="272">
        <f t="shared" si="1058"/>
        <v>13040.824999999999</v>
      </c>
      <c r="AT160" s="272">
        <f t="shared" ref="AT160" si="1059">AT140</f>
        <v>12976.710000000001</v>
      </c>
      <c r="AU160" s="686">
        <f t="shared" ref="AU160:AX160" si="1060">AU140</f>
        <v>13220.499503876057</v>
      </c>
      <c r="AV160" s="686">
        <f t="shared" si="1060"/>
        <v>13410.562514295099</v>
      </c>
      <c r="AW160" s="686">
        <f t="shared" si="1060"/>
        <v>13576.504180309308</v>
      </c>
      <c r="AX160" s="686">
        <f t="shared" si="1060"/>
        <v>13999.436597542408</v>
      </c>
      <c r="AY160" s="146"/>
      <c r="AZ160" s="686">
        <v>13127.414634565377</v>
      </c>
      <c r="BA160" s="1074"/>
      <c r="BB160" s="146"/>
      <c r="BC160" s="146"/>
      <c r="BD160" s="145">
        <f t="shared" ref="BD160:BL160" si="1061">BD140</f>
        <v>1028.1860000000001</v>
      </c>
      <c r="BE160" s="145">
        <f t="shared" si="1061"/>
        <v>996.38499999999999</v>
      </c>
      <c r="BF160" s="145">
        <f t="shared" si="1061"/>
        <v>1634.7460000000001</v>
      </c>
      <c r="BG160" s="145">
        <f t="shared" si="1061"/>
        <v>2574.1019999999999</v>
      </c>
      <c r="BH160" s="145">
        <f t="shared" si="1061"/>
        <v>3362.3</v>
      </c>
      <c r="BI160" s="145">
        <f t="shared" si="1061"/>
        <v>27364.3</v>
      </c>
      <c r="BJ160" s="145">
        <f t="shared" si="1061"/>
        <v>28545.599999999999</v>
      </c>
      <c r="BK160" s="145">
        <f t="shared" si="1061"/>
        <v>22332.7</v>
      </c>
      <c r="BL160" s="145">
        <f t="shared" si="1061"/>
        <v>23103.200000000001</v>
      </c>
      <c r="BM160" s="2527">
        <f t="shared" ref="BM160:BN160" si="1062">BM140</f>
        <v>9209.9150000000009</v>
      </c>
      <c r="BN160" s="145">
        <f t="shared" si="1062"/>
        <v>12976.710000000001</v>
      </c>
      <c r="BO160" s="145">
        <f t="shared" ref="BO160:BS160" si="1063">BO140</f>
        <v>13999.436597542408</v>
      </c>
      <c r="BP160" s="686">
        <f t="shared" si="1063"/>
        <v>14976.400702242147</v>
      </c>
      <c r="BQ160" s="686">
        <f t="shared" si="1063"/>
        <v>16037.815239364114</v>
      </c>
      <c r="BR160" s="686">
        <f t="shared" si="1063"/>
        <v>17225.669015216175</v>
      </c>
      <c r="BS160" s="686">
        <f t="shared" si="1063"/>
        <v>18376.50290529128</v>
      </c>
    </row>
    <row r="161" spans="2:71">
      <c r="B161" s="102" t="s">
        <v>546</v>
      </c>
      <c r="C161" s="272">
        <f t="shared" ref="C161:AL161" si="1064">C141</f>
        <v>47.018999999999998</v>
      </c>
      <c r="D161" s="272">
        <f t="shared" si="1064"/>
        <v>46.404000000000003</v>
      </c>
      <c r="E161" s="272">
        <f t="shared" si="1064"/>
        <v>55.734000000000002</v>
      </c>
      <c r="F161" s="272">
        <f t="shared" si="1064"/>
        <v>49.581000000000003</v>
      </c>
      <c r="G161" s="272">
        <f t="shared" si="1064"/>
        <v>48.219000000000001</v>
      </c>
      <c r="H161" s="272">
        <f t="shared" si="1064"/>
        <v>45.234999999999999</v>
      </c>
      <c r="I161" s="272">
        <f t="shared" si="1064"/>
        <v>46.722000000000001</v>
      </c>
      <c r="J161" s="272">
        <f t="shared" si="1064"/>
        <v>0</v>
      </c>
      <c r="K161" s="272">
        <f t="shared" si="1064"/>
        <v>0</v>
      </c>
      <c r="L161" s="272">
        <f t="shared" si="1064"/>
        <v>0</v>
      </c>
      <c r="M161" s="272">
        <f t="shared" si="1064"/>
        <v>0</v>
      </c>
      <c r="N161" s="272">
        <f t="shared" si="1064"/>
        <v>0</v>
      </c>
      <c r="O161" s="272">
        <f t="shared" si="1064"/>
        <v>0</v>
      </c>
      <c r="P161" s="272">
        <f t="shared" si="1064"/>
        <v>0</v>
      </c>
      <c r="Q161" s="272">
        <f t="shared" si="1064"/>
        <v>0</v>
      </c>
      <c r="R161" s="272">
        <f t="shared" si="1064"/>
        <v>0</v>
      </c>
      <c r="S161" s="272">
        <f t="shared" si="1064"/>
        <v>0</v>
      </c>
      <c r="T161" s="272">
        <f t="shared" si="1064"/>
        <v>0</v>
      </c>
      <c r="U161" s="272">
        <f t="shared" si="1064"/>
        <v>0</v>
      </c>
      <c r="V161" s="272">
        <f t="shared" si="1064"/>
        <v>0</v>
      </c>
      <c r="W161" s="272">
        <f t="shared" si="1064"/>
        <v>29.4</v>
      </c>
      <c r="X161" s="272">
        <f t="shared" si="1064"/>
        <v>27.9</v>
      </c>
      <c r="Y161" s="272">
        <f t="shared" si="1064"/>
        <v>25.7</v>
      </c>
      <c r="Z161" s="272">
        <f t="shared" si="1064"/>
        <v>22.6</v>
      </c>
      <c r="AA161" s="272">
        <f t="shared" si="1064"/>
        <v>22.6</v>
      </c>
      <c r="AB161" s="272">
        <f t="shared" si="1064"/>
        <v>17.399999999999999</v>
      </c>
      <c r="AC161" s="272">
        <f t="shared" si="1064"/>
        <v>14.7</v>
      </c>
      <c r="AD161" s="272">
        <f t="shared" si="1064"/>
        <v>21.2</v>
      </c>
      <c r="AE161" s="272">
        <f t="shared" si="1064"/>
        <v>18.5</v>
      </c>
      <c r="AF161" s="272">
        <f t="shared" si="1064"/>
        <v>18.399999999999999</v>
      </c>
      <c r="AG161" s="272">
        <f t="shared" si="1064"/>
        <v>17.3</v>
      </c>
      <c r="AH161" s="272">
        <f t="shared" si="1064"/>
        <v>18.5</v>
      </c>
      <c r="AI161" s="272">
        <f t="shared" si="1064"/>
        <v>18.5</v>
      </c>
      <c r="AJ161" s="272">
        <f t="shared" si="1064"/>
        <v>16.3</v>
      </c>
      <c r="AK161" s="272">
        <f t="shared" si="1064"/>
        <v>16.100000000000001</v>
      </c>
      <c r="AL161" s="272">
        <f t="shared" si="1064"/>
        <v>17.2</v>
      </c>
      <c r="AM161" s="272">
        <f t="shared" ref="AM161:AP161" si="1065">AM141</f>
        <v>0</v>
      </c>
      <c r="AN161" s="272">
        <f t="shared" si="1065"/>
        <v>0</v>
      </c>
      <c r="AO161" s="272">
        <f t="shared" si="1065"/>
        <v>0</v>
      </c>
      <c r="AP161" s="272">
        <f t="shared" si="1065"/>
        <v>0</v>
      </c>
      <c r="AQ161" s="272">
        <f>AQ141</f>
        <v>0</v>
      </c>
      <c r="AR161" s="272">
        <f t="shared" ref="AR161:AS161" si="1066">AR141</f>
        <v>0</v>
      </c>
      <c r="AS161" s="272">
        <f t="shared" si="1066"/>
        <v>0</v>
      </c>
      <c r="AT161" s="272">
        <f t="shared" ref="AT161" si="1067">AT141</f>
        <v>0</v>
      </c>
      <c r="AU161" s="686">
        <f t="shared" ref="AU161:AX161" si="1068">AU141</f>
        <v>0</v>
      </c>
      <c r="AV161" s="686">
        <f t="shared" si="1068"/>
        <v>0</v>
      </c>
      <c r="AW161" s="686">
        <f t="shared" si="1068"/>
        <v>0</v>
      </c>
      <c r="AX161" s="686">
        <f t="shared" si="1068"/>
        <v>0</v>
      </c>
      <c r="AY161" s="146"/>
      <c r="AZ161" s="686">
        <v>0</v>
      </c>
      <c r="BA161" s="1074"/>
      <c r="BB161" s="146"/>
      <c r="BC161" s="146"/>
      <c r="BD161" s="145">
        <f t="shared" ref="BD161:BL161" si="1069">BD141</f>
        <v>49.581000000000003</v>
      </c>
      <c r="BE161" s="145">
        <f t="shared" si="1069"/>
        <v>0</v>
      </c>
      <c r="BF161" s="145">
        <f t="shared" si="1069"/>
        <v>0</v>
      </c>
      <c r="BG161" s="145">
        <f t="shared" si="1069"/>
        <v>0</v>
      </c>
      <c r="BH161" s="145">
        <f t="shared" si="1069"/>
        <v>0</v>
      </c>
      <c r="BI161" s="145">
        <f t="shared" si="1069"/>
        <v>22.6</v>
      </c>
      <c r="BJ161" s="145">
        <f t="shared" si="1069"/>
        <v>21.2</v>
      </c>
      <c r="BK161" s="145">
        <f t="shared" si="1069"/>
        <v>18.5</v>
      </c>
      <c r="BL161" s="145">
        <f t="shared" si="1069"/>
        <v>17.2</v>
      </c>
      <c r="BM161" s="2527">
        <f t="shared" ref="BM161:BN161" si="1070">BM141</f>
        <v>0</v>
      </c>
      <c r="BN161" s="145">
        <f t="shared" si="1070"/>
        <v>0</v>
      </c>
      <c r="BO161" s="145">
        <f t="shared" ref="BO161:BS161" si="1071">BO141</f>
        <v>0</v>
      </c>
      <c r="BP161" s="686">
        <f t="shared" si="1071"/>
        <v>0</v>
      </c>
      <c r="BQ161" s="686">
        <f t="shared" si="1071"/>
        <v>0</v>
      </c>
      <c r="BR161" s="686">
        <f t="shared" si="1071"/>
        <v>0</v>
      </c>
      <c r="BS161" s="686">
        <f t="shared" si="1071"/>
        <v>0</v>
      </c>
    </row>
    <row r="162" spans="2:71">
      <c r="B162" s="102" t="s">
        <v>547</v>
      </c>
      <c r="C162" s="272">
        <f t="shared" ref="C162:AL162" si="1072">C135-C109</f>
        <v>-130.471</v>
      </c>
      <c r="D162" s="272">
        <f t="shared" si="1072"/>
        <v>-188.673</v>
      </c>
      <c r="E162" s="272">
        <f t="shared" si="1072"/>
        <v>-247.72499999999999</v>
      </c>
      <c r="F162" s="272">
        <f t="shared" si="1072"/>
        <v>-178.535</v>
      </c>
      <c r="G162" s="272">
        <f t="shared" si="1072"/>
        <v>-253.18200000000002</v>
      </c>
      <c r="H162" s="272">
        <f t="shared" si="1072"/>
        <v>-380.74299999999999</v>
      </c>
      <c r="I162" s="272">
        <f t="shared" si="1072"/>
        <v>-418</v>
      </c>
      <c r="J162" s="272">
        <f t="shared" si="1072"/>
        <v>-469.221</v>
      </c>
      <c r="K162" s="272">
        <f t="shared" si="1072"/>
        <v>-422.76399999999995</v>
      </c>
      <c r="L162" s="272">
        <f t="shared" si="1072"/>
        <v>-405.50700000000001</v>
      </c>
      <c r="M162" s="272">
        <f t="shared" si="1072"/>
        <v>-11.338000000000022</v>
      </c>
      <c r="N162" s="272">
        <f t="shared" si="1072"/>
        <v>78.216000000000008</v>
      </c>
      <c r="O162" s="272">
        <f t="shared" si="1072"/>
        <v>37.805000000000007</v>
      </c>
      <c r="P162" s="272">
        <f t="shared" si="1072"/>
        <v>41.127999999999986</v>
      </c>
      <c r="Q162" s="272">
        <f t="shared" si="1072"/>
        <v>11.983000000000004</v>
      </c>
      <c r="R162" s="272">
        <f t="shared" si="1072"/>
        <v>33.134000000000015</v>
      </c>
      <c r="S162" s="272">
        <f t="shared" si="1072"/>
        <v>36.192999999999984</v>
      </c>
      <c r="T162" s="272">
        <f t="shared" si="1072"/>
        <v>7.0339999999999918</v>
      </c>
      <c r="U162" s="272">
        <f t="shared" si="1072"/>
        <v>-11.923999999999978</v>
      </c>
      <c r="V162" s="272">
        <f t="shared" si="1072"/>
        <v>76.152000000000044</v>
      </c>
      <c r="W162" s="272">
        <f t="shared" si="1072"/>
        <v>508.50000000000011</v>
      </c>
      <c r="X162" s="272">
        <f t="shared" si="1072"/>
        <v>437.6</v>
      </c>
      <c r="Y162" s="272">
        <f t="shared" si="1072"/>
        <v>416.20000000000005</v>
      </c>
      <c r="Z162" s="272">
        <f t="shared" si="1072"/>
        <v>-51.700000000000045</v>
      </c>
      <c r="AA162" s="272">
        <f t="shared" si="1072"/>
        <v>-83.799999999999955</v>
      </c>
      <c r="AB162" s="272">
        <f t="shared" si="1072"/>
        <v>-1382.9</v>
      </c>
      <c r="AC162" s="272">
        <f t="shared" si="1072"/>
        <v>-1818.1000000000001</v>
      </c>
      <c r="AD162" s="272">
        <f t="shared" si="1072"/>
        <v>-1960.1</v>
      </c>
      <c r="AE162" s="272">
        <f t="shared" si="1072"/>
        <v>-2233.7999999999997</v>
      </c>
      <c r="AF162" s="272">
        <f t="shared" si="1072"/>
        <v>-2433.6</v>
      </c>
      <c r="AG162" s="272">
        <f t="shared" si="1072"/>
        <v>-2809.7</v>
      </c>
      <c r="AH162" s="272">
        <f t="shared" si="1072"/>
        <v>-2585.1</v>
      </c>
      <c r="AI162" s="272">
        <f t="shared" si="1072"/>
        <v>-2583.5</v>
      </c>
      <c r="AJ162" s="272">
        <f t="shared" si="1072"/>
        <v>-2500.6</v>
      </c>
      <c r="AK162" s="272">
        <f t="shared" si="1072"/>
        <v>567.09999999999991</v>
      </c>
      <c r="AL162" s="272">
        <f t="shared" si="1072"/>
        <v>-1872.6</v>
      </c>
      <c r="AM162" s="272">
        <f t="shared" ref="AM162:AP162" si="1073">AM135-AM109</f>
        <v>-1033.818</v>
      </c>
      <c r="AN162" s="272">
        <f t="shared" si="1073"/>
        <v>-1008.635</v>
      </c>
      <c r="AO162" s="272">
        <f t="shared" si="1073"/>
        <v>-1153.1759999999999</v>
      </c>
      <c r="AP162" s="272">
        <f t="shared" si="1073"/>
        <v>-1297.8209999999999</v>
      </c>
      <c r="AQ162" s="272">
        <f>AQ135-AQ109</f>
        <v>-1245.317</v>
      </c>
      <c r="AR162" s="272">
        <f t="shared" ref="AR162:AS162" si="1074">AR135-AR109</f>
        <v>-1237.365</v>
      </c>
      <c r="AS162" s="272">
        <f t="shared" si="1074"/>
        <v>-1625.529</v>
      </c>
      <c r="AT162" s="272">
        <f t="shared" ref="AT162" si="1075">AT135-AT109</f>
        <v>-2024.0530000000001</v>
      </c>
      <c r="AU162" s="686">
        <f t="shared" ref="AU162:AX162" si="1076">AU135-AU109</f>
        <v>-2024.0530000000001</v>
      </c>
      <c r="AV162" s="686">
        <f t="shared" si="1076"/>
        <v>-2024.0530000000001</v>
      </c>
      <c r="AW162" s="686">
        <f t="shared" si="1076"/>
        <v>-2024.0530000000001</v>
      </c>
      <c r="AX162" s="686">
        <f t="shared" si="1076"/>
        <v>-2024.0530000000001</v>
      </c>
      <c r="AY162" s="146"/>
      <c r="AZ162" s="686">
        <v>-1625.529</v>
      </c>
      <c r="BA162" s="1074"/>
      <c r="BB162" s="146"/>
      <c r="BC162" s="146"/>
      <c r="BD162" s="145">
        <f t="shared" ref="BD162:BL162" si="1077">BD135-BD109</f>
        <v>-178.535</v>
      </c>
      <c r="BE162" s="145">
        <f t="shared" si="1077"/>
        <v>-469.221</v>
      </c>
      <c r="BF162" s="145">
        <f t="shared" si="1077"/>
        <v>78.216000000000008</v>
      </c>
      <c r="BG162" s="145">
        <f t="shared" si="1077"/>
        <v>33.134000000000015</v>
      </c>
      <c r="BH162" s="145">
        <f t="shared" si="1077"/>
        <v>76.152000000000044</v>
      </c>
      <c r="BI162" s="145">
        <f t="shared" si="1077"/>
        <v>-51.700000000000045</v>
      </c>
      <c r="BJ162" s="145">
        <f t="shared" si="1077"/>
        <v>-1960.1</v>
      </c>
      <c r="BK162" s="145">
        <f t="shared" si="1077"/>
        <v>-2585.1</v>
      </c>
      <c r="BL162" s="145">
        <f t="shared" si="1077"/>
        <v>-1872.6</v>
      </c>
      <c r="BM162" s="2527">
        <f t="shared" ref="BM162:BN162" si="1078">BM135-BM109</f>
        <v>-1297.8209999999999</v>
      </c>
      <c r="BN162" s="145">
        <f t="shared" si="1078"/>
        <v>-2024.0530000000001</v>
      </c>
      <c r="BO162" s="145">
        <f t="shared" ref="BO162:BS162" si="1079">BO135-BO109</f>
        <v>-2024.0530000000001</v>
      </c>
      <c r="BP162" s="686">
        <f t="shared" si="1079"/>
        <v>-2024.0530000000001</v>
      </c>
      <c r="BQ162" s="686">
        <f t="shared" si="1079"/>
        <v>-2024.0530000000001</v>
      </c>
      <c r="BR162" s="686">
        <f t="shared" si="1079"/>
        <v>-2024.0530000000001</v>
      </c>
      <c r="BS162" s="686">
        <f t="shared" si="1079"/>
        <v>-2024.0530000000001</v>
      </c>
    </row>
    <row r="163" spans="2:71">
      <c r="B163" s="102" t="s">
        <v>548</v>
      </c>
      <c r="C163" s="272">
        <f t="shared" ref="C163:AL163" si="1080">C121</f>
        <v>0</v>
      </c>
      <c r="D163" s="272">
        <f t="shared" si="1080"/>
        <v>0</v>
      </c>
      <c r="E163" s="272">
        <f t="shared" si="1080"/>
        <v>0</v>
      </c>
      <c r="F163" s="272">
        <f t="shared" si="1080"/>
        <v>0</v>
      </c>
      <c r="G163" s="272">
        <f t="shared" si="1080"/>
        <v>0</v>
      </c>
      <c r="H163" s="272">
        <f t="shared" si="1080"/>
        <v>0</v>
      </c>
      <c r="I163" s="272">
        <f t="shared" si="1080"/>
        <v>0</v>
      </c>
      <c r="J163" s="272">
        <f t="shared" si="1080"/>
        <v>0</v>
      </c>
      <c r="K163" s="272">
        <f t="shared" si="1080"/>
        <v>0</v>
      </c>
      <c r="L163" s="272">
        <f t="shared" si="1080"/>
        <v>0</v>
      </c>
      <c r="M163" s="272">
        <f t="shared" si="1080"/>
        <v>0</v>
      </c>
      <c r="N163" s="272">
        <f t="shared" si="1080"/>
        <v>201.7</v>
      </c>
      <c r="O163" s="272">
        <f t="shared" si="1080"/>
        <v>0</v>
      </c>
      <c r="P163" s="272">
        <f t="shared" si="1080"/>
        <v>0</v>
      </c>
      <c r="Q163" s="272">
        <f t="shared" si="1080"/>
        <v>0</v>
      </c>
      <c r="R163" s="272">
        <f t="shared" si="1080"/>
        <v>152.97900000000001</v>
      </c>
      <c r="S163" s="272">
        <f t="shared" si="1080"/>
        <v>56.7</v>
      </c>
      <c r="T163" s="272">
        <f t="shared" si="1080"/>
        <v>0</v>
      </c>
      <c r="U163" s="272">
        <f t="shared" si="1080"/>
        <v>0</v>
      </c>
      <c r="V163" s="272">
        <f t="shared" si="1080"/>
        <v>95.9</v>
      </c>
      <c r="W163" s="272">
        <f t="shared" si="1080"/>
        <v>0</v>
      </c>
      <c r="X163" s="272">
        <f t="shared" si="1080"/>
        <v>0</v>
      </c>
      <c r="Y163" s="272">
        <f t="shared" si="1080"/>
        <v>0</v>
      </c>
      <c r="Z163" s="272">
        <f t="shared" si="1080"/>
        <v>0</v>
      </c>
      <c r="AA163" s="272">
        <f t="shared" si="1080"/>
        <v>0</v>
      </c>
      <c r="AB163" s="272">
        <f t="shared" si="1080"/>
        <v>0</v>
      </c>
      <c r="AC163" s="272">
        <f t="shared" si="1080"/>
        <v>0</v>
      </c>
      <c r="AD163" s="272">
        <f t="shared" si="1080"/>
        <v>180.8</v>
      </c>
      <c r="AE163" s="272">
        <f t="shared" si="1080"/>
        <v>180.8</v>
      </c>
      <c r="AF163" s="272">
        <f t="shared" si="1080"/>
        <v>180.8</v>
      </c>
      <c r="AG163" s="272">
        <f t="shared" si="1080"/>
        <v>180.8</v>
      </c>
      <c r="AH163" s="272">
        <f t="shared" si="1080"/>
        <v>0.3</v>
      </c>
      <c r="AI163" s="272">
        <f t="shared" si="1080"/>
        <v>0.2</v>
      </c>
      <c r="AJ163" s="272">
        <f t="shared" si="1080"/>
        <v>0.2</v>
      </c>
      <c r="AK163" s="272">
        <f t="shared" si="1080"/>
        <v>0.2</v>
      </c>
      <c r="AL163" s="272">
        <f t="shared" si="1080"/>
        <v>294.2</v>
      </c>
      <c r="AM163" s="272">
        <f t="shared" ref="AM163:AP163" si="1081">AM121</f>
        <v>0</v>
      </c>
      <c r="AN163" s="272">
        <f t="shared" si="1081"/>
        <v>0</v>
      </c>
      <c r="AO163" s="272">
        <f t="shared" si="1081"/>
        <v>0</v>
      </c>
      <c r="AP163" s="272">
        <f t="shared" si="1081"/>
        <v>144.83500000000001</v>
      </c>
      <c r="AQ163" s="272">
        <f>AQ121</f>
        <v>33.335000000000001</v>
      </c>
      <c r="AR163" s="272">
        <f t="shared" ref="AR163:AS163" si="1082">AR121</f>
        <v>0</v>
      </c>
      <c r="AS163" s="272">
        <f t="shared" si="1082"/>
        <v>0</v>
      </c>
      <c r="AT163" s="272">
        <f t="shared" ref="AT163" si="1083">AT121</f>
        <v>0</v>
      </c>
      <c r="AU163" s="686">
        <f t="shared" ref="AU163:AX163" si="1084">AU121</f>
        <v>0</v>
      </c>
      <c r="AV163" s="686">
        <f t="shared" si="1084"/>
        <v>0</v>
      </c>
      <c r="AW163" s="686">
        <f t="shared" si="1084"/>
        <v>0</v>
      </c>
      <c r="AX163" s="686">
        <f t="shared" si="1084"/>
        <v>0</v>
      </c>
      <c r="AY163" s="146"/>
      <c r="AZ163" s="686">
        <v>0</v>
      </c>
      <c r="BA163" s="1074"/>
      <c r="BB163" s="146"/>
      <c r="BC163" s="146"/>
      <c r="BD163" s="145">
        <f t="shared" ref="BD163:BL163" si="1085">BD121</f>
        <v>0</v>
      </c>
      <c r="BE163" s="145">
        <f t="shared" si="1085"/>
        <v>0</v>
      </c>
      <c r="BF163" s="145">
        <f t="shared" si="1085"/>
        <v>201.7</v>
      </c>
      <c r="BG163" s="145">
        <f t="shared" si="1085"/>
        <v>152.97900000000001</v>
      </c>
      <c r="BH163" s="145">
        <f t="shared" si="1085"/>
        <v>95.9</v>
      </c>
      <c r="BI163" s="145">
        <f t="shared" si="1085"/>
        <v>0</v>
      </c>
      <c r="BJ163" s="145">
        <f t="shared" si="1085"/>
        <v>180.8</v>
      </c>
      <c r="BK163" s="145">
        <f t="shared" si="1085"/>
        <v>0.3</v>
      </c>
      <c r="BL163" s="145">
        <f t="shared" si="1085"/>
        <v>294.2</v>
      </c>
      <c r="BM163" s="2527">
        <f t="shared" ref="BM163:BN163" si="1086">BM121</f>
        <v>144.83500000000001</v>
      </c>
      <c r="BN163" s="145">
        <f t="shared" si="1086"/>
        <v>0</v>
      </c>
      <c r="BO163" s="145">
        <f t="shared" ref="BO163:BS163" si="1087">BO121</f>
        <v>0</v>
      </c>
      <c r="BP163" s="686">
        <f t="shared" si="1087"/>
        <v>0</v>
      </c>
      <c r="BQ163" s="686">
        <f t="shared" si="1087"/>
        <v>0</v>
      </c>
      <c r="BR163" s="686">
        <f t="shared" si="1087"/>
        <v>0</v>
      </c>
      <c r="BS163" s="686">
        <f t="shared" si="1087"/>
        <v>0</v>
      </c>
    </row>
    <row r="164" spans="2:71">
      <c r="B164" s="102" t="s">
        <v>549</v>
      </c>
      <c r="C164" s="272">
        <f t="shared" ref="C164:AL164" si="1088">+C132+C118-C114</f>
        <v>0</v>
      </c>
      <c r="D164" s="272">
        <f t="shared" si="1088"/>
        <v>0</v>
      </c>
      <c r="E164" s="272">
        <f t="shared" si="1088"/>
        <v>0</v>
      </c>
      <c r="F164" s="272">
        <f t="shared" si="1088"/>
        <v>0</v>
      </c>
      <c r="G164" s="272">
        <f t="shared" si="1088"/>
        <v>0</v>
      </c>
      <c r="H164" s="272">
        <f t="shared" si="1088"/>
        <v>0</v>
      </c>
      <c r="I164" s="272">
        <f t="shared" si="1088"/>
        <v>0</v>
      </c>
      <c r="J164" s="272">
        <f t="shared" si="1088"/>
        <v>0</v>
      </c>
      <c r="K164" s="272">
        <f t="shared" si="1088"/>
        <v>0</v>
      </c>
      <c r="L164" s="272">
        <f t="shared" si="1088"/>
        <v>0</v>
      </c>
      <c r="M164" s="272">
        <f t="shared" si="1088"/>
        <v>0</v>
      </c>
      <c r="N164" s="272">
        <f t="shared" si="1088"/>
        <v>0</v>
      </c>
      <c r="O164" s="272">
        <f t="shared" si="1088"/>
        <v>0</v>
      </c>
      <c r="P164" s="272">
        <f t="shared" si="1088"/>
        <v>0</v>
      </c>
      <c r="Q164" s="272">
        <f t="shared" si="1088"/>
        <v>0</v>
      </c>
      <c r="R164" s="272">
        <f t="shared" si="1088"/>
        <v>446.23500000000001</v>
      </c>
      <c r="S164" s="272">
        <f t="shared" si="1088"/>
        <v>-160.04899999999998</v>
      </c>
      <c r="T164" s="272">
        <f t="shared" si="1088"/>
        <v>-147.57900000000018</v>
      </c>
      <c r="U164" s="272">
        <f t="shared" si="1088"/>
        <v>-140.19999999999982</v>
      </c>
      <c r="V164" s="272">
        <f t="shared" si="1088"/>
        <v>-102.30000000000018</v>
      </c>
      <c r="W164" s="272">
        <f t="shared" si="1088"/>
        <v>191.5</v>
      </c>
      <c r="X164" s="272">
        <f t="shared" si="1088"/>
        <v>297.19999999999982</v>
      </c>
      <c r="Y164" s="272">
        <f t="shared" si="1088"/>
        <v>335.40000000000009</v>
      </c>
      <c r="Z164" s="272">
        <f t="shared" si="1088"/>
        <v>456.5</v>
      </c>
      <c r="AA164" s="272">
        <f t="shared" si="1088"/>
        <v>532.60000000000036</v>
      </c>
      <c r="AB164" s="272">
        <f t="shared" si="1088"/>
        <v>434.5</v>
      </c>
      <c r="AC164" s="272">
        <f t="shared" si="1088"/>
        <v>460.10000000000036</v>
      </c>
      <c r="AD164" s="272">
        <f t="shared" si="1088"/>
        <v>451.80000000000018</v>
      </c>
      <c r="AE164" s="272">
        <f t="shared" si="1088"/>
        <v>284.39999999999964</v>
      </c>
      <c r="AF164" s="272">
        <f t="shared" si="1088"/>
        <v>314.90000000000009</v>
      </c>
      <c r="AG164" s="272">
        <f t="shared" si="1088"/>
        <v>306.59999999999991</v>
      </c>
      <c r="AH164" s="272">
        <f t="shared" si="1088"/>
        <v>328.80000000000018</v>
      </c>
      <c r="AI164" s="272">
        <f t="shared" si="1088"/>
        <v>185.39999999999964</v>
      </c>
      <c r="AJ164" s="272">
        <f t="shared" si="1088"/>
        <v>164.09999999999991</v>
      </c>
      <c r="AK164" s="272">
        <f t="shared" si="1088"/>
        <v>153</v>
      </c>
      <c r="AL164" s="272">
        <f t="shared" si="1088"/>
        <v>99.600000000000136</v>
      </c>
      <c r="AM164" s="272">
        <f t="shared" ref="AM164:AP164" si="1089">+AM132+AM118-AM114</f>
        <v>-62.885999999999967</v>
      </c>
      <c r="AN164" s="272">
        <f t="shared" si="1089"/>
        <v>-57.482000000000085</v>
      </c>
      <c r="AO164" s="272">
        <f t="shared" si="1089"/>
        <v>-60.951000000000022</v>
      </c>
      <c r="AP164" s="272">
        <f t="shared" si="1089"/>
        <v>-56.410999999999945</v>
      </c>
      <c r="AQ164" s="272">
        <f>+AQ132+AQ118-AQ114</f>
        <v>-88.913999999999874</v>
      </c>
      <c r="AR164" s="272">
        <f t="shared" ref="AR164:AS164" si="1090">+AR132+AR118-AR114</f>
        <v>-82.155999999999949</v>
      </c>
      <c r="AS164" s="272">
        <f t="shared" si="1090"/>
        <v>-92.831000000000017</v>
      </c>
      <c r="AT164" s="272">
        <f>+AT132+AT118-AT114</f>
        <v>-72.861000000000104</v>
      </c>
      <c r="AU164" s="686">
        <f t="shared" ref="AU164:AX164" si="1091">+AU132+AU118-AU114</f>
        <v>-72.861000000000104</v>
      </c>
      <c r="AV164" s="686">
        <f t="shared" si="1091"/>
        <v>-72.861000000000104</v>
      </c>
      <c r="AW164" s="686">
        <f t="shared" si="1091"/>
        <v>-72.861000000000104</v>
      </c>
      <c r="AX164" s="686">
        <f t="shared" si="1091"/>
        <v>-72.861000000000104</v>
      </c>
      <c r="AY164" s="146"/>
      <c r="AZ164" s="686">
        <v>-92.831000000000017</v>
      </c>
      <c r="BA164" s="1074"/>
      <c r="BB164" s="146"/>
      <c r="BC164" s="146"/>
      <c r="BD164" s="145">
        <f t="shared" ref="BD164:BL164" si="1092">+BD132+BD118-BD114</f>
        <v>0</v>
      </c>
      <c r="BE164" s="145">
        <f t="shared" si="1092"/>
        <v>0</v>
      </c>
      <c r="BF164" s="145">
        <f t="shared" si="1092"/>
        <v>0</v>
      </c>
      <c r="BG164" s="145">
        <f t="shared" si="1092"/>
        <v>446.23500000000001</v>
      </c>
      <c r="BH164" s="145">
        <f t="shared" si="1092"/>
        <v>-102.30000000000018</v>
      </c>
      <c r="BI164" s="145">
        <f t="shared" si="1092"/>
        <v>456.5</v>
      </c>
      <c r="BJ164" s="145">
        <f t="shared" si="1092"/>
        <v>451.80000000000018</v>
      </c>
      <c r="BK164" s="145">
        <f t="shared" si="1092"/>
        <v>328.80000000000018</v>
      </c>
      <c r="BL164" s="145">
        <f t="shared" si="1092"/>
        <v>99.600000000000136</v>
      </c>
      <c r="BM164" s="2527">
        <f t="shared" ref="BM164:BN164" si="1093">+BM132+BM118-BM114</f>
        <v>-56.410999999999945</v>
      </c>
      <c r="BN164" s="145">
        <f t="shared" si="1093"/>
        <v>-72.861000000000104</v>
      </c>
      <c r="BO164" s="145">
        <f t="shared" ref="BO164:BS164" si="1094">+BO132+BO118-BO114</f>
        <v>-72.861000000000104</v>
      </c>
      <c r="BP164" s="686">
        <f t="shared" si="1094"/>
        <v>-72.861000000000104</v>
      </c>
      <c r="BQ164" s="686">
        <f t="shared" si="1094"/>
        <v>-75.120780183669012</v>
      </c>
      <c r="BR164" s="686">
        <f t="shared" si="1094"/>
        <v>-73.425945045917274</v>
      </c>
      <c r="BS164" s="686">
        <f t="shared" si="1094"/>
        <v>-73.567181307396595</v>
      </c>
    </row>
    <row r="165" spans="2:71">
      <c r="B165" s="102" t="s">
        <v>550</v>
      </c>
      <c r="C165" s="272">
        <f t="shared" ref="C165:AL165" si="1095">C107+C110-C127-C139</f>
        <v>933.35500000000002</v>
      </c>
      <c r="D165" s="272">
        <f t="shared" si="1095"/>
        <v>594.85600000000011</v>
      </c>
      <c r="E165" s="272">
        <f t="shared" si="1095"/>
        <v>845.77499999999986</v>
      </c>
      <c r="F165" s="272">
        <f t="shared" si="1095"/>
        <v>941.56999999999994</v>
      </c>
      <c r="G165" s="272">
        <f t="shared" si="1095"/>
        <v>633.05099999999993</v>
      </c>
      <c r="H165" s="272">
        <f t="shared" si="1095"/>
        <v>56.92999999999995</v>
      </c>
      <c r="I165" s="272">
        <f t="shared" si="1095"/>
        <v>-48.137999999999977</v>
      </c>
      <c r="J165" s="272">
        <f t="shared" si="1095"/>
        <v>-19.283999999999992</v>
      </c>
      <c r="K165" s="272">
        <f t="shared" si="1095"/>
        <v>-133.55700000000013</v>
      </c>
      <c r="L165" s="272">
        <f t="shared" si="1095"/>
        <v>28.890999999999849</v>
      </c>
      <c r="M165" s="272">
        <f t="shared" si="1095"/>
        <v>31.955999999999904</v>
      </c>
      <c r="N165" s="272">
        <f t="shared" si="1095"/>
        <v>1.5389999999999873</v>
      </c>
      <c r="O165" s="272">
        <f t="shared" si="1095"/>
        <v>-74.300999999999931</v>
      </c>
      <c r="P165" s="272">
        <f t="shared" si="1095"/>
        <v>370.67600000000016</v>
      </c>
      <c r="Q165" s="272">
        <f t="shared" si="1095"/>
        <v>685.3660000000001</v>
      </c>
      <c r="R165" s="272">
        <f t="shared" si="1095"/>
        <v>624.89699999999993</v>
      </c>
      <c r="S165" s="272">
        <f t="shared" si="1095"/>
        <v>742.25700000000006</v>
      </c>
      <c r="T165" s="272">
        <f t="shared" si="1095"/>
        <v>790.82599999999979</v>
      </c>
      <c r="U165" s="272">
        <f t="shared" si="1095"/>
        <v>966.53200000000015</v>
      </c>
      <c r="V165" s="272">
        <f t="shared" si="1095"/>
        <v>1302.4560000000001</v>
      </c>
      <c r="W165" s="272">
        <f t="shared" si="1095"/>
        <v>2087.2000000000003</v>
      </c>
      <c r="X165" s="272">
        <f t="shared" si="1095"/>
        <v>2628.1</v>
      </c>
      <c r="Y165" s="272">
        <f t="shared" si="1095"/>
        <v>2247.4</v>
      </c>
      <c r="Z165" s="272">
        <f t="shared" si="1095"/>
        <v>1248.6000000000004</v>
      </c>
      <c r="AA165" s="272">
        <f t="shared" si="1095"/>
        <v>1650.6000000000004</v>
      </c>
      <c r="AB165" s="272">
        <f t="shared" si="1095"/>
        <v>126.79999999999973</v>
      </c>
      <c r="AC165" s="272">
        <f t="shared" si="1095"/>
        <v>-58.300000000000182</v>
      </c>
      <c r="AD165" s="272">
        <f t="shared" si="1095"/>
        <v>475.400000000001</v>
      </c>
      <c r="AE165" s="272">
        <f t="shared" si="1095"/>
        <v>-654.20000000000073</v>
      </c>
      <c r="AF165" s="272">
        <f t="shared" si="1095"/>
        <v>-427.30000000000018</v>
      </c>
      <c r="AG165" s="272">
        <f t="shared" si="1095"/>
        <v>-750.59999999999945</v>
      </c>
      <c r="AH165" s="272">
        <f t="shared" si="1095"/>
        <v>-1111.2999999999997</v>
      </c>
      <c r="AI165" s="272">
        <f t="shared" si="1095"/>
        <v>12.600000000000364</v>
      </c>
      <c r="AJ165" s="272">
        <f t="shared" si="1095"/>
        <v>-82.800000000000182</v>
      </c>
      <c r="AK165" s="272">
        <f t="shared" si="1095"/>
        <v>179.99999999999955</v>
      </c>
      <c r="AL165" s="272">
        <f t="shared" si="1095"/>
        <v>397.40000000000009</v>
      </c>
      <c r="AM165" s="272">
        <f t="shared" ref="AM165:AP165" si="1096">SUM(AM105:AM107,AM101)+AM110-SUM(AM125:AM128)-SUM(AM138:AM139,AM131,AM133,AM134)-AM120</f>
        <v>2532.0970000000002</v>
      </c>
      <c r="AN165" s="272">
        <f t="shared" si="1096"/>
        <v>2735.5450000000005</v>
      </c>
      <c r="AO165" s="272">
        <f t="shared" si="1096"/>
        <v>2460.71</v>
      </c>
      <c r="AP165" s="272">
        <f t="shared" si="1096"/>
        <v>2228.9890249999999</v>
      </c>
      <c r="AQ165" s="272">
        <f>SUM(AQ105:AQ107,AQ101)+AQ110-SUM(AQ125:AQ128)-SUM(AQ138:AQ139,AQ131,AQ133,AQ134)-AQ120</f>
        <v>2630.9559999999997</v>
      </c>
      <c r="AR165" s="272">
        <f t="shared" ref="AR165:AS165" si="1097">SUM(AR105:AR107,AR101)+AR110-SUM(AR125:AR128)-SUM(AR138:AR139,AR131,AR133,AR134)-AR120</f>
        <v>3177.585</v>
      </c>
      <c r="AS165" s="272">
        <f t="shared" si="1097"/>
        <v>124.54600000000028</v>
      </c>
      <c r="AT165" s="272">
        <f>SUM(AT105:AT107,AT101)+AT110-SUM(AT125:AT128)-SUM(AT138:AT139,AT131,AT133,AT134)-AT120-AT136-AT137</f>
        <v>-1368.4499999999998</v>
      </c>
      <c r="AU165" s="686">
        <f t="shared" ref="AU165:AX165" si="1098">SUM(AU105:AU107,AU101)+AU110-SUM(AU125:AU128)-SUM(AU138:AU139,AU131,AU133,AU134)-AU120-AU136-AU137</f>
        <v>-1265.759878638373</v>
      </c>
      <c r="AV165" s="686">
        <f t="shared" si="1098"/>
        <v>-1288.5407066164798</v>
      </c>
      <c r="AW165" s="686">
        <f t="shared" si="1098"/>
        <v>-1236.7096040784302</v>
      </c>
      <c r="AX165" s="686">
        <f t="shared" si="1098"/>
        <v>-1277.3719882812461</v>
      </c>
      <c r="AY165" s="146"/>
      <c r="AZ165" s="686">
        <v>-404.61749911389688</v>
      </c>
      <c r="BA165" s="1074"/>
      <c r="BB165" s="146"/>
      <c r="BC165" s="146"/>
      <c r="BD165" s="145">
        <f t="shared" ref="BD165:BJ165" si="1099">BD107+BD110-BD127-BD139</f>
        <v>941.56999999999994</v>
      </c>
      <c r="BE165" s="145">
        <f t="shared" si="1099"/>
        <v>-19.283999999999992</v>
      </c>
      <c r="BF165" s="145">
        <f t="shared" si="1099"/>
        <v>1.5389999999999873</v>
      </c>
      <c r="BG165" s="145">
        <f t="shared" si="1099"/>
        <v>624.89699999999993</v>
      </c>
      <c r="BH165" s="145">
        <f t="shared" si="1099"/>
        <v>1302.4560000000001</v>
      </c>
      <c r="BI165" s="145">
        <f t="shared" si="1099"/>
        <v>1248.6000000000004</v>
      </c>
      <c r="BJ165" s="145">
        <f t="shared" si="1099"/>
        <v>475.400000000001</v>
      </c>
      <c r="BK165" s="145">
        <f t="shared" ref="BK165:BS165" si="1100">SUM(BK105:BK107,BK101)+BK110-SUM(BK125:BK128)-SUM(BK138:BK139,BK131,BK133,BK134)-BK120-BK136-BK137</f>
        <v>-1111.2999999999997</v>
      </c>
      <c r="BL165" s="145">
        <f t="shared" si="1100"/>
        <v>397.40000000000009</v>
      </c>
      <c r="BM165" s="2527">
        <f t="shared" si="1100"/>
        <v>2228.9890249999999</v>
      </c>
      <c r="BN165" s="145">
        <f t="shared" si="1100"/>
        <v>-1368.4499999999998</v>
      </c>
      <c r="BO165" s="145">
        <f t="shared" si="1100"/>
        <v>-1277.3719882812461</v>
      </c>
      <c r="BP165" s="686">
        <f t="shared" si="1100"/>
        <v>-1205.551246201255</v>
      </c>
      <c r="BQ165" s="686">
        <f t="shared" si="1100"/>
        <v>-1215.2951190794897</v>
      </c>
      <c r="BR165" s="686">
        <f t="shared" si="1100"/>
        <v>-1224.0924516814378</v>
      </c>
      <c r="BS165" s="686">
        <f t="shared" si="1100"/>
        <v>-1233.197846135145</v>
      </c>
    </row>
    <row r="166" spans="2:71">
      <c r="B166" s="102" t="s">
        <v>551</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Z166">
        <v>0</v>
      </c>
      <c r="BD166">
        <v>0</v>
      </c>
      <c r="BE166">
        <v>0</v>
      </c>
      <c r="BF166">
        <v>0</v>
      </c>
      <c r="BG166">
        <v>0</v>
      </c>
      <c r="BH166">
        <v>0</v>
      </c>
      <c r="BI166">
        <v>0</v>
      </c>
      <c r="BJ166">
        <v>0</v>
      </c>
      <c r="BK166">
        <v>0</v>
      </c>
      <c r="BL166">
        <v>0</v>
      </c>
      <c r="BM166" s="218">
        <v>0</v>
      </c>
      <c r="BN166">
        <v>0</v>
      </c>
      <c r="BO166">
        <v>0</v>
      </c>
      <c r="BP166">
        <v>0</v>
      </c>
      <c r="BQ166">
        <v>0</v>
      </c>
      <c r="BR166">
        <v>0</v>
      </c>
      <c r="BS166">
        <v>0</v>
      </c>
    </row>
    <row r="167" spans="2:71">
      <c r="B167" s="113"/>
      <c r="T167" s="133"/>
    </row>
    <row r="168" spans="2:71" s="2624" customFormat="1">
      <c r="B168" s="2621" t="s">
        <v>552</v>
      </c>
      <c r="C168" s="2622" t="e">
        <f t="shared" ref="C168:S168" si="1101">+C170+C171-C172</f>
        <v>#REF!</v>
      </c>
      <c r="D168" s="2622">
        <f t="shared" si="1101"/>
        <v>132.71722325266481</v>
      </c>
      <c r="E168" s="2622">
        <f t="shared" si="1101"/>
        <v>67.785816461719037</v>
      </c>
      <c r="F168" s="2622">
        <f t="shared" si="1101"/>
        <v>48.934863762925232</v>
      </c>
      <c r="G168" s="2622">
        <f t="shared" si="1101"/>
        <v>61.770105395311788</v>
      </c>
      <c r="H168" s="2622">
        <f t="shared" si="1101"/>
        <v>71.466041881397459</v>
      </c>
      <c r="I168" s="2622">
        <f t="shared" si="1101"/>
        <v>78.357949038971512</v>
      </c>
      <c r="J168" s="2622">
        <f t="shared" si="1101"/>
        <v>59.167971058830901</v>
      </c>
      <c r="K168" s="2622">
        <f t="shared" si="1101"/>
        <v>41.194849194103568</v>
      </c>
      <c r="L168" s="2622">
        <f t="shared" si="1101"/>
        <v>37.408114051520442</v>
      </c>
      <c r="M168" s="2622">
        <f t="shared" si="1101"/>
        <v>40.623397481822536</v>
      </c>
      <c r="N168" s="2622">
        <f t="shared" si="1101"/>
        <v>22.959896338271164</v>
      </c>
      <c r="O168" s="2622">
        <f t="shared" si="1101"/>
        <v>23.131625967216962</v>
      </c>
      <c r="P168" s="2622">
        <f t="shared" si="1101"/>
        <v>43.181716725082509</v>
      </c>
      <c r="Q168" s="2622">
        <f t="shared" si="1101"/>
        <v>44.780607866186187</v>
      </c>
      <c r="R168" s="2622">
        <f t="shared" si="1101"/>
        <v>21.477755113360274</v>
      </c>
      <c r="S168" s="2622">
        <f t="shared" si="1101"/>
        <v>13.476773212659623</v>
      </c>
      <c r="T168" s="2622">
        <f t="shared" ref="T168:W168" si="1102">+T170+T171-T172</f>
        <v>25.801172668726622</v>
      </c>
      <c r="U168" s="2622">
        <f t="shared" si="1102"/>
        <v>27.625399635854762</v>
      </c>
      <c r="V168" s="2622">
        <f t="shared" si="1102"/>
        <v>19.479296514608706</v>
      </c>
      <c r="W168" s="2622">
        <f t="shared" si="1102"/>
        <v>-0.38661502130042891</v>
      </c>
      <c r="X168" s="2622">
        <f t="shared" ref="X168:Y168" si="1103">+X170+X171-X172</f>
        <v>-10.265119144132882</v>
      </c>
      <c r="Y168" s="2622">
        <f t="shared" si="1103"/>
        <v>-12.366081509017164</v>
      </c>
      <c r="Z168" s="2622">
        <f t="shared" ref="Z168:AE168" si="1104">+Z170+Z171-Z172</f>
        <v>-25.355974546493997</v>
      </c>
      <c r="AA168" s="2622">
        <f t="shared" si="1104"/>
        <v>-20.52768714368915</v>
      </c>
      <c r="AB168" s="2622">
        <f t="shared" si="1104"/>
        <v>-3.5271606872415475</v>
      </c>
      <c r="AC168" s="2622">
        <f t="shared" si="1104"/>
        <v>6.9102238133585558</v>
      </c>
      <c r="AD168" s="2622">
        <f t="shared" si="1104"/>
        <v>1.3515573578820863</v>
      </c>
      <c r="AE168" s="2622">
        <f t="shared" si="1104"/>
        <v>-0.14021560111081044</v>
      </c>
      <c r="AF168" s="2622">
        <f t="shared" ref="AF168:AG168" si="1105">+AF170+AF171-AF172</f>
        <v>13.035771716726941</v>
      </c>
      <c r="AG168" s="2622">
        <f t="shared" si="1105"/>
        <v>12.312394171290691</v>
      </c>
      <c r="AH168" s="2622">
        <f t="shared" ref="AH168:AI168" si="1106">+AH170+AH171-AH172</f>
        <v>-7.1410234529482466</v>
      </c>
      <c r="AI168" s="2622">
        <f t="shared" si="1106"/>
        <v>-17.000719216086395</v>
      </c>
      <c r="AJ168" s="2622">
        <f t="shared" ref="AJ168:AK168" si="1107">+AJ170+AJ171-AJ172</f>
        <v>-12.205230158637164</v>
      </c>
      <c r="AK168" s="2622">
        <f t="shared" si="1107"/>
        <v>-11.922329065282838</v>
      </c>
      <c r="AL168" s="2622">
        <f t="shared" ref="AL168:AM168" si="1108">+AL170+AL171-AL172</f>
        <v>-26.812145168004946</v>
      </c>
      <c r="AM168" s="2623">
        <f t="shared" si="1108"/>
        <v>-34.229912833173188</v>
      </c>
      <c r="AN168" s="2622">
        <f t="shared" ref="AN168:AO168" si="1109">+AN170+AN171-AN172</f>
        <v>-20.429713755864924</v>
      </c>
      <c r="AO168" s="2622">
        <f t="shared" si="1109"/>
        <v>-20.965528663746767</v>
      </c>
      <c r="AP168" s="2622">
        <f t="shared" ref="AP168" si="1110">+AP170+AP171-AP172</f>
        <v>-28.736525047853291</v>
      </c>
      <c r="AQ168" s="2622">
        <f t="shared" ref="AQ168:AS168" si="1111">+AQ170+AQ171-AQ172</f>
        <v>-32.563229532252677</v>
      </c>
      <c r="AR168" s="2622">
        <f t="shared" si="1111"/>
        <v>-29.316348559499005</v>
      </c>
      <c r="AS168" s="2622">
        <f t="shared" si="1111"/>
        <v>-26.457537106374332</v>
      </c>
      <c r="AT168" s="2622">
        <f t="shared" ref="AT168" si="1112">+AT170+AT171-AT172</f>
        <v>-29.612147790463098</v>
      </c>
      <c r="AU168" s="2626">
        <f t="shared" ref="AU168:AX168" si="1113">+AU170+AU171-AU172</f>
        <v>-32.563229532252677</v>
      </c>
      <c r="AV168" s="2626">
        <f t="shared" si="1113"/>
        <v>-29.316348559499005</v>
      </c>
      <c r="AW168" s="2626">
        <f t="shared" si="1113"/>
        <v>-26.457537106374332</v>
      </c>
      <c r="AX168" s="2626">
        <f t="shared" si="1113"/>
        <v>-29.612147790463098</v>
      </c>
      <c r="AZ168" s="2622">
        <v>-26.457537106374332</v>
      </c>
      <c r="BA168" s="2625"/>
      <c r="BD168" s="2622">
        <f t="shared" ref="BD168:BI168" si="1114">+BD170+BD171-BD172</f>
        <v>54.993956874285459</v>
      </c>
      <c r="BE168" s="2622">
        <f t="shared" si="1114"/>
        <v>46.119029085260024</v>
      </c>
      <c r="BF168" s="2622">
        <f t="shared" si="1114"/>
        <v>15.864931440332327</v>
      </c>
      <c r="BG168" s="2622">
        <f t="shared" si="1114"/>
        <v>-1.5456233734712725</v>
      </c>
      <c r="BH168" s="2622">
        <f t="shared" si="1114"/>
        <v>8.5405772899679562</v>
      </c>
      <c r="BI168" s="2622">
        <f t="shared" si="1114"/>
        <v>-16.053364317201144</v>
      </c>
      <c r="BJ168" s="2622">
        <f t="shared" ref="BJ168:BO168" si="1115">+BJ170+BJ171-BJ172</f>
        <v>-21.853603635415425</v>
      </c>
      <c r="BK168" s="2622">
        <f t="shared" si="1115"/>
        <v>-17.718771296898581</v>
      </c>
      <c r="BL168" s="2622">
        <f t="shared" si="1115"/>
        <v>-38.918941666776618</v>
      </c>
      <c r="BM168" s="2623">
        <f t="shared" si="1115"/>
        <v>-48.813649898083042</v>
      </c>
      <c r="BN168" s="2622">
        <f t="shared" si="1115"/>
        <v>-39.738727107875803</v>
      </c>
      <c r="BO168" s="2622">
        <f t="shared" si="1115"/>
        <v>-35.034341905553987</v>
      </c>
      <c r="BP168" s="2626">
        <f t="shared" ref="BP168:BS168" si="1116">+BP170+BP171-BP172</f>
        <v>-35.034341905553987</v>
      </c>
      <c r="BQ168" s="2626">
        <f t="shared" si="1116"/>
        <v>-35.034341905553987</v>
      </c>
      <c r="BR168" s="2626">
        <f t="shared" si="1116"/>
        <v>-35.034341905553987</v>
      </c>
      <c r="BS168" s="2626">
        <f t="shared" si="1116"/>
        <v>-35.034341905553987</v>
      </c>
    </row>
    <row r="169" spans="2:71">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c r="AA169" s="134"/>
      <c r="AB169" s="134"/>
      <c r="AC169" s="134"/>
      <c r="AD169" s="134"/>
      <c r="AE169" s="134"/>
      <c r="AF169" s="134"/>
      <c r="AG169" s="134"/>
      <c r="AH169" s="134"/>
      <c r="AI169" s="134"/>
      <c r="AJ169" s="134"/>
      <c r="AK169" s="134"/>
      <c r="AL169" s="134"/>
      <c r="AM169" s="2551"/>
      <c r="AN169" s="134"/>
      <c r="AO169" s="134"/>
      <c r="AP169" s="134"/>
      <c r="AQ169" s="134"/>
      <c r="AR169" s="134"/>
      <c r="AS169" s="134"/>
      <c r="AT169" s="134"/>
      <c r="BD169" s="134"/>
      <c r="BE169" s="134"/>
      <c r="BF169" s="134"/>
      <c r="BG169" s="134"/>
      <c r="BH169" s="134"/>
      <c r="BI169" s="134"/>
      <c r="BJ169" s="134"/>
      <c r="BK169" s="134"/>
      <c r="BL169" s="134"/>
      <c r="BM169" s="2551"/>
      <c r="BN169" s="134"/>
      <c r="BO169" s="134"/>
    </row>
    <row r="170" spans="2:71">
      <c r="B170" s="102" t="s">
        <v>553</v>
      </c>
      <c r="C170" s="132" t="e">
        <f>AVERAGE(B100:C100)/SUM(#REF!)*365</f>
        <v>#REF!</v>
      </c>
      <c r="D170" s="132">
        <f>AVERAGE(C100:D100)/SUM(A3:D3)*365</f>
        <v>63.523446239518819</v>
      </c>
      <c r="E170" s="132">
        <f>AVERAGE(D100:E100)/SUM(B3:E3)*365</f>
        <v>43.007666727907967</v>
      </c>
      <c r="F170" s="132">
        <f>AVERAGE(E100:F100)/SUM(C3:F3)*365</f>
        <v>30.645916444024</v>
      </c>
      <c r="G170" s="132">
        <f>AVERAGE(F100:G100)/SUM(D3:G3)*365</f>
        <v>28.411392918473211</v>
      </c>
      <c r="H170" s="132">
        <f>AVERAGE(G100:H100)/SUM(E3:H3)*365</f>
        <v>28.758627609650819</v>
      </c>
      <c r="I170" s="132">
        <f>AVERAGE(H100:I100)/SUM(F3:I3)*365</f>
        <v>31.629398561637636</v>
      </c>
      <c r="J170" s="132">
        <f>AVERAGE(I100:J100)/SUM(G3:J3)*365</f>
        <v>33.19542489711359</v>
      </c>
      <c r="K170" s="132">
        <f>AVERAGE(J100:K100)/SUM(H3:K3)*365</f>
        <v>32.995952317742422</v>
      </c>
      <c r="L170" s="132">
        <f>AVERAGE(K100:L100)/SUM(I3:L3)*365</f>
        <v>31.187690160938971</v>
      </c>
      <c r="M170" s="132">
        <f>AVERAGE(L100:M100)/SUM(J3:M3)*365</f>
        <v>34.764824942530275</v>
      </c>
      <c r="N170" s="132">
        <f>AVERAGE(M100:N100)/SUM(K3:N3)*365</f>
        <v>36.864509484369847</v>
      </c>
      <c r="O170" s="132">
        <f>AVERAGE(N100:O100)/SUM(L3:O3)*365</f>
        <v>34.890502551162768</v>
      </c>
      <c r="P170" s="132">
        <f>AVERAGE(O100:P100)/SUM(M3:P3)*365</f>
        <v>30.027846767977231</v>
      </c>
      <c r="Q170" s="132">
        <f>AVERAGE(P100:Q100)/SUM(N3:Q3)*365</f>
        <v>29.330574064072177</v>
      </c>
      <c r="R170" s="132">
        <f>AVERAGE(Q100:R100)/SUM(O3:R3)*365</f>
        <v>31.458235880014428</v>
      </c>
      <c r="S170" s="132">
        <f>AVERAGE(R100:S100)/SUM(P3:S3)*365</f>
        <v>30.47847019198333</v>
      </c>
      <c r="T170" s="132">
        <f>AVERAGE(S100:T100)/SUM(Q3:T3)*365</f>
        <v>28.468153480216976</v>
      </c>
      <c r="U170" s="132">
        <f>AVERAGE(T100:U100)/SUM(R3:U3)*365</f>
        <v>29.307034458856766</v>
      </c>
      <c r="V170" s="132">
        <f>AVERAGE(U100:V100)/SUM(S3:V3)*365</f>
        <v>30.214023675544578</v>
      </c>
      <c r="W170" s="132">
        <f>AVERAGE(V100:W100)/SUM(T3:W3)*365</f>
        <v>31.939254353267991</v>
      </c>
      <c r="X170" s="132">
        <f>AVERAGE(W100:X100)/SUM(U3:X3)*365</f>
        <v>32.997047293352239</v>
      </c>
      <c r="Y170" s="132">
        <f>AVERAGE(X100:Y100)/SUM(V3:Y3)*365</f>
        <v>29.401859589182067</v>
      </c>
      <c r="Z170" s="132">
        <f>AVERAGE(Y100:Z100)/SUM(W3:Z3)*365</f>
        <v>27.605913369813614</v>
      </c>
      <c r="AA170" s="132">
        <f>AVERAGE(Z100:AA100)/SUM(X3:AA3)*365</f>
        <v>25.412934428522895</v>
      </c>
      <c r="AB170" s="132">
        <f>AVERAGE(AA100:AB100)/SUM(Y3:AB3)*365</f>
        <v>22.238176851499976</v>
      </c>
      <c r="AC170" s="132">
        <f>AVERAGE(AB100:AC100)/SUM(Z3:AC3)*365</f>
        <v>22.348704753093557</v>
      </c>
      <c r="AD170" s="132">
        <f>AVERAGE(AC100:AD100)/SUM(AA3:AD3)*365</f>
        <v>23.757348356640243</v>
      </c>
      <c r="AE170" s="132">
        <f>AVERAGE(AD100:AE100)/SUM(AB3:AE3)*365</f>
        <v>23.145010362931568</v>
      </c>
      <c r="AF170" s="132">
        <f>AVERAGE(AE100:AF100)/SUM(AC3:AF3)*365</f>
        <v>22.764250250681002</v>
      </c>
      <c r="AG170" s="132">
        <f>AVERAGE(AF100:AG100)/SUM(AD3:AG3)*365</f>
        <v>24.843342586880528</v>
      </c>
      <c r="AH170" s="132">
        <f>AVERAGE(AG100:AH100)/SUM(AE3:AH3)*365</f>
        <v>26.616891607901746</v>
      </c>
      <c r="AI170" s="132">
        <f>AVERAGE(AH100:AI100)/SUM(AF3:AI3)*365</f>
        <v>27.084341865113853</v>
      </c>
      <c r="AJ170" s="132">
        <f>AVERAGE(AI100:AJ100)/SUM(AG3:AJ3)*365</f>
        <v>27.536615373913012</v>
      </c>
      <c r="AK170" s="132">
        <f>AVERAGE(AJ100:AK100)/SUM(AH3:AK3)*365</f>
        <v>29.066319284801786</v>
      </c>
      <c r="AL170" s="132">
        <f>AVERAGE(AK100:AL100)/SUM(AI3:AL3)*365</f>
        <v>33.243516852144893</v>
      </c>
      <c r="AM170" s="2552">
        <f>AVERAGE(AL100:AM100)/SUM(AJ3:AM3)*365</f>
        <v>34.489430047135471</v>
      </c>
      <c r="AN170" s="132">
        <f>AVERAGE(AM100:AN100)/SUM(AK3:AN3)*365</f>
        <v>38.402558126688774</v>
      </c>
      <c r="AO170" s="132">
        <f>AVERAGE(AN100:AO100)/SUM(AL3:AO3)*365</f>
        <v>46.637204514653803</v>
      </c>
      <c r="AP170" s="132">
        <f>AVERAGE(AO100:AP100)/SUM(AM3:AP3)*365</f>
        <v>50.331479216553184</v>
      </c>
      <c r="AQ170" s="132">
        <f>AVERAGE(AP100:AQ100)/SUM(AN3:AQ3)*365</f>
        <v>49.909539621825459</v>
      </c>
      <c r="AR170" s="132">
        <f>AVERAGE(AQ100:AR100)/SUM(AO3:AR3)*365</f>
        <v>49.706497112173864</v>
      </c>
      <c r="AS170" s="132">
        <f>AVERAGE(AR100:AS100)/SUM(AP3:AS3)*365</f>
        <v>52.516965581130897</v>
      </c>
      <c r="AT170" s="132">
        <f>AVERAGE(AS100:AT100)/SUM(AQ3:AT3)*365</f>
        <v>55.50859134491504</v>
      </c>
      <c r="AU170" s="155">
        <f>+AQ170</f>
        <v>49.909539621825459</v>
      </c>
      <c r="AV170" s="155">
        <f t="shared" ref="AV170" si="1117">+AR170</f>
        <v>49.706497112173864</v>
      </c>
      <c r="AW170" s="155">
        <f t="shared" ref="AW170" si="1118">+AS170</f>
        <v>52.516965581130897</v>
      </c>
      <c r="AX170" s="155">
        <f t="shared" ref="AX170" si="1119">+AT170</f>
        <v>55.50859134491504</v>
      </c>
      <c r="AZ170" s="155">
        <v>52.516965581130897</v>
      </c>
      <c r="BD170" s="132">
        <f>AVERAGE(BD100:BD100)/SUM(BD3)*365</f>
        <v>30.702964370535319</v>
      </c>
      <c r="BE170" s="132">
        <f>AVERAGE(BD100:BE100)/SUM(BE3)*365</f>
        <v>32.561893112432806</v>
      </c>
      <c r="BF170" s="132">
        <f>AVERAGE(BE100:BF100)/SUM(BF3)*365</f>
        <v>33.973703680863366</v>
      </c>
      <c r="BG170" s="132">
        <f>AVERAGE(BF100:BG100)/SUM(BG3)*365</f>
        <v>31.537990128685372</v>
      </c>
      <c r="BH170" s="132">
        <f>AVERAGE(BG100:BH100)/SUM(BH3)*365</f>
        <v>31.275061142372934</v>
      </c>
      <c r="BI170" s="132">
        <f>AVERAGE(BH100:BI100)/SUM(BI3)*365</f>
        <v>20.215155041197558</v>
      </c>
      <c r="BJ170" s="132">
        <f>AVERAGE(BI100:BJ100)/SUM(BJ3)*365</f>
        <v>24.997710294670068</v>
      </c>
      <c r="BK170" s="132">
        <f>AVERAGE(BJ100:BK100)/SUM(BK3)*365</f>
        <v>27.036061356100586</v>
      </c>
      <c r="BL170" s="132">
        <f>AVERAGE(BK100:BL100)/SUM(BL3)*365</f>
        <v>33.701494233820718</v>
      </c>
      <c r="BM170" s="2552">
        <f>AVERAGE(BL100:BM100)/SUM(BM3)*365</f>
        <v>47.416668575124156</v>
      </c>
      <c r="BN170" s="132">
        <f>AVERAGE(BM100:BN100)/SUM(BN3)*365</f>
        <v>57.788640963830908</v>
      </c>
      <c r="BO170" s="132">
        <f>AVERAGE(BN100:BO100)/SUM(BO3)*365</f>
        <v>55.903605432235842</v>
      </c>
      <c r="BP170" s="155">
        <f t="shared" ref="BP170" si="1120">+BO170</f>
        <v>55.903605432235842</v>
      </c>
      <c r="BQ170" s="155">
        <f t="shared" ref="BQ170:BQ172" si="1121">+BP170</f>
        <v>55.903605432235842</v>
      </c>
      <c r="BR170" s="155">
        <f t="shared" ref="BR170:BR172" si="1122">+BQ170</f>
        <v>55.903605432235842</v>
      </c>
      <c r="BS170" s="155">
        <f t="shared" ref="BS170:BS172" si="1123">+BR170</f>
        <v>55.903605432235842</v>
      </c>
    </row>
    <row r="171" spans="2:71">
      <c r="B171" s="102" t="s">
        <v>554</v>
      </c>
      <c r="C171" s="132" t="e">
        <f>-AVERAGE(B102:C102)/SUM(#REF!)*365</f>
        <v>#REF!</v>
      </c>
      <c r="D171" s="132">
        <f t="shared" ref="D171:AP171" si="1124">-AVERAGE(C102:D102)/SUM(A$7:D$7)*365</f>
        <v>310.60754712651271</v>
      </c>
      <c r="E171" s="132">
        <f t="shared" si="1124"/>
        <v>208.7045354818176</v>
      </c>
      <c r="F171" s="132">
        <f t="shared" si="1124"/>
        <v>154.42549641442977</v>
      </c>
      <c r="G171" s="132">
        <f t="shared" si="1124"/>
        <v>152.95895724404622</v>
      </c>
      <c r="H171" s="132">
        <f t="shared" si="1124"/>
        <v>155.51517835277258</v>
      </c>
      <c r="I171" s="132">
        <f t="shared" si="1124"/>
        <v>154.40789169833923</v>
      </c>
      <c r="J171" s="132">
        <f t="shared" si="1124"/>
        <v>138.74101365861995</v>
      </c>
      <c r="K171" s="132">
        <f t="shared" si="1124"/>
        <v>125.64590458651932</v>
      </c>
      <c r="L171" s="132">
        <f t="shared" si="1124"/>
        <v>129.23635754236969</v>
      </c>
      <c r="M171" s="132">
        <f t="shared" si="1124"/>
        <v>166.96658207364399</v>
      </c>
      <c r="N171" s="132">
        <f t="shared" si="1124"/>
        <v>169.44157291732768</v>
      </c>
      <c r="O171" s="132">
        <f t="shared" si="1124"/>
        <v>157.51869735900897</v>
      </c>
      <c r="P171" s="132">
        <f t="shared" si="1124"/>
        <v>159.06621441558235</v>
      </c>
      <c r="Q171" s="132">
        <f t="shared" si="1124"/>
        <v>159.41109057322083</v>
      </c>
      <c r="R171" s="132">
        <f t="shared" si="1124"/>
        <v>144.64170357564549</v>
      </c>
      <c r="S171" s="132">
        <f t="shared" si="1124"/>
        <v>138.00468926105864</v>
      </c>
      <c r="T171" s="132">
        <f t="shared" si="1124"/>
        <v>147.52722898052735</v>
      </c>
      <c r="U171" s="132">
        <f t="shared" si="1124"/>
        <v>155.07560401620984</v>
      </c>
      <c r="V171" s="132">
        <f t="shared" si="1124"/>
        <v>94.68783911176962</v>
      </c>
      <c r="W171" s="132">
        <f t="shared" si="1124"/>
        <v>120.8668961313989</v>
      </c>
      <c r="X171" s="132">
        <f t="shared" si="1124"/>
        <v>160.79910257338119</v>
      </c>
      <c r="Y171" s="132">
        <f t="shared" si="1124"/>
        <v>141.53857164746012</v>
      </c>
      <c r="Z171" s="132">
        <f t="shared" si="1124"/>
        <v>133.53729194067756</v>
      </c>
      <c r="AA171" s="132">
        <f t="shared" si="1124"/>
        <v>131.94716636197441</v>
      </c>
      <c r="AB171" s="132">
        <f t="shared" si="1124"/>
        <v>132.17924070032359</v>
      </c>
      <c r="AC171" s="132">
        <f t="shared" si="1124"/>
        <v>143.49030125475983</v>
      </c>
      <c r="AD171" s="132">
        <f t="shared" si="1124"/>
        <v>147.85451489501409</v>
      </c>
      <c r="AE171" s="132">
        <f t="shared" si="1124"/>
        <v>140.84790613744894</v>
      </c>
      <c r="AF171" s="132">
        <f t="shared" si="1124"/>
        <v>141.39872903273485</v>
      </c>
      <c r="AG171" s="132">
        <f t="shared" si="1124"/>
        <v>146.24505568856043</v>
      </c>
      <c r="AH171" s="132">
        <f t="shared" si="1124"/>
        <v>137.72019642273457</v>
      </c>
      <c r="AI171" s="132">
        <f t="shared" si="1124"/>
        <v>127.83935093353482</v>
      </c>
      <c r="AJ171" s="132">
        <f t="shared" si="1124"/>
        <v>128.7525476184276</v>
      </c>
      <c r="AK171" s="132">
        <f t="shared" si="1124"/>
        <v>135.33865501415099</v>
      </c>
      <c r="AL171" s="132">
        <f t="shared" si="1124"/>
        <v>132.80087223932162</v>
      </c>
      <c r="AM171" s="2552">
        <f t="shared" si="1124"/>
        <v>105.34469472621311</v>
      </c>
      <c r="AN171" s="132">
        <f t="shared" si="1124"/>
        <v>100.23464962996891</v>
      </c>
      <c r="AO171" s="132">
        <f t="shared" si="1124"/>
        <v>125.5013666706607</v>
      </c>
      <c r="AP171" s="132">
        <f t="shared" si="1124"/>
        <v>121.53700351619678</v>
      </c>
      <c r="AQ171" s="132">
        <f t="shared" ref="AQ171:AT171" si="1125">-AVERAGE(AP102:AQ102)/SUM(AN$7:AQ$7)*365</f>
        <v>112.62457766904477</v>
      </c>
      <c r="AR171" s="132">
        <f t="shared" si="1125"/>
        <v>124.12434796031971</v>
      </c>
      <c r="AS171" s="132">
        <f t="shared" si="1125"/>
        <v>142.43495834249185</v>
      </c>
      <c r="AT171" s="132">
        <f t="shared" si="1125"/>
        <v>153.25384039578773</v>
      </c>
      <c r="AU171" s="155">
        <f>+AQ171</f>
        <v>112.62457766904477</v>
      </c>
      <c r="AV171" s="155">
        <f t="shared" ref="AV171:AX171" si="1126">+AR171</f>
        <v>124.12434796031971</v>
      </c>
      <c r="AW171" s="155">
        <f t="shared" si="1126"/>
        <v>142.43495834249185</v>
      </c>
      <c r="AX171" s="155">
        <f t="shared" si="1126"/>
        <v>153.25384039578773</v>
      </c>
      <c r="AZ171" s="155">
        <v>142.43495834249185</v>
      </c>
      <c r="BD171" s="132">
        <f>-AVERAGE(BD102:BD102)/SUM(BD$7)*365</f>
        <v>145.58687340505156</v>
      </c>
      <c r="BE171" s="132">
        <f t="shared" ref="BE171:BO171" si="1127">-AVERAGE(BD102:BE102)/SUM(BE$7)*365</f>
        <v>134.22042693989675</v>
      </c>
      <c r="BF171" s="132">
        <f t="shared" si="1127"/>
        <v>130.3888650643116</v>
      </c>
      <c r="BG171" s="132">
        <f t="shared" si="1127"/>
        <v>126.55022960521734</v>
      </c>
      <c r="BH171" s="132">
        <f t="shared" si="1127"/>
        <v>82.390121528290905</v>
      </c>
      <c r="BI171" s="132">
        <f t="shared" si="1127"/>
        <v>82.423938349433826</v>
      </c>
      <c r="BJ171" s="132">
        <f t="shared" si="1127"/>
        <v>129.57117061821091</v>
      </c>
      <c r="BK171" s="132">
        <f t="shared" si="1127"/>
        <v>137.62308727281021</v>
      </c>
      <c r="BL171" s="132">
        <f t="shared" si="1127"/>
        <v>135.5459072479596</v>
      </c>
      <c r="BM171" s="2552">
        <f t="shared" si="1127"/>
        <v>123.20485567817803</v>
      </c>
      <c r="BN171" s="132">
        <f t="shared" si="1127"/>
        <v>130.51656785760827</v>
      </c>
      <c r="BO171" s="132">
        <f t="shared" si="1127"/>
        <v>150.61923739622861</v>
      </c>
      <c r="BP171" s="155">
        <f t="shared" ref="BP171:BP172" si="1128">+BO171</f>
        <v>150.61923739622861</v>
      </c>
      <c r="BQ171" s="155">
        <f t="shared" si="1121"/>
        <v>150.61923739622861</v>
      </c>
      <c r="BR171" s="155">
        <f t="shared" si="1122"/>
        <v>150.61923739622861</v>
      </c>
      <c r="BS171" s="155">
        <f t="shared" si="1123"/>
        <v>150.61923739622861</v>
      </c>
    </row>
    <row r="172" spans="2:71">
      <c r="B172" s="102" t="s">
        <v>555</v>
      </c>
      <c r="C172" s="132" t="e">
        <f>-AVERAGE(B119:C119)/SUM(#REF!)*365</f>
        <v>#REF!</v>
      </c>
      <c r="D172" s="132">
        <f t="shared" ref="D172:AP172" si="1129">-AVERAGE(C119:D119)/SUM(A$7:D$7)*365</f>
        <v>241.41377011336672</v>
      </c>
      <c r="E172" s="132">
        <f t="shared" si="1129"/>
        <v>183.92638574800654</v>
      </c>
      <c r="F172" s="132">
        <f t="shared" si="1129"/>
        <v>136.13654909552855</v>
      </c>
      <c r="G172" s="132">
        <f t="shared" si="1129"/>
        <v>119.60024476720764</v>
      </c>
      <c r="H172" s="132">
        <f t="shared" si="1129"/>
        <v>112.80776408102595</v>
      </c>
      <c r="I172" s="132">
        <f t="shared" si="1129"/>
        <v>107.67934122100534</v>
      </c>
      <c r="J172" s="132">
        <f t="shared" si="1129"/>
        <v>112.76846749690263</v>
      </c>
      <c r="K172" s="132">
        <f t="shared" si="1129"/>
        <v>117.44700771015818</v>
      </c>
      <c r="L172" s="132">
        <f t="shared" si="1129"/>
        <v>123.0159336517882</v>
      </c>
      <c r="M172" s="132">
        <f t="shared" si="1129"/>
        <v>161.10800953435174</v>
      </c>
      <c r="N172" s="132">
        <f t="shared" si="1129"/>
        <v>183.34618606342636</v>
      </c>
      <c r="O172" s="132">
        <f t="shared" si="1129"/>
        <v>169.27757394295477</v>
      </c>
      <c r="P172" s="132">
        <f t="shared" si="1129"/>
        <v>145.91234445847707</v>
      </c>
      <c r="Q172" s="132">
        <f t="shared" si="1129"/>
        <v>143.96105677110683</v>
      </c>
      <c r="R172" s="132">
        <f t="shared" si="1129"/>
        <v>154.62218434229965</v>
      </c>
      <c r="S172" s="132">
        <f t="shared" si="1129"/>
        <v>155.00638624038234</v>
      </c>
      <c r="T172" s="132">
        <f t="shared" si="1129"/>
        <v>150.19420979201772</v>
      </c>
      <c r="U172" s="132">
        <f t="shared" si="1129"/>
        <v>156.75723883921185</v>
      </c>
      <c r="V172" s="132">
        <f t="shared" si="1129"/>
        <v>105.4225662727055</v>
      </c>
      <c r="W172" s="132">
        <f t="shared" si="1129"/>
        <v>153.19276550596732</v>
      </c>
      <c r="X172" s="132">
        <f t="shared" si="1129"/>
        <v>204.06126901086631</v>
      </c>
      <c r="Y172" s="132">
        <f t="shared" si="1129"/>
        <v>183.30651274565935</v>
      </c>
      <c r="Z172" s="132">
        <f t="shared" si="1129"/>
        <v>186.49917985698517</v>
      </c>
      <c r="AA172" s="132">
        <f t="shared" si="1129"/>
        <v>177.88778793418646</v>
      </c>
      <c r="AB172" s="132">
        <f t="shared" si="1129"/>
        <v>157.94457823906512</v>
      </c>
      <c r="AC172" s="132">
        <f t="shared" si="1129"/>
        <v>158.92878219449483</v>
      </c>
      <c r="AD172" s="132">
        <f t="shared" si="1129"/>
        <v>170.26030589377226</v>
      </c>
      <c r="AE172" s="132">
        <f t="shared" si="1129"/>
        <v>164.13313210149133</v>
      </c>
      <c r="AF172" s="132">
        <f t="shared" si="1129"/>
        <v>151.1272075666889</v>
      </c>
      <c r="AG172" s="132">
        <f t="shared" si="1129"/>
        <v>158.77600410415027</v>
      </c>
      <c r="AH172" s="132">
        <f t="shared" si="1129"/>
        <v>171.47811148358457</v>
      </c>
      <c r="AI172" s="132">
        <f t="shared" si="1129"/>
        <v>171.92441201473505</v>
      </c>
      <c r="AJ172" s="132">
        <f t="shared" si="1129"/>
        <v>168.49439315097777</v>
      </c>
      <c r="AK172" s="132">
        <f t="shared" si="1129"/>
        <v>176.3273033642356</v>
      </c>
      <c r="AL172" s="132">
        <f t="shared" si="1129"/>
        <v>192.85653425947146</v>
      </c>
      <c r="AM172" s="2552">
        <f t="shared" si="1129"/>
        <v>174.06403760652177</v>
      </c>
      <c r="AN172" s="132">
        <f t="shared" si="1129"/>
        <v>159.06692151252261</v>
      </c>
      <c r="AO172" s="132">
        <f t="shared" si="1129"/>
        <v>193.10409984906127</v>
      </c>
      <c r="AP172" s="132">
        <f t="shared" si="1129"/>
        <v>200.60500778060324</v>
      </c>
      <c r="AQ172" s="132">
        <f t="shared" ref="AQ172:AT172" si="1130">-AVERAGE(AP119:AQ119)/SUM(AN$7:AQ$7)*365</f>
        <v>195.0973468231229</v>
      </c>
      <c r="AR172" s="132">
        <f t="shared" si="1130"/>
        <v>203.14719363199256</v>
      </c>
      <c r="AS172" s="132">
        <f t="shared" si="1130"/>
        <v>221.40946102999709</v>
      </c>
      <c r="AT172" s="132">
        <f t="shared" si="1130"/>
        <v>238.37457953116586</v>
      </c>
      <c r="AU172" s="155">
        <f>+AQ172</f>
        <v>195.0973468231229</v>
      </c>
      <c r="AV172" s="155">
        <f t="shared" ref="AV172" si="1131">+AR172</f>
        <v>203.14719363199256</v>
      </c>
      <c r="AW172" s="155">
        <f t="shared" ref="AW172" si="1132">+AS172</f>
        <v>221.40946102999709</v>
      </c>
      <c r="AX172" s="155">
        <f t="shared" ref="AX172" si="1133">+AT172</f>
        <v>238.37457953116586</v>
      </c>
      <c r="AZ172" s="155">
        <v>221.40946102999709</v>
      </c>
      <c r="BD172" s="132">
        <f>-AVERAGE(BD119:BD119)/SUM(BD$7)*365</f>
        <v>121.29588090130142</v>
      </c>
      <c r="BE172" s="132">
        <f t="shared" ref="BE172:BO172" si="1134">-AVERAGE(BD119:BE119)/SUM(BE$7)*365</f>
        <v>120.66329096706954</v>
      </c>
      <c r="BF172" s="132">
        <f t="shared" si="1134"/>
        <v>148.49763730484264</v>
      </c>
      <c r="BG172" s="132">
        <f t="shared" si="1134"/>
        <v>159.63384310737399</v>
      </c>
      <c r="BH172" s="132">
        <f t="shared" si="1134"/>
        <v>105.12460538069588</v>
      </c>
      <c r="BI172" s="132">
        <f t="shared" si="1134"/>
        <v>118.69245770783253</v>
      </c>
      <c r="BJ172" s="132">
        <f t="shared" si="1134"/>
        <v>176.42248454829641</v>
      </c>
      <c r="BK172" s="132">
        <f t="shared" si="1134"/>
        <v>182.37791992580938</v>
      </c>
      <c r="BL172" s="132">
        <f t="shared" si="1134"/>
        <v>208.16634314855693</v>
      </c>
      <c r="BM172" s="2552">
        <f t="shared" si="1134"/>
        <v>219.43517415138524</v>
      </c>
      <c r="BN172" s="132">
        <f t="shared" si="1134"/>
        <v>228.04393592931498</v>
      </c>
      <c r="BO172" s="132">
        <f t="shared" si="1134"/>
        <v>241.55718473401845</v>
      </c>
      <c r="BP172" s="155">
        <f t="shared" si="1128"/>
        <v>241.55718473401845</v>
      </c>
      <c r="BQ172" s="155">
        <f t="shared" si="1121"/>
        <v>241.55718473401845</v>
      </c>
      <c r="BR172" s="155">
        <f t="shared" si="1122"/>
        <v>241.55718473401845</v>
      </c>
      <c r="BS172" s="155">
        <f t="shared" si="1123"/>
        <v>241.55718473401845</v>
      </c>
    </row>
    <row r="173" spans="2:71">
      <c r="B173" s="10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c r="AH173" s="132"/>
      <c r="AI173" s="132"/>
      <c r="AJ173" s="132"/>
      <c r="AK173" s="132"/>
      <c r="AL173" s="132"/>
      <c r="AM173" s="2552"/>
      <c r="AN173" s="132"/>
      <c r="AO173" s="132"/>
      <c r="AP173" s="132"/>
      <c r="AQ173" s="132"/>
      <c r="AR173" s="132"/>
      <c r="AS173" s="132"/>
      <c r="AT173" s="132"/>
      <c r="BD173" s="132"/>
      <c r="BE173" s="132"/>
      <c r="BF173" s="132"/>
      <c r="BG173" s="132"/>
      <c r="BH173" s="132"/>
      <c r="BI173" s="132"/>
      <c r="BJ173" s="132"/>
      <c r="BK173" s="132"/>
      <c r="BL173" s="132"/>
      <c r="BM173" s="2552"/>
      <c r="BN173" s="132"/>
      <c r="BO173" s="132"/>
    </row>
    <row r="174" spans="2:71">
      <c r="B174" s="104" t="s">
        <v>556</v>
      </c>
      <c r="C174" s="135">
        <f>C146/C3/4</f>
        <v>5.1612086020790163E-2</v>
      </c>
      <c r="D174" s="135">
        <f>D146/D3/4</f>
        <v>3.6428406530787362E-2</v>
      </c>
      <c r="E174" s="135">
        <f>E146/E3/4</f>
        <v>2.7866956659484091E-2</v>
      </c>
      <c r="F174" s="135">
        <f>F146/F3/4</f>
        <v>1.101732344058055E-2</v>
      </c>
      <c r="G174" s="135">
        <f>G146/G3/4</f>
        <v>2.9999422483275182E-2</v>
      </c>
      <c r="H174" s="135">
        <f>H146/H3/4</f>
        <v>3.477685927970562E-2</v>
      </c>
      <c r="I174" s="135">
        <f>I146/I3/4</f>
        <v>3.4424836232211459E-2</v>
      </c>
      <c r="J174" s="135">
        <f>J146/J3/4</f>
        <v>9.2810620361020238E-3</v>
      </c>
      <c r="K174" s="135">
        <f>K146/K3/4</f>
        <v>4.0239695210075671E-2</v>
      </c>
      <c r="L174" s="135">
        <f>L146/L3/4</f>
        <v>2.357563053957256E-2</v>
      </c>
      <c r="M174" s="135">
        <f>M146/M3/4</f>
        <v>5.2995953151543262E-2</v>
      </c>
      <c r="N174" s="135">
        <f>N146/N3/4</f>
        <v>3.8424702342012299E-2</v>
      </c>
      <c r="O174" s="135">
        <f>O146/O3/4</f>
        <v>8.2123877206178766E-2</v>
      </c>
      <c r="P174" s="135">
        <f>P146/P3/4</f>
        <v>7.3905559829936657E-2</v>
      </c>
      <c r="Q174" s="135">
        <f>Q146/Q3/4</f>
        <v>7.6828241933758673E-2</v>
      </c>
      <c r="R174" s="135">
        <f>R146/R3/4</f>
        <v>3.9186004785320132E-2</v>
      </c>
      <c r="S174" s="135">
        <f>S146/S3/4</f>
        <v>8.6401436329492987E-2</v>
      </c>
      <c r="T174" s="135">
        <f>T146/T3/4</f>
        <v>7.4797133847383304E-2</v>
      </c>
      <c r="U174" s="135">
        <f>U146/U3/4</f>
        <v>8.7784272051009554E-2</v>
      </c>
      <c r="V174" s="135">
        <f>V146/V3/4</f>
        <v>2.0450517675589957E-2</v>
      </c>
      <c r="W174" s="135">
        <f>W146/W3/4</f>
        <v>3.2703645399265333E-2</v>
      </c>
      <c r="X174" s="135">
        <f>X146/X3/4</f>
        <v>2.3969371859847738E-2</v>
      </c>
      <c r="Y174" s="135">
        <f>Y146/Y3/4</f>
        <v>1.6908310235051089E-2</v>
      </c>
      <c r="Z174" s="135">
        <f>Z146/Z3/4</f>
        <v>-2.1050665758020545E-3</v>
      </c>
      <c r="AA174" s="135">
        <f>AA146/AA3/4</f>
        <v>2.6137937325339356E-2</v>
      </c>
      <c r="AB174" s="135">
        <f>AB146/AB3/4</f>
        <v>1.6982751573612401E-2</v>
      </c>
      <c r="AC174" s="135">
        <f>AC146/AC3/4</f>
        <v>3.9871117924260471E-2</v>
      </c>
      <c r="AD174" s="135">
        <f>AD146/AD3/4</f>
        <v>2.0964521067696158E-2</v>
      </c>
      <c r="AE174" s="135">
        <f>AE146/AE3/4</f>
        <v>4.5823153542567142E-2</v>
      </c>
      <c r="AF174" s="135">
        <f>AF146/AF3/4</f>
        <v>5.0961700542065509E-2</v>
      </c>
      <c r="AG174" s="135">
        <f>AG146/AG3/4</f>
        <v>4.4818400280502553E-2</v>
      </c>
      <c r="AH174" s="135">
        <f>AH146/AH3/4</f>
        <v>1.0656144456953249E-2</v>
      </c>
      <c r="AI174" s="135">
        <f>AI146/AI3/4</f>
        <v>3.8666373699960239E-2</v>
      </c>
      <c r="AJ174" s="135">
        <f>AJ146/AJ3/4</f>
        <v>4.3175599245772862E-2</v>
      </c>
      <c r="AK174" s="135">
        <f>AK146/AK3/4</f>
        <v>4.7511126567788262E-2</v>
      </c>
      <c r="AL174" s="135">
        <f>AL146/AL3/4</f>
        <v>-1.2967630286065998E-2</v>
      </c>
      <c r="AM174" s="2553">
        <f>AM146/AM3/4</f>
        <v>4.1360700889844421E-2</v>
      </c>
      <c r="AN174" s="135">
        <f>AN146/AN3/4</f>
        <v>5.5677708973301793E-2</v>
      </c>
      <c r="AO174" s="135">
        <f>AO146/AO3/4</f>
        <v>6.3848109639345382E-2</v>
      </c>
      <c r="AP174" s="135">
        <f>AP146/AP3/4</f>
        <v>5.1093562558700484E-2</v>
      </c>
      <c r="AQ174" s="135">
        <f>AQ146/AQ3/4</f>
        <v>7.1516334550360008E-2</v>
      </c>
      <c r="AR174" s="135">
        <f>AR146/AR3/4</f>
        <v>8.2400144449303617E-2</v>
      </c>
      <c r="AS174" s="135">
        <f>AS146/AS3/4</f>
        <v>9.6382663462938667E-2</v>
      </c>
      <c r="AT174" s="135">
        <f>AT146/AT3/4</f>
        <v>8.7526022754780913E-2</v>
      </c>
      <c r="AU174" s="135">
        <f>AU146/AU3/4</f>
        <v>9.8239183789756074E-2</v>
      </c>
      <c r="AV174" s="135">
        <f>AV146/AV3/4</f>
        <v>8.1584986745398033E-2</v>
      </c>
      <c r="AW174" s="135">
        <f>AW146/AW3/4</f>
        <v>9.5335206856964574E-2</v>
      </c>
      <c r="AX174" s="135">
        <f>AX146/AX3/4</f>
        <v>8.3889874306478693E-2</v>
      </c>
      <c r="AZ174" s="135">
        <v>8.0147096634384823E-2</v>
      </c>
      <c r="BD174" s="135">
        <f>BD146/BD3</f>
        <v>1.3050736306227131E-2</v>
      </c>
      <c r="BE174" s="135">
        <f>BE146/BE3</f>
        <v>1.0804745311080673E-2</v>
      </c>
      <c r="BF174" s="135">
        <f>BF146/BF3</f>
        <v>5.9800203427219617E-2</v>
      </c>
      <c r="BG174" s="135">
        <f>BG146/BG3</f>
        <v>5.1744073348028448E-2</v>
      </c>
      <c r="BH174" s="135">
        <f>BH146/BH3</f>
        <v>2.6699681856698507E-2</v>
      </c>
      <c r="BI174" s="135">
        <f>BI146/BI3</f>
        <v>-2.6940897750382625E-3</v>
      </c>
      <c r="BJ174" s="135">
        <f>BJ146/BJ3</f>
        <v>2.4393833189399729E-2</v>
      </c>
      <c r="BK174" s="135">
        <f>BK146/BK3</f>
        <v>1.2216453046789758E-2</v>
      </c>
      <c r="BL174" s="135">
        <f>BL146/BL3</f>
        <v>-1.16986129011022E-2</v>
      </c>
      <c r="BM174" s="2553">
        <f>BM146/BM3</f>
        <v>6.0623538538006581E-2</v>
      </c>
      <c r="BN174" s="135">
        <f>BN146/BN3</f>
        <v>9.8070168300853022E-2</v>
      </c>
      <c r="BO174" s="135">
        <f>BO146/BO3</f>
        <v>0.1030717730235932</v>
      </c>
      <c r="BP174" s="135">
        <f>BP146/BP3</f>
        <v>0.10030946963921453</v>
      </c>
      <c r="BQ174" s="135">
        <f>BQ146/BQ3</f>
        <v>0.10029727256099466</v>
      </c>
      <c r="BR174" s="135">
        <f>BR146/BR3</f>
        <v>0.1002732294844929</v>
      </c>
      <c r="BS174" s="135">
        <f>BS146/BS3</f>
        <v>0.10025074583116421</v>
      </c>
    </row>
    <row r="175" spans="2:71">
      <c r="B175" s="104"/>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2553"/>
      <c r="AN175" s="135"/>
      <c r="AO175" s="135"/>
      <c r="AP175" s="135"/>
      <c r="AQ175" s="135"/>
      <c r="AR175" s="135"/>
      <c r="AS175" s="135"/>
      <c r="AT175" s="135"/>
      <c r="BD175" s="135"/>
      <c r="BE175" s="135"/>
      <c r="BF175" s="135"/>
      <c r="BG175" s="135"/>
      <c r="BH175" s="135"/>
      <c r="BI175" s="135"/>
      <c r="BJ175" s="135"/>
      <c r="BK175" s="135"/>
      <c r="BL175" s="135"/>
      <c r="BM175" s="2553"/>
      <c r="BN175" s="135"/>
      <c r="BO175" s="135"/>
    </row>
    <row r="176" spans="2:71">
      <c r="B176" s="111" t="s">
        <v>557</v>
      </c>
      <c r="C176" s="135">
        <f t="shared" ref="C176:AP176" si="1135">C103/C$3/4</f>
        <v>3.6740766658091714E-2</v>
      </c>
      <c r="D176" s="135">
        <f t="shared" si="1135"/>
        <v>2.8394557577671613E-2</v>
      </c>
      <c r="E176" s="135">
        <f t="shared" si="1135"/>
        <v>3.9539443210336249E-2</v>
      </c>
      <c r="F176" s="135">
        <f t="shared" si="1135"/>
        <v>2.5028804042873106E-2</v>
      </c>
      <c r="G176" s="135">
        <f t="shared" si="1135"/>
        <v>3.3241732496634722E-2</v>
      </c>
      <c r="H176" s="135">
        <f t="shared" si="1135"/>
        <v>2.7665775974741142E-2</v>
      </c>
      <c r="I176" s="135">
        <f t="shared" si="1135"/>
        <v>2.9655711166327842E-2</v>
      </c>
      <c r="J176" s="135">
        <f t="shared" si="1135"/>
        <v>2.5745826154969603E-2</v>
      </c>
      <c r="K176" s="135">
        <f t="shared" si="1135"/>
        <v>3.5693062186046481E-2</v>
      </c>
      <c r="L176" s="135">
        <f t="shared" si="1135"/>
        <v>3.4090869684161647E-2</v>
      </c>
      <c r="M176" s="135">
        <f t="shared" si="1135"/>
        <v>2.5387604948258476E-2</v>
      </c>
      <c r="N176" s="135">
        <f t="shared" si="1135"/>
        <v>1.9066980056447542E-2</v>
      </c>
      <c r="O176" s="135">
        <f t="shared" si="1135"/>
        <v>3.0802748709311645E-2</v>
      </c>
      <c r="P176" s="135">
        <f t="shared" si="1135"/>
        <v>2.5338046023769135E-2</v>
      </c>
      <c r="Q176" s="135">
        <f t="shared" si="1135"/>
        <v>2.7675665633442051E-2</v>
      </c>
      <c r="R176" s="135">
        <f t="shared" si="1135"/>
        <v>2.8880072519508068E-2</v>
      </c>
      <c r="S176" s="135">
        <f t="shared" si="1135"/>
        <v>4.70996168096229E-2</v>
      </c>
      <c r="T176" s="135">
        <f t="shared" si="1135"/>
        <v>4.5342933972655999E-2</v>
      </c>
      <c r="U176" s="135">
        <f t="shared" si="1135"/>
        <v>4.9218916046758772E-2</v>
      </c>
      <c r="V176" s="135">
        <f t="shared" si="1135"/>
        <v>1.9785934147933962E-2</v>
      </c>
      <c r="W176" s="135">
        <f t="shared" si="1135"/>
        <v>3.2942865080100012E-2</v>
      </c>
      <c r="X176" s="135">
        <f t="shared" si="1135"/>
        <v>3.7687312139362432E-2</v>
      </c>
      <c r="Y176" s="135">
        <f t="shared" si="1135"/>
        <v>1.9560630233874703E-2</v>
      </c>
      <c r="Z176" s="135">
        <f t="shared" si="1135"/>
        <v>1.7549866324176971E-2</v>
      </c>
      <c r="AA176" s="135">
        <f t="shared" si="1135"/>
        <v>2.8540687115953926E-2</v>
      </c>
      <c r="AB176" s="135">
        <f t="shared" si="1135"/>
        <v>2.2226763672034661E-2</v>
      </c>
      <c r="AC176" s="135">
        <f t="shared" si="1135"/>
        <v>2.0439448134900357E-2</v>
      </c>
      <c r="AD176" s="135">
        <f t="shared" si="1135"/>
        <v>2.5589096718365172E-2</v>
      </c>
      <c r="AE176" s="135">
        <f t="shared" si="1135"/>
        <v>2.9742999436196196E-2</v>
      </c>
      <c r="AF176" s="135">
        <f t="shared" si="1135"/>
        <v>2.6879263997444933E-2</v>
      </c>
      <c r="AG176" s="135">
        <f t="shared" si="1135"/>
        <v>2.571344274071477E-2</v>
      </c>
      <c r="AH176" s="135">
        <f t="shared" si="1135"/>
        <v>2.0506828820287964E-2</v>
      </c>
      <c r="AI176" s="135">
        <f t="shared" si="1135"/>
        <v>3.5906731956389812E-2</v>
      </c>
      <c r="AJ176" s="135">
        <f t="shared" si="1135"/>
        <v>3.6079887949113806E-2</v>
      </c>
      <c r="AK176" s="135">
        <f t="shared" si="1135"/>
        <v>3.5706519238201187E-2</v>
      </c>
      <c r="AL176" s="135">
        <f t="shared" si="1135"/>
        <v>2.2767395672423606E-2</v>
      </c>
      <c r="AM176" s="2553">
        <f t="shared" si="1135"/>
        <v>1.6756148087697549E-2</v>
      </c>
      <c r="AN176" s="135">
        <f t="shared" si="1135"/>
        <v>1.3766478261567808E-2</v>
      </c>
      <c r="AO176" s="135">
        <f t="shared" si="1135"/>
        <v>1.8012024935347037E-2</v>
      </c>
      <c r="AP176" s="135">
        <f t="shared" si="1135"/>
        <v>1.4472549441811818E-2</v>
      </c>
      <c r="AQ176" s="135">
        <f t="shared" ref="AQ176:AS176" si="1136">AQ103/AQ$3/4</f>
        <v>2.5361039018167424E-2</v>
      </c>
      <c r="AR176" s="135">
        <f t="shared" si="1136"/>
        <v>2.5735001789051009E-2</v>
      </c>
      <c r="AS176" s="135">
        <f t="shared" si="1136"/>
        <v>3.15016746759866E-2</v>
      </c>
      <c r="AT176" s="135">
        <f t="shared" ref="AT176" si="1137">AT103/AT$3/4</f>
        <v>3.2314209634471076E-2</v>
      </c>
      <c r="AU176" s="154">
        <f t="shared" ref="AU176:AU177" si="1138">+AVERAGE(AQ176:AT176)</f>
        <v>2.8727981279419029E-2</v>
      </c>
      <c r="AV176" s="154">
        <f t="shared" ref="AV176:AV177" si="1139">+AVERAGE(AR176:AU176)</f>
        <v>2.9569716844731926E-2</v>
      </c>
      <c r="AW176" s="154">
        <f t="shared" ref="AW176:AW177" si="1140">+AVERAGE(AS176:AV176)</f>
        <v>3.0528395608652156E-2</v>
      </c>
      <c r="AX176" s="154">
        <f t="shared" ref="AX176:AX177" si="1141">+AVERAGE(AT176:AW176)</f>
        <v>3.0285075841818547E-2</v>
      </c>
      <c r="AZ176" s="154">
        <v>2.4267566231254215E-2</v>
      </c>
      <c r="BD176" s="135">
        <f t="shared" ref="BD176:BO176" si="1142">BD103/BD$3</f>
        <v>2.9648246544222007E-2</v>
      </c>
      <c r="BE176" s="135">
        <f t="shared" si="1142"/>
        <v>2.9972549838125879E-2</v>
      </c>
      <c r="BF176" s="135">
        <f t="shared" si="1142"/>
        <v>2.9673861256477068E-2</v>
      </c>
      <c r="BG176" s="135">
        <f t="shared" si="1142"/>
        <v>3.8135364881740338E-2</v>
      </c>
      <c r="BH176" s="135">
        <f t="shared" si="1142"/>
        <v>2.5832018307193491E-2</v>
      </c>
      <c r="BI176" s="135">
        <f t="shared" si="1142"/>
        <v>2.246053210893767E-2</v>
      </c>
      <c r="BJ176" s="135">
        <f t="shared" si="1142"/>
        <v>2.9774882755469152E-2</v>
      </c>
      <c r="BK176" s="135">
        <f t="shared" si="1142"/>
        <v>2.3509507818105398E-2</v>
      </c>
      <c r="BL176" s="135">
        <f t="shared" si="1142"/>
        <v>2.0539369403838478E-2</v>
      </c>
      <c r="BM176" s="2553">
        <f t="shared" si="1142"/>
        <v>1.7171970692411227E-2</v>
      </c>
      <c r="BN176" s="135">
        <f t="shared" si="1142"/>
        <v>3.6207060227565542E-2</v>
      </c>
      <c r="BO176" s="135">
        <f t="shared" si="1142"/>
        <v>3.9703038160635168E-2</v>
      </c>
      <c r="BP176" s="154">
        <f t="shared" ref="BP176" si="1143">+AVERAGE(BL176:BO176)</f>
        <v>2.8405359621112604E-2</v>
      </c>
      <c r="BQ176" s="154">
        <f t="shared" ref="BQ176" si="1144">+AVERAGE(BM176:BP176)</f>
        <v>3.0371857175431137E-2</v>
      </c>
      <c r="BR176" s="154">
        <f t="shared" ref="BR176" si="1145">+AVERAGE(BN176:BQ176)</f>
        <v>3.3671828796186111E-2</v>
      </c>
      <c r="BS176" s="154">
        <f t="shared" ref="BS176" si="1146">+AVERAGE(BO176:BR176)</f>
        <v>3.3038020938341253E-2</v>
      </c>
    </row>
    <row r="177" spans="2:71">
      <c r="B177" s="112" t="s">
        <v>558</v>
      </c>
      <c r="C177" s="135">
        <f t="shared" ref="C177:AP177" si="1147">C107/C$3/4</f>
        <v>0.11215897722359718</v>
      </c>
      <c r="D177" s="135">
        <f t="shared" si="1147"/>
        <v>6.7361535629319388E-2</v>
      </c>
      <c r="E177" s="135">
        <f t="shared" si="1147"/>
        <v>0.1020932474946821</v>
      </c>
      <c r="F177" s="135">
        <f t="shared" si="1147"/>
        <v>8.1396187439322767E-2</v>
      </c>
      <c r="G177" s="135">
        <f t="shared" si="1147"/>
        <v>8.8498177792609378E-2</v>
      </c>
      <c r="H177" s="135">
        <f t="shared" si="1147"/>
        <v>3.7292341510192832E-2</v>
      </c>
      <c r="I177" s="135">
        <f t="shared" si="1147"/>
        <v>3.1093385287252466E-2</v>
      </c>
      <c r="J177" s="135">
        <f t="shared" si="1147"/>
        <v>2.2410840158738312E-2</v>
      </c>
      <c r="K177" s="135">
        <f t="shared" si="1147"/>
        <v>1.8621850244008895E-2</v>
      </c>
      <c r="L177" s="135">
        <f t="shared" si="1147"/>
        <v>2.2337855949248586E-2</v>
      </c>
      <c r="M177" s="135">
        <f t="shared" si="1147"/>
        <v>2.0624487632204449E-2</v>
      </c>
      <c r="N177" s="135">
        <f t="shared" si="1147"/>
        <v>1.0559896076708845E-2</v>
      </c>
      <c r="O177" s="135">
        <f t="shared" si="1147"/>
        <v>1.6879117012757478E-2</v>
      </c>
      <c r="P177" s="135">
        <f t="shared" si="1147"/>
        <v>3.4723797014254189E-2</v>
      </c>
      <c r="Q177" s="135">
        <f t="shared" si="1147"/>
        <v>4.3147768956621008E-2</v>
      </c>
      <c r="R177" s="135">
        <f t="shared" si="1147"/>
        <v>1.075860990409204E-2</v>
      </c>
      <c r="S177" s="135">
        <f t="shared" si="1147"/>
        <v>1.5618687509516317E-2</v>
      </c>
      <c r="T177" s="135">
        <f t="shared" si="1147"/>
        <v>1.5259346854143718E-2</v>
      </c>
      <c r="U177" s="135">
        <f t="shared" si="1147"/>
        <v>1.4032943676939427E-2</v>
      </c>
      <c r="V177" s="135">
        <f t="shared" si="1147"/>
        <v>1.0306874358735191E-2</v>
      </c>
      <c r="W177" s="135">
        <f t="shared" si="1147"/>
        <v>2.7698037884166228E-2</v>
      </c>
      <c r="X177" s="135">
        <f t="shared" si="1147"/>
        <v>3.2199587529344653E-2</v>
      </c>
      <c r="Y177" s="135">
        <f t="shared" si="1147"/>
        <v>2.4464573239322714E-2</v>
      </c>
      <c r="Z177" s="135">
        <f t="shared" si="1147"/>
        <v>1.9320743342419792E-2</v>
      </c>
      <c r="AA177" s="135">
        <f t="shared" si="1147"/>
        <v>2.2252904445605393E-2</v>
      </c>
      <c r="AB177" s="135">
        <f t="shared" si="1147"/>
        <v>3.9242213684296583E-2</v>
      </c>
      <c r="AC177" s="135">
        <f t="shared" si="1147"/>
        <v>3.0801112814398453E-2</v>
      </c>
      <c r="AD177" s="135">
        <f t="shared" si="1147"/>
        <v>1.7411635492245225E-2</v>
      </c>
      <c r="AE177" s="135">
        <f t="shared" si="1147"/>
        <v>2.1964856230031946E-2</v>
      </c>
      <c r="AF177" s="135">
        <f t="shared" si="1147"/>
        <v>2.179130033624032E-2</v>
      </c>
      <c r="AG177" s="135">
        <f t="shared" si="1147"/>
        <v>2.2970418957864763E-2</v>
      </c>
      <c r="AH177" s="135">
        <f t="shared" si="1147"/>
        <v>1.8490401137642946E-2</v>
      </c>
      <c r="AI177" s="135">
        <f t="shared" si="1147"/>
        <v>9.0845836733839752E-2</v>
      </c>
      <c r="AJ177" s="135">
        <f t="shared" si="1147"/>
        <v>9.0474614257158706E-2</v>
      </c>
      <c r="AK177" s="135">
        <f t="shared" si="1147"/>
        <v>3.8620765765233794E-2</v>
      </c>
      <c r="AL177" s="135">
        <f t="shared" si="1147"/>
        <v>2.3037433651958792E-2</v>
      </c>
      <c r="AM177" s="2553">
        <f t="shared" si="1147"/>
        <v>0</v>
      </c>
      <c r="AN177" s="135">
        <f t="shared" si="1147"/>
        <v>0</v>
      </c>
      <c r="AO177" s="135">
        <f t="shared" si="1147"/>
        <v>0</v>
      </c>
      <c r="AP177" s="135">
        <f t="shared" si="1147"/>
        <v>0</v>
      </c>
      <c r="AQ177" s="135">
        <f t="shared" ref="AQ177:AS177" si="1148">AQ107/AQ$3/4</f>
        <v>0</v>
      </c>
      <c r="AR177" s="135">
        <f t="shared" si="1148"/>
        <v>0</v>
      </c>
      <c r="AS177" s="135">
        <f t="shared" si="1148"/>
        <v>2.6760703363914371E-2</v>
      </c>
      <c r="AT177" s="135">
        <f t="shared" ref="AT177" si="1149">AT107/AT$3/4</f>
        <v>8.0815783103364803E-4</v>
      </c>
      <c r="AU177" s="154">
        <f t="shared" si="1138"/>
        <v>6.8922152987370049E-3</v>
      </c>
      <c r="AV177" s="154">
        <f t="shared" si="1139"/>
        <v>8.6152691234212559E-3</v>
      </c>
      <c r="AW177" s="154">
        <f t="shared" si="1140"/>
        <v>1.0769086404276569E-2</v>
      </c>
      <c r="AX177" s="154">
        <f t="shared" si="1141"/>
        <v>6.7711821643671195E-3</v>
      </c>
      <c r="AZ177" s="154">
        <v>6.6901758409785928E-3</v>
      </c>
      <c r="BD177" s="135">
        <f t="shared" ref="BD177:BO177" si="1150">BD107/BD$3</f>
        <v>9.6419078947078851E-2</v>
      </c>
      <c r="BE177" s="135">
        <f t="shared" si="1150"/>
        <v>2.6090055123066995E-2</v>
      </c>
      <c r="BF177" s="135">
        <f t="shared" si="1150"/>
        <v>1.6434322065444956E-2</v>
      </c>
      <c r="BG177" s="135">
        <f t="shared" si="1150"/>
        <v>1.4206457204555659E-2</v>
      </c>
      <c r="BH177" s="135">
        <f t="shared" si="1150"/>
        <v>1.3456396101095489E-2</v>
      </c>
      <c r="BI177" s="135">
        <f t="shared" si="1150"/>
        <v>2.4726922028639121E-2</v>
      </c>
      <c r="BJ177" s="135">
        <f t="shared" si="1150"/>
        <v>2.0259777477432128E-2</v>
      </c>
      <c r="BK177" s="135">
        <f t="shared" si="1150"/>
        <v>2.1197827997435713E-2</v>
      </c>
      <c r="BL177" s="135">
        <f t="shared" si="1150"/>
        <v>2.0782981360802765E-2</v>
      </c>
      <c r="BM177" s="2553">
        <f t="shared" si="1150"/>
        <v>0</v>
      </c>
      <c r="BN177" s="135">
        <f t="shared" si="1150"/>
        <v>9.0551554850346494E-4</v>
      </c>
      <c r="BO177" s="135">
        <f t="shared" si="1150"/>
        <v>8.8023368265464832E-4</v>
      </c>
      <c r="BP177" s="154">
        <f t="shared" ref="BP177" si="1151">+AVERAGE(BN177:BO177)</f>
        <v>8.9287461557905658E-4</v>
      </c>
      <c r="BQ177" s="154">
        <f t="shared" ref="BQ177" si="1152">+AVERAGE(BO177:BP177)</f>
        <v>8.8655414911685245E-4</v>
      </c>
      <c r="BR177" s="154">
        <f t="shared" ref="BR177" si="1153">+AVERAGE(BP177:BQ177)</f>
        <v>8.8971438234795451E-4</v>
      </c>
      <c r="BS177" s="154">
        <f t="shared" ref="BS177" si="1154">+AVERAGE(BQ177:BR177)</f>
        <v>8.8813426573240348E-4</v>
      </c>
    </row>
    <row r="178" spans="2:71">
      <c r="B178" s="112" t="s">
        <v>559</v>
      </c>
      <c r="C178" s="135">
        <f t="shared" ref="C178:AP178" si="1155">C127/C$3/4</f>
        <v>1.5980420694736486E-2</v>
      </c>
      <c r="D178" s="135">
        <f t="shared" si="1155"/>
        <v>1.7155454000401534E-2</v>
      </c>
      <c r="E178" s="135">
        <f t="shared" si="1155"/>
        <v>1.9879066059319484E-2</v>
      </c>
      <c r="F178" s="135">
        <f t="shared" si="1155"/>
        <v>2.8083034958951564E-2</v>
      </c>
      <c r="G178" s="135">
        <f t="shared" si="1155"/>
        <v>4.5279087243298509E-2</v>
      </c>
      <c r="H178" s="135">
        <f t="shared" si="1155"/>
        <v>3.8046124864868469E-2</v>
      </c>
      <c r="I178" s="135">
        <f t="shared" si="1155"/>
        <v>3.8520348618326934E-2</v>
      </c>
      <c r="J178" s="135">
        <f t="shared" si="1155"/>
        <v>2.4613947383059092E-2</v>
      </c>
      <c r="K178" s="135">
        <f t="shared" si="1155"/>
        <v>3.2211769116470348E-2</v>
      </c>
      <c r="L178" s="135">
        <f t="shared" si="1155"/>
        <v>2.0632759209870725E-2</v>
      </c>
      <c r="M178" s="135">
        <f t="shared" si="1155"/>
        <v>3.0297606315973415E-2</v>
      </c>
      <c r="N178" s="135">
        <f t="shared" si="1155"/>
        <v>1.3833993757126035E-2</v>
      </c>
      <c r="O178" s="135">
        <f t="shared" si="1155"/>
        <v>2.933400578410188E-2</v>
      </c>
      <c r="P178" s="135">
        <f t="shared" si="1155"/>
        <v>1.9994787745170262E-2</v>
      </c>
      <c r="Q178" s="135">
        <f t="shared" si="1155"/>
        <v>1.9170254255419635E-2</v>
      </c>
      <c r="R178" s="135">
        <f t="shared" si="1155"/>
        <v>1.7496336353029412E-2</v>
      </c>
      <c r="S178" s="135">
        <f t="shared" si="1155"/>
        <v>2.462004517078617E-2</v>
      </c>
      <c r="T178" s="135">
        <f t="shared" si="1155"/>
        <v>2.424771593338949E-2</v>
      </c>
      <c r="U178" s="135">
        <f t="shared" si="1155"/>
        <v>2.471838469713071E-2</v>
      </c>
      <c r="V178" s="135">
        <f t="shared" si="1155"/>
        <v>1.6587383017753317E-2</v>
      </c>
      <c r="W178" s="135">
        <f t="shared" si="1155"/>
        <v>4.6557808850613738E-2</v>
      </c>
      <c r="X178" s="135">
        <f t="shared" si="1155"/>
        <v>4.1839443603413851E-2</v>
      </c>
      <c r="Y178" s="135">
        <f t="shared" si="1155"/>
        <v>3.9610184320616415E-2</v>
      </c>
      <c r="Z178" s="135">
        <f t="shared" si="1155"/>
        <v>3.1990459215768499E-2</v>
      </c>
      <c r="AA178" s="135">
        <f t="shared" si="1155"/>
        <v>3.7776450978928774E-2</v>
      </c>
      <c r="AB178" s="135">
        <f t="shared" si="1155"/>
        <v>3.7249652579089347E-2</v>
      </c>
      <c r="AC178" s="135">
        <f t="shared" si="1155"/>
        <v>4.8138144714537152E-2</v>
      </c>
      <c r="AD178" s="135">
        <f t="shared" si="1155"/>
        <v>4.0018638088264655E-2</v>
      </c>
      <c r="AE178" s="135">
        <f t="shared" si="1155"/>
        <v>4.8559951137004315E-2</v>
      </c>
      <c r="AF178" s="135">
        <f t="shared" si="1155"/>
        <v>5.1196802611850931E-2</v>
      </c>
      <c r="AG178" s="135">
        <f t="shared" si="1155"/>
        <v>6.3151548322543688E-2</v>
      </c>
      <c r="AH178" s="135">
        <f t="shared" si="1155"/>
        <v>6.6227336019434729E-2</v>
      </c>
      <c r="AI178" s="135">
        <f t="shared" si="1155"/>
        <v>0.11968213112352731</v>
      </c>
      <c r="AJ178" s="135">
        <f t="shared" si="1155"/>
        <v>8.8623985990925261E-2</v>
      </c>
      <c r="AK178" s="135">
        <f t="shared" si="1155"/>
        <v>3.9066174623077196E-2</v>
      </c>
      <c r="AL178" s="135">
        <f t="shared" si="1155"/>
        <v>5.2018606487880231E-2</v>
      </c>
      <c r="AM178" s="2553">
        <f t="shared" si="1155"/>
        <v>1.1133100017263297E-2</v>
      </c>
      <c r="AN178" s="135">
        <f t="shared" si="1155"/>
        <v>1.0566932202896581E-2</v>
      </c>
      <c r="AO178" s="135">
        <f t="shared" si="1155"/>
        <v>1.1571851650049947E-2</v>
      </c>
      <c r="AP178" s="135">
        <f t="shared" si="1155"/>
        <v>1.1662556966145833E-2</v>
      </c>
      <c r="AQ178" s="135">
        <f t="shared" ref="AQ178:AS178" si="1156">AQ127/AQ$3/4</f>
        <v>1.3007375474713707E-2</v>
      </c>
      <c r="AR178" s="135">
        <f t="shared" si="1156"/>
        <v>9.8635351647914753E-3</v>
      </c>
      <c r="AS178" s="135">
        <f t="shared" si="1156"/>
        <v>8.9295543905635651E-3</v>
      </c>
      <c r="AT178" s="135">
        <f t="shared" ref="AT178" si="1157">AT127/AT$3/4</f>
        <v>2.0660766158315177E-2</v>
      </c>
      <c r="AU178" s="154">
        <f t="shared" ref="AU178" si="1158">+AT178</f>
        <v>2.0660766158315177E-2</v>
      </c>
      <c r="AV178" s="154">
        <f t="shared" ref="AV178" si="1159">+AU178</f>
        <v>2.0660766158315177E-2</v>
      </c>
      <c r="AW178" s="154">
        <f t="shared" ref="AW178" si="1160">+AV178</f>
        <v>2.0660766158315177E-2</v>
      </c>
      <c r="AX178" s="154">
        <f t="shared" ref="AX178" si="1161">+AW178</f>
        <v>2.0660766158315177E-2</v>
      </c>
      <c r="AZ178" s="154">
        <v>8.9295543905635651E-3</v>
      </c>
      <c r="BD178" s="135">
        <f t="shared" ref="BD178:BO178" si="1162">BD127/BD$3</f>
        <v>3.3266181745910714E-2</v>
      </c>
      <c r="BE178" s="135">
        <f t="shared" si="1162"/>
        <v>2.865484914762945E-2</v>
      </c>
      <c r="BF178" s="135">
        <f t="shared" si="1162"/>
        <v>2.1529786581651857E-2</v>
      </c>
      <c r="BG178" s="135">
        <f t="shared" si="1162"/>
        <v>2.3103445133862841E-2</v>
      </c>
      <c r="BH178" s="135">
        <f t="shared" si="1162"/>
        <v>2.1656070346710236E-2</v>
      </c>
      <c r="BI178" s="135">
        <f t="shared" si="1162"/>
        <v>4.0941778308908314E-2</v>
      </c>
      <c r="BJ178" s="135">
        <f t="shared" si="1162"/>
        <v>4.656476429105301E-2</v>
      </c>
      <c r="BK178" s="135">
        <f t="shared" si="1162"/>
        <v>7.5924565790535053E-2</v>
      </c>
      <c r="BL178" s="135">
        <f t="shared" si="1162"/>
        <v>4.6928045258228079E-2</v>
      </c>
      <c r="BM178" s="2553">
        <f t="shared" si="1162"/>
        <v>1.3837858162200962E-2</v>
      </c>
      <c r="BN178" s="135">
        <f t="shared" si="1162"/>
        <v>2.3149741649375485E-2</v>
      </c>
      <c r="BO178" s="135">
        <f t="shared" si="1162"/>
        <v>2.3092429354534129E-2</v>
      </c>
      <c r="BP178" s="154">
        <f t="shared" ref="BP178" si="1163">+BO178</f>
        <v>2.3092429354534129E-2</v>
      </c>
      <c r="BQ178" s="154">
        <f t="shared" ref="BQ178" si="1164">+BP178</f>
        <v>2.3092429354534129E-2</v>
      </c>
      <c r="BR178" s="154">
        <f t="shared" ref="BR178" si="1165">+BQ178</f>
        <v>2.3092429354534129E-2</v>
      </c>
      <c r="BS178" s="154">
        <f t="shared" ref="BS178" si="1166">+BR178</f>
        <v>2.3092429354534129E-2</v>
      </c>
    </row>
    <row r="179" spans="2:71">
      <c r="B179" s="112"/>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54"/>
      <c r="AM179" s="2554"/>
      <c r="AN179" s="154"/>
      <c r="AO179" s="154"/>
      <c r="AP179" s="154"/>
      <c r="AQ179" s="154"/>
      <c r="AR179" s="154"/>
      <c r="AS179" s="154"/>
      <c r="AT179" s="154"/>
      <c r="AU179" s="154"/>
      <c r="AV179" s="154"/>
      <c r="AW179" s="154"/>
      <c r="AX179" s="154"/>
      <c r="AZ179" s="154"/>
      <c r="BD179" s="135"/>
      <c r="BE179" s="135"/>
      <c r="BF179" s="135"/>
      <c r="BG179" s="135"/>
      <c r="BH179" s="135"/>
      <c r="BI179" s="135"/>
      <c r="BJ179" s="135"/>
      <c r="BK179" s="135"/>
      <c r="BL179" s="135"/>
      <c r="BM179" s="2553"/>
      <c r="BN179" s="135"/>
      <c r="BO179" s="135"/>
      <c r="BP179" s="154"/>
      <c r="BQ179" s="154"/>
      <c r="BR179" s="154"/>
      <c r="BS179" s="154"/>
    </row>
    <row r="180" spans="2:71" s="1274" customFormat="1">
      <c r="B180" s="1268" t="s">
        <v>540</v>
      </c>
      <c r="C180" s="1269"/>
      <c r="D180" s="1269"/>
      <c r="E180" s="1269"/>
      <c r="F180" s="1269"/>
      <c r="G180" s="1269"/>
      <c r="H180" s="1269"/>
      <c r="I180" s="1269"/>
      <c r="J180" s="1269"/>
      <c r="K180" s="1269"/>
      <c r="L180" s="1269"/>
      <c r="M180" s="1269"/>
      <c r="N180" s="1269"/>
      <c r="O180" s="1269"/>
      <c r="P180" s="1269"/>
      <c r="Q180" s="1269"/>
      <c r="R180" s="1269"/>
      <c r="S180" s="1269"/>
      <c r="T180" s="1269"/>
      <c r="U180" s="1269"/>
      <c r="V180" s="1269"/>
      <c r="W180" s="1269"/>
      <c r="X180" s="1269"/>
      <c r="Y180" s="1269"/>
      <c r="Z180" s="1269">
        <f>+Z181*MACRO!Z4</f>
        <v>9691.5873954983927</v>
      </c>
      <c r="AA180" s="1269">
        <f>+AA181*MACRO!AA4</f>
        <v>10514.350634677219</v>
      </c>
      <c r="AB180" s="1269">
        <f>+AB181*MACRO!AB4</f>
        <v>9272.6480732129603</v>
      </c>
      <c r="AC180" s="1269">
        <f>+AC181*MACRO!AC4</f>
        <v>10157.179203561711</v>
      </c>
      <c r="AD180" s="1269">
        <f>+AD181*MACRO!AD4</f>
        <v>10501.28793865941</v>
      </c>
      <c r="AE180" s="1269">
        <f>+AE181*MACRO!AE4</f>
        <v>8847.3640128617371</v>
      </c>
      <c r="AF180" s="1270">
        <f>(1492.963+3129.713+5185.356)</f>
        <v>9808.0319999999992</v>
      </c>
      <c r="AG180" s="1270">
        <v>5414.5360000000001</v>
      </c>
      <c r="AH180" s="1270">
        <v>5172.9660000000003</v>
      </c>
      <c r="AI180" s="1270">
        <v>5090.866</v>
      </c>
      <c r="AJ180" s="1270">
        <v>4778.7110000000002</v>
      </c>
      <c r="AK180" s="1270">
        <v>5172.9660000000003</v>
      </c>
      <c r="AL180" s="1269">
        <f>+AL181*MACRO!AL4</f>
        <v>4988.0446719523106</v>
      </c>
      <c r="AM180" s="2545">
        <f>+AM181*MACRO!AM4</f>
        <v>5154.4635880774968</v>
      </c>
      <c r="AN180" s="1269">
        <f>+AN181*MACRO!AN4</f>
        <v>5750.2412519821173</v>
      </c>
      <c r="AO180" s="1269">
        <f>+AO181*MACRO!AO4</f>
        <v>5602.1191654247405</v>
      </c>
      <c r="AP180" s="1269">
        <f>+AP181*MACRO!AP4</f>
        <v>6345.9161247093898</v>
      </c>
      <c r="AQ180" s="1269">
        <f>+AQ181*MACRO!AQ4</f>
        <v>5910.4926974664686</v>
      </c>
      <c r="AR180" s="1269">
        <f>+AR181*MACRO!AR4</f>
        <v>5622.6774008941884</v>
      </c>
      <c r="AS180" s="1269">
        <f>+AS181*MACRO!AS4</f>
        <v>5470.2380848882267</v>
      </c>
      <c r="AT180" s="1269">
        <f>+AT181*MACRO!AT4</f>
        <v>5628.1253332935921</v>
      </c>
      <c r="AU180" s="1269">
        <f>+AU181*MACRO!AU4</f>
        <v>5447.932399403875</v>
      </c>
      <c r="AV180" s="1269">
        <f>+AV181*MACRO!AV4</f>
        <v>5461.754176685723</v>
      </c>
      <c r="AW180" s="1269">
        <f>+AW181*MACRO!AW4</f>
        <v>5467.4183894972857</v>
      </c>
      <c r="AX180" s="1269">
        <f>+AX181*MACRO!AX4</f>
        <v>5503.1592776273528</v>
      </c>
      <c r="AY180" s="1271"/>
      <c r="AZ180" s="1269">
        <v>5628.1253332935921</v>
      </c>
      <c r="BA180" s="1271"/>
      <c r="BB180" s="1271"/>
      <c r="BC180" s="1271"/>
      <c r="BD180" s="1273"/>
      <c r="BE180" s="1273"/>
      <c r="BF180" s="1273"/>
      <c r="BG180" s="1273"/>
      <c r="BH180" s="1273"/>
      <c r="BI180" s="1273"/>
      <c r="BJ180" s="1273"/>
      <c r="BK180" s="1273"/>
      <c r="BL180" s="1273"/>
      <c r="BM180" s="2610"/>
      <c r="BN180" s="1273"/>
      <c r="BO180" s="1273"/>
      <c r="BP180" s="1272"/>
      <c r="BQ180" s="1272"/>
      <c r="BR180" s="1272"/>
      <c r="BS180" s="1272"/>
    </row>
    <row r="181" spans="2:71" s="1274" customFormat="1">
      <c r="B181" s="1268" t="s">
        <v>541</v>
      </c>
      <c r="C181" s="1269"/>
      <c r="D181" s="1269"/>
      <c r="E181" s="1269"/>
      <c r="F181" s="1269"/>
      <c r="G181" s="1269"/>
      <c r="H181" s="1269"/>
      <c r="I181" s="1269"/>
      <c r="J181" s="1269"/>
      <c r="K181" s="1269"/>
      <c r="L181" s="1269"/>
      <c r="M181" s="1269"/>
      <c r="N181" s="1269"/>
      <c r="O181" s="1269"/>
      <c r="P181" s="1269"/>
      <c r="Q181" s="1269"/>
      <c r="R181" s="1269"/>
      <c r="S181" s="1269"/>
      <c r="T181" s="1269"/>
      <c r="U181" s="1269"/>
      <c r="V181" s="1269"/>
      <c r="W181" s="1269"/>
      <c r="X181" s="1269"/>
      <c r="Y181" s="1269"/>
      <c r="Z181" s="1275">
        <f t="shared" ref="Z181:AC181" si="1167">+AA181</f>
        <v>1866.0994311155082</v>
      </c>
      <c r="AA181" s="1275">
        <f t="shared" si="1167"/>
        <v>1866.0994311155082</v>
      </c>
      <c r="AB181" s="1275">
        <f t="shared" si="1167"/>
        <v>1866.0994311155082</v>
      </c>
      <c r="AC181" s="1275">
        <f t="shared" si="1167"/>
        <v>1866.0994311155082</v>
      </c>
      <c r="AD181" s="1275">
        <f>+AE181</f>
        <v>1866.0994311155082</v>
      </c>
      <c r="AE181" s="1275">
        <f>+AF181</f>
        <v>1866.0994311155082</v>
      </c>
      <c r="AF181" s="1269">
        <f>+AF180/MACRO!AF4</f>
        <v>1866.0994311155082</v>
      </c>
      <c r="AG181" s="1269">
        <f>+AG180/MACRO!AG4</f>
        <v>999.82199242913862</v>
      </c>
      <c r="AH181" s="1269">
        <f>+AH180/MACRO!AH4</f>
        <v>978.61634506242922</v>
      </c>
      <c r="AI181" s="1269">
        <f>+AI180/MACRO!AI4</f>
        <v>1005.3052922590837</v>
      </c>
      <c r="AJ181" s="1269">
        <f>+AJ180/MACRO!AJ4</f>
        <v>998.16417754569204</v>
      </c>
      <c r="AK181" s="1269">
        <f>+AK180/MACRO!AK4</f>
        <v>1027.9117734724293</v>
      </c>
      <c r="AL181" s="1275">
        <f t="shared" ref="AL181" si="1168">+AK181</f>
        <v>1027.9117734724293</v>
      </c>
      <c r="AM181" s="2546">
        <f t="shared" ref="AM181:AO181" si="1169">+AL181</f>
        <v>1027.9117734724293</v>
      </c>
      <c r="AN181" s="1275">
        <f t="shared" si="1169"/>
        <v>1027.9117734724293</v>
      </c>
      <c r="AO181" s="1275">
        <f t="shared" si="1169"/>
        <v>1027.9117734724293</v>
      </c>
      <c r="AP181" s="1275">
        <f t="shared" ref="AP181" si="1170">+AO181</f>
        <v>1027.9117734724293</v>
      </c>
      <c r="AQ181" s="1275">
        <f t="shared" ref="AQ181" si="1171">+AP181</f>
        <v>1027.9117734724293</v>
      </c>
      <c r="AR181" s="1275">
        <f t="shared" ref="AR181" si="1172">+AQ181</f>
        <v>1027.9117734724293</v>
      </c>
      <c r="AS181" s="1275">
        <f t="shared" ref="AS181" si="1173">+AR181</f>
        <v>1027.9117734724293</v>
      </c>
      <c r="AT181" s="1275">
        <f t="shared" ref="AT181" si="1174">+AS181</f>
        <v>1027.9117734724293</v>
      </c>
      <c r="AU181" s="1275">
        <f t="shared" ref="AU181" si="1175">+AT181</f>
        <v>1027.9117734724293</v>
      </c>
      <c r="AV181" s="1275">
        <f t="shared" ref="AV181" si="1176">+AU181</f>
        <v>1027.9117734724293</v>
      </c>
      <c r="AW181" s="1275">
        <f t="shared" ref="AW181" si="1177">+AV181</f>
        <v>1027.9117734724293</v>
      </c>
      <c r="AX181" s="1275">
        <f t="shared" ref="AX181" si="1178">+AW181</f>
        <v>1027.9117734724293</v>
      </c>
      <c r="AY181" s="1271"/>
      <c r="AZ181" s="1275">
        <v>1027.9117734724293</v>
      </c>
      <c r="BA181" s="1271"/>
      <c r="BB181" s="1271"/>
      <c r="BC181" s="1271"/>
      <c r="BD181" s="1273"/>
      <c r="BE181" s="1273"/>
      <c r="BF181" s="1273"/>
      <c r="BG181" s="1273"/>
      <c r="BH181" s="1273"/>
      <c r="BI181" s="1273"/>
      <c r="BJ181" s="1273"/>
      <c r="BK181" s="1273"/>
      <c r="BL181" s="1273"/>
      <c r="BM181" s="2610"/>
      <c r="BN181" s="1273"/>
      <c r="BO181" s="1273"/>
      <c r="BP181" s="1272"/>
      <c r="BQ181" s="1272"/>
      <c r="BR181" s="1272"/>
      <c r="BS181" s="1272"/>
    </row>
    <row r="182" spans="2:71" s="1274" customFormat="1">
      <c r="B182" s="1268" t="s">
        <v>542</v>
      </c>
      <c r="C182" s="1269"/>
      <c r="D182" s="1269"/>
      <c r="E182" s="1269"/>
      <c r="F182" s="1269"/>
      <c r="G182" s="1269"/>
      <c r="H182" s="1269"/>
      <c r="I182" s="1269"/>
      <c r="J182" s="1269"/>
      <c r="K182" s="1269"/>
      <c r="L182" s="1269"/>
      <c r="M182" s="1269"/>
      <c r="N182" s="1269"/>
      <c r="O182" s="1269"/>
      <c r="P182" s="1269"/>
      <c r="Q182" s="1269"/>
      <c r="R182" s="1269"/>
      <c r="S182" s="1269"/>
      <c r="T182" s="1269"/>
      <c r="U182" s="1269"/>
      <c r="V182" s="1269"/>
      <c r="W182" s="1269"/>
      <c r="X182" s="1269"/>
      <c r="Y182" s="1269"/>
      <c r="Z182" s="1276">
        <f t="shared" ref="Z182:AE182" si="1179">+Z180-Y180</f>
        <v>9691.5873954983927</v>
      </c>
      <c r="AA182" s="1276">
        <f t="shared" si="1179"/>
        <v>822.76323917882655</v>
      </c>
      <c r="AB182" s="1276">
        <f t="shared" si="1179"/>
        <v>-1241.7025614642589</v>
      </c>
      <c r="AC182" s="1276">
        <f t="shared" si="1179"/>
        <v>884.53113034875059</v>
      </c>
      <c r="AD182" s="1276">
        <f t="shared" si="1179"/>
        <v>344.10873509769954</v>
      </c>
      <c r="AE182" s="1276">
        <f t="shared" si="1179"/>
        <v>-1653.9239257976733</v>
      </c>
      <c r="AF182" s="1276">
        <f>+AF180-AE180</f>
        <v>960.66798713826211</v>
      </c>
      <c r="AG182" s="1276">
        <f>+AG180-AF180</f>
        <v>-4393.4959999999992</v>
      </c>
      <c r="AH182" s="1276">
        <f t="shared" ref="AH182:AL182" si="1180">+AH180-AG180</f>
        <v>-241.56999999999971</v>
      </c>
      <c r="AI182" s="1276">
        <f t="shared" si="1180"/>
        <v>-82.100000000000364</v>
      </c>
      <c r="AJ182" s="1276">
        <f t="shared" si="1180"/>
        <v>-312.15499999999975</v>
      </c>
      <c r="AK182" s="1276">
        <f t="shared" si="1180"/>
        <v>394.25500000000011</v>
      </c>
      <c r="AL182" s="1276">
        <f t="shared" si="1180"/>
        <v>-184.92132804768971</v>
      </c>
      <c r="AM182" s="2547">
        <f t="shared" ref="AM182:AO182" si="1181">+AM180-AL180</f>
        <v>166.41891612518612</v>
      </c>
      <c r="AN182" s="1276">
        <f t="shared" si="1181"/>
        <v>595.77766390462057</v>
      </c>
      <c r="AO182" s="1276">
        <f t="shared" si="1181"/>
        <v>-148.12208655737686</v>
      </c>
      <c r="AP182" s="1276">
        <f t="shared" ref="AP182" si="1182">+AP180-AO180</f>
        <v>743.79695928464935</v>
      </c>
      <c r="AQ182" s="1276">
        <f t="shared" ref="AQ182" si="1183">+AQ180-AP180</f>
        <v>-435.42342724292121</v>
      </c>
      <c r="AR182" s="1276">
        <f t="shared" ref="AR182" si="1184">+AR180-AQ180</f>
        <v>-287.8152965722802</v>
      </c>
      <c r="AS182" s="1276">
        <f t="shared" ref="AS182" si="1185">+AS180-AR180</f>
        <v>-152.4393160059617</v>
      </c>
      <c r="AT182" s="1276">
        <f t="shared" ref="AT182" si="1186">+AT180-AS180</f>
        <v>157.88724840536543</v>
      </c>
      <c r="AU182" s="1276">
        <f t="shared" ref="AU182" si="1187">+AU180-AT180</f>
        <v>-180.1929338897171</v>
      </c>
      <c r="AV182" s="1276">
        <f t="shared" ref="AV182" si="1188">+AV180-AU180</f>
        <v>13.821777281847972</v>
      </c>
      <c r="AW182" s="1276">
        <f t="shared" ref="AW182" si="1189">+AW180-AV180</f>
        <v>5.6642128115627202</v>
      </c>
      <c r="AX182" s="1276">
        <f t="shared" ref="AX182" si="1190">+AX180-AW180</f>
        <v>35.740888130067106</v>
      </c>
      <c r="AY182" s="1271"/>
      <c r="AZ182" s="1276">
        <v>157.88724840536543</v>
      </c>
      <c r="BA182" s="1271"/>
      <c r="BB182" s="1271"/>
      <c r="BC182" s="1271"/>
      <c r="BD182" s="1273"/>
      <c r="BE182" s="1273"/>
      <c r="BF182" s="1273"/>
      <c r="BG182" s="1273"/>
      <c r="BH182" s="1273"/>
      <c r="BI182" s="1273"/>
      <c r="BJ182" s="1273"/>
      <c r="BK182" s="1273"/>
      <c r="BL182" s="1273"/>
      <c r="BM182" s="2610"/>
      <c r="BN182" s="1273"/>
      <c r="BO182" s="1273"/>
      <c r="BP182" s="1272"/>
      <c r="BQ182" s="1272"/>
      <c r="BR182" s="1272"/>
      <c r="BS182" s="1272"/>
    </row>
    <row r="183" spans="2:71" s="950" customFormat="1">
      <c r="B183" s="1277" t="s">
        <v>543</v>
      </c>
      <c r="C183" s="1278"/>
      <c r="D183" s="1278"/>
      <c r="E183" s="1278"/>
      <c r="F183" s="1278"/>
      <c r="G183" s="1278"/>
      <c r="H183" s="1278"/>
      <c r="I183" s="1278"/>
      <c r="J183" s="1278"/>
      <c r="K183" s="1278"/>
      <c r="L183" s="1278"/>
      <c r="M183" s="1278"/>
      <c r="N183" s="1278"/>
      <c r="O183" s="1278"/>
      <c r="P183" s="1278"/>
      <c r="Q183" s="1278"/>
      <c r="R183" s="1278"/>
      <c r="S183" s="1278"/>
      <c r="T183" s="1278"/>
      <c r="U183" s="1278"/>
      <c r="V183" s="1278"/>
      <c r="W183" s="1278"/>
      <c r="X183" s="1278"/>
      <c r="Y183" s="1278"/>
      <c r="Z183" s="1278">
        <f t="shared" ref="Z183:AX183" si="1191">+Z153-Y153-Z182</f>
        <v>-16778.087395498394</v>
      </c>
      <c r="AA183" s="1278">
        <f t="shared" si="1191"/>
        <v>1131.4367608211751</v>
      </c>
      <c r="AB183" s="1278">
        <f t="shared" si="1191"/>
        <v>-40.197438535743458</v>
      </c>
      <c r="AC183" s="1278">
        <f t="shared" si="1191"/>
        <v>297.46886965125213</v>
      </c>
      <c r="AD183" s="1278">
        <f t="shared" si="1191"/>
        <v>-948.10873509770227</v>
      </c>
      <c r="AE183" s="1278">
        <f t="shared" si="1191"/>
        <v>2253.3239257976738</v>
      </c>
      <c r="AF183" s="1278">
        <f t="shared" si="1191"/>
        <v>472.93201286174008</v>
      </c>
      <c r="AG183" s="1278">
        <f t="shared" si="1191"/>
        <v>4708.0959999999977</v>
      </c>
      <c r="AH183" s="1278">
        <f t="shared" si="1191"/>
        <v>-1240.7299999999987</v>
      </c>
      <c r="AI183" s="1278">
        <f t="shared" si="1191"/>
        <v>1928.8000000000002</v>
      </c>
      <c r="AJ183" s="1278">
        <f t="shared" si="1191"/>
        <v>802.55499999999938</v>
      </c>
      <c r="AK183" s="1278">
        <f t="shared" si="1191"/>
        <v>-10890.055</v>
      </c>
      <c r="AL183" s="1278">
        <f t="shared" si="1191"/>
        <v>-915.87867195231092</v>
      </c>
      <c r="AM183" s="2548">
        <f t="shared" si="1191"/>
        <v>-725.6919161251858</v>
      </c>
      <c r="AN183" s="1278">
        <f t="shared" si="1191"/>
        <v>707.26133609537919</v>
      </c>
      <c r="AO183" s="1278">
        <f t="shared" si="1191"/>
        <v>256.19008655737707</v>
      </c>
      <c r="AP183" s="1278">
        <f t="shared" si="1191"/>
        <v>-950.90095928464939</v>
      </c>
      <c r="AQ183" s="1278">
        <f t="shared" si="1191"/>
        <v>925.53142724292115</v>
      </c>
      <c r="AR183" s="1278">
        <f t="shared" si="1191"/>
        <v>983.15629657228055</v>
      </c>
      <c r="AS183" s="1278">
        <f t="shared" si="1191"/>
        <v>4065.8083160059618</v>
      </c>
      <c r="AT183" s="1278">
        <f t="shared" si="1191"/>
        <v>-734.00624840536511</v>
      </c>
      <c r="AU183" s="1278">
        <f t="shared" si="1191"/>
        <v>-541.37883650214599</v>
      </c>
      <c r="AV183" s="1278">
        <f t="shared" si="1191"/>
        <v>-134.47818398299205</v>
      </c>
      <c r="AW183" s="1278">
        <f t="shared" si="1191"/>
        <v>42.067004469272433</v>
      </c>
      <c r="AX183" s="1278">
        <f t="shared" si="1191"/>
        <v>-222.81444952985021</v>
      </c>
      <c r="AY183" s="1279"/>
      <c r="AZ183" s="1278">
        <v>-750.84964471451622</v>
      </c>
      <c r="BA183" s="1279"/>
      <c r="BB183" s="1279"/>
      <c r="BC183" s="1279"/>
      <c r="BD183" s="1281"/>
      <c r="BE183" s="1281"/>
      <c r="BF183" s="1281"/>
      <c r="BG183" s="1281"/>
      <c r="BH183" s="1281"/>
      <c r="BI183" s="1281"/>
      <c r="BJ183" s="1281"/>
      <c r="BK183" s="1281"/>
      <c r="BL183" s="1281"/>
      <c r="BM183" s="2611"/>
      <c r="BN183" s="1281"/>
      <c r="BO183" s="1281"/>
      <c r="BP183" s="1280"/>
      <c r="BQ183" s="1280"/>
      <c r="BR183" s="1280"/>
      <c r="BS183" s="1280"/>
    </row>
    <row r="184" spans="2:71">
      <c r="B184" s="10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c r="Z184" s="272"/>
      <c r="AA184" s="272"/>
      <c r="AB184" s="272"/>
      <c r="AC184" s="272"/>
      <c r="AD184" s="272"/>
      <c r="AE184" s="272"/>
      <c r="AF184" s="272"/>
      <c r="AG184" s="272"/>
      <c r="AH184" s="272"/>
      <c r="AI184" s="272"/>
      <c r="AJ184" s="272"/>
      <c r="AK184" s="272"/>
      <c r="AL184" s="686"/>
      <c r="AM184" s="2526"/>
      <c r="AN184" s="686"/>
      <c r="AO184" s="686"/>
      <c r="AP184" s="686"/>
      <c r="AQ184" s="686"/>
      <c r="AR184" s="686"/>
      <c r="AS184" s="686"/>
      <c r="AT184" s="686"/>
      <c r="AU184" s="686"/>
      <c r="AV184" s="686"/>
      <c r="AW184" s="686"/>
      <c r="AX184" s="686"/>
      <c r="AY184" s="146"/>
      <c r="AZ184" s="686"/>
      <c r="BA184" s="1074"/>
      <c r="BB184" s="146"/>
      <c r="BC184" s="146"/>
      <c r="BD184" s="145"/>
      <c r="BE184" s="145"/>
      <c r="BF184" s="145"/>
      <c r="BG184" s="145"/>
      <c r="BH184" s="145"/>
      <c r="BI184" s="145"/>
      <c r="BJ184" s="145"/>
      <c r="BK184" s="145"/>
      <c r="BL184" s="145"/>
      <c r="BM184" s="2527"/>
      <c r="BN184" s="145"/>
      <c r="BO184" s="145"/>
      <c r="BP184" s="686"/>
      <c r="BQ184" s="686"/>
      <c r="BR184" s="686"/>
      <c r="BS184" s="686"/>
    </row>
    <row r="185" spans="2:71" s="1157" customFormat="1">
      <c r="B185" s="1017" t="s">
        <v>114</v>
      </c>
      <c r="C185" s="1156"/>
      <c r="D185" s="1156"/>
      <c r="E185" s="1156"/>
      <c r="F185" s="1156"/>
      <c r="G185" s="1156"/>
      <c r="H185" s="1156"/>
      <c r="I185" s="1156"/>
      <c r="J185" s="1156"/>
      <c r="K185" s="1156"/>
      <c r="L185" s="1156"/>
      <c r="M185" s="1156"/>
      <c r="N185" s="1156"/>
      <c r="O185" s="1156"/>
      <c r="P185" s="1156"/>
      <c r="Q185" s="1156"/>
      <c r="R185" s="1156"/>
      <c r="S185" s="1156"/>
      <c r="T185" s="1156"/>
      <c r="U185" s="1156"/>
      <c r="V185" s="1156">
        <f>+V52</f>
        <v>3757.9000000000005</v>
      </c>
      <c r="W185" s="1156">
        <f>+W52</f>
        <v>145.2000000000005</v>
      </c>
      <c r="X185" s="1156">
        <f>+X52</f>
        <v>651.9</v>
      </c>
      <c r="Y185" s="1156">
        <f>+Y52</f>
        <v>1457.1000000000008</v>
      </c>
      <c r="Z185" s="1156">
        <f>+Z52</f>
        <v>1254.4000000000005</v>
      </c>
      <c r="AA185" s="1156">
        <f>+AA52</f>
        <v>829.19999999999925</v>
      </c>
      <c r="AB185" s="1156">
        <f>+AB52</f>
        <v>629.79999999999961</v>
      </c>
      <c r="AC185" s="1156">
        <f>+AC52</f>
        <v>954.00000000000125</v>
      </c>
      <c r="AD185" s="1156">
        <f>+AD52</f>
        <v>1496.900000000001</v>
      </c>
      <c r="AE185" s="1156">
        <f>+AE52</f>
        <v>515.79999999999905</v>
      </c>
      <c r="AF185" s="1156">
        <f>+AF52</f>
        <v>490.7999999999995</v>
      </c>
      <c r="AG185" s="1156">
        <f>+AG52</f>
        <v>589.29999999999995</v>
      </c>
      <c r="AH185" s="1156">
        <f>+AH52</f>
        <v>537.60000000000093</v>
      </c>
      <c r="AI185" s="1156">
        <f>+AI52</f>
        <v>630.89999999999873</v>
      </c>
      <c r="AJ185" s="1156">
        <f>+AJ52</f>
        <v>455.71271186440094</v>
      </c>
      <c r="AK185" s="1156">
        <f>+AK52</f>
        <v>490.54290399999991</v>
      </c>
      <c r="AL185" s="1156">
        <f>+AL52</f>
        <v>-55.699999999999477</v>
      </c>
      <c r="AM185" s="2549">
        <f>+AM52</f>
        <v>657.6</v>
      </c>
      <c r="AN185" s="1156">
        <f>+AN52</f>
        <v>705.20000000000061</v>
      </c>
      <c r="AO185" s="1156">
        <f>+AO52</f>
        <v>658.85194731501576</v>
      </c>
      <c r="AP185" s="1156">
        <f>+AP52</f>
        <v>-171.09999999999985</v>
      </c>
      <c r="AQ185" s="1156">
        <f>+AQ52</f>
        <v>650.68672610834983</v>
      </c>
      <c r="AR185" s="1156">
        <f>+AR52</f>
        <v>657.1</v>
      </c>
      <c r="AS185" s="1156">
        <f>+AS52</f>
        <v>464.10000000000008</v>
      </c>
      <c r="AT185" s="1156">
        <f>+AT52</f>
        <v>444</v>
      </c>
      <c r="AU185" s="1156">
        <f>+AU52</f>
        <v>611.34914791402866</v>
      </c>
      <c r="AV185" s="1156">
        <f>+AV52</f>
        <v>543.66742653597066</v>
      </c>
      <c r="AW185" s="1156">
        <f>+AW52</f>
        <v>645.041268775866</v>
      </c>
      <c r="AX185" s="1156">
        <f>+AX52</f>
        <v>805.3607186285974</v>
      </c>
      <c r="AZ185" s="1156">
        <v>576.20836538563503</v>
      </c>
      <c r="BA185" s="1158"/>
      <c r="BD185" s="1159"/>
      <c r="BE185" s="1159"/>
      <c r="BF185" s="1156">
        <f>+BF52</f>
        <v>1742.0034763312185</v>
      </c>
      <c r="BG185" s="1156">
        <f>+BG52</f>
        <v>1850.9593141527562</v>
      </c>
      <c r="BH185" s="1156">
        <f>+BH52</f>
        <v>5312.889453122074</v>
      </c>
      <c r="BI185" s="1156">
        <f>+BI52</f>
        <v>3508.6736365138295</v>
      </c>
      <c r="BJ185" s="1156">
        <f>+BJ52</f>
        <v>3909.9695039910757</v>
      </c>
      <c r="BK185" s="1156">
        <f>+BK52</f>
        <v>2133.5713055583051</v>
      </c>
      <c r="BL185" s="1156">
        <f>+BL52</f>
        <v>1521.5272986433511</v>
      </c>
      <c r="BM185" s="2549">
        <f>+BM52</f>
        <v>1850.5924459666821</v>
      </c>
      <c r="BN185" s="1156">
        <f>+BN52</f>
        <v>2215.9276534045875</v>
      </c>
      <c r="BO185" s="1156">
        <f>+BO52</f>
        <v>2605.459547265466</v>
      </c>
      <c r="BP185" s="1156">
        <f>+BP52</f>
        <v>2684.4390472261894</v>
      </c>
      <c r="BQ185" s="1156">
        <f>+BQ52</f>
        <v>2696.8743431893886</v>
      </c>
      <c r="BR185" s="1156">
        <f>+BR52</f>
        <v>2786.5721918633189</v>
      </c>
      <c r="BS185" s="1156">
        <f>+BS52</f>
        <v>2876.1207644273454</v>
      </c>
    </row>
    <row r="186" spans="2:71" s="1160" customFormat="1">
      <c r="B186" s="1161" t="s">
        <v>544</v>
      </c>
      <c r="C186" s="1162"/>
      <c r="D186" s="1162"/>
      <c r="E186" s="1162"/>
      <c r="F186" s="1162"/>
      <c r="G186" s="1162"/>
      <c r="H186" s="1162"/>
      <c r="I186" s="1162"/>
      <c r="J186" s="1162"/>
      <c r="K186" s="1162"/>
      <c r="L186" s="1162"/>
      <c r="M186" s="1162"/>
      <c r="N186" s="1162"/>
      <c r="O186" s="1162"/>
      <c r="P186" s="1162"/>
      <c r="Q186" s="1162"/>
      <c r="R186" s="1162"/>
      <c r="S186" s="1162"/>
      <c r="T186" s="1162"/>
      <c r="U186" s="1162"/>
      <c r="V186" s="1162"/>
      <c r="W186" s="1162">
        <f t="shared" ref="W186:AX186" si="1192">+W153/SUM(T185:W185)</f>
        <v>3.7833260741461898</v>
      </c>
      <c r="X186" s="1162">
        <f t="shared" si="1192"/>
        <v>2.9145554335894608</v>
      </c>
      <c r="Y186" s="1162">
        <f t="shared" si="1192"/>
        <v>2.0903012258611793</v>
      </c>
      <c r="Z186" s="1162">
        <f t="shared" si="1192"/>
        <v>1.5620475403294751</v>
      </c>
      <c r="AA186" s="1162">
        <f t="shared" si="1192"/>
        <v>1.7733148881362402</v>
      </c>
      <c r="AB186" s="1162">
        <f t="shared" si="1192"/>
        <v>1.4753386884066655</v>
      </c>
      <c r="AC186" s="1162">
        <f t="shared" si="1192"/>
        <v>2.000027267273818</v>
      </c>
      <c r="AD186" s="1162">
        <f t="shared" si="1192"/>
        <v>1.7215018286912702</v>
      </c>
      <c r="AE186" s="1162">
        <f t="shared" si="1192"/>
        <v>2.0381760044487689</v>
      </c>
      <c r="AF186" s="1162">
        <f t="shared" si="1192"/>
        <v>2.5347505422993488</v>
      </c>
      <c r="AG186" s="1162">
        <f t="shared" si="1192"/>
        <v>2.9353660113812734</v>
      </c>
      <c r="AH186" s="1162">
        <f t="shared" si="1192"/>
        <v>3.5604405905788625</v>
      </c>
      <c r="AI186" s="1162">
        <f t="shared" si="1192"/>
        <v>4.1994574401850064</v>
      </c>
      <c r="AJ186" s="1162">
        <f t="shared" si="1192"/>
        <v>4.4875730537970879</v>
      </c>
      <c r="AK186" s="1162">
        <f t="shared" si="1192"/>
        <v>-0.26598818122541279</v>
      </c>
      <c r="AL186" s="1162">
        <f t="shared" si="1192"/>
        <v>-1.0932293933891806</v>
      </c>
      <c r="AM186" s="2550">
        <f t="shared" si="1192"/>
        <v>-1.4356263525608455</v>
      </c>
      <c r="AN186" s="1162">
        <f t="shared" si="1192"/>
        <v>-0.51152205922205751</v>
      </c>
      <c r="AO186" s="1162">
        <f t="shared" si="1192"/>
        <v>-0.41275983429211127</v>
      </c>
      <c r="AP186" s="1162">
        <f t="shared" si="1192"/>
        <v>-0.55041416236807228</v>
      </c>
      <c r="AQ186" s="1162">
        <f t="shared" si="1192"/>
        <v>-0.2866407651444649</v>
      </c>
      <c r="AR186" s="1162">
        <f t="shared" si="1192"/>
        <v>9.2940910975662608E-2</v>
      </c>
      <c r="AS186" s="1162">
        <f t="shared" si="1192"/>
        <v>2.5489016953054286</v>
      </c>
      <c r="AT186" s="1162">
        <f t="shared" si="1192"/>
        <v>1.5813664835449988</v>
      </c>
      <c r="AU186" s="1162">
        <f t="shared" si="1192"/>
        <v>1.2784260958567821</v>
      </c>
      <c r="AV186" s="1162">
        <f t="shared" si="1192"/>
        <v>1.2902328718950951</v>
      </c>
      <c r="AW186" s="1162">
        <f t="shared" si="1192"/>
        <v>1.2074697844208391</v>
      </c>
      <c r="AX186" s="1162">
        <f t="shared" si="1192"/>
        <v>0.96819701667917824</v>
      </c>
      <c r="AZ186" s="1162">
        <v>1.4851551865695738</v>
      </c>
      <c r="BA186" s="1163"/>
      <c r="BD186" s="1164"/>
      <c r="BE186" s="1164"/>
      <c r="BF186" s="1162">
        <f t="shared" ref="BF186:BS186" si="1193">+BF153/BF185</f>
        <v>3.2499728484603483</v>
      </c>
      <c r="BG186" s="1162">
        <f t="shared" si="1193"/>
        <v>3.0058575342304024</v>
      </c>
      <c r="BH186" s="1162">
        <f t="shared" si="1193"/>
        <v>0.98759818857451387</v>
      </c>
      <c r="BI186" s="1162">
        <f t="shared" si="1193"/>
        <v>1.5620147576465531</v>
      </c>
      <c r="BJ186" s="1162">
        <f t="shared" si="1193"/>
        <v>1.7214712271104613</v>
      </c>
      <c r="BK186" s="1162">
        <f t="shared" si="1193"/>
        <v>3.5603215979754919</v>
      </c>
      <c r="BL186" s="1162">
        <f t="shared" si="1193"/>
        <v>-1.0931778887457746</v>
      </c>
      <c r="BM186" s="2550">
        <f t="shared" si="1193"/>
        <v>-0.5504021170193073</v>
      </c>
      <c r="BN186" s="1162">
        <f t="shared" si="1193"/>
        <v>1.5813372763394147</v>
      </c>
      <c r="BO186" s="1162">
        <f t="shared" si="1193"/>
        <v>0.96818178637068908</v>
      </c>
      <c r="BP186" s="1162">
        <f t="shared" si="1193"/>
        <v>0.57071915222620395</v>
      </c>
      <c r="BQ186" s="1162">
        <f t="shared" si="1193"/>
        <v>0.1907368938547461</v>
      </c>
      <c r="BR186" s="1162">
        <f t="shared" si="1193"/>
        <v>-0.20974099340819577</v>
      </c>
      <c r="BS186" s="1162">
        <f t="shared" si="1193"/>
        <v>-0.56303969023196609</v>
      </c>
    </row>
    <row r="187" spans="2:71">
      <c r="B187" s="113"/>
      <c r="C187" s="146"/>
      <c r="D187" s="146"/>
      <c r="E187" s="146"/>
      <c r="F187" s="146"/>
      <c r="G187" s="146"/>
      <c r="H187" s="146"/>
      <c r="I187" s="146"/>
      <c r="J187" s="146"/>
      <c r="K187" s="146"/>
      <c r="L187" s="146"/>
      <c r="M187" s="146"/>
      <c r="N187" s="146"/>
      <c r="O187" s="146"/>
      <c r="P187" s="146"/>
      <c r="Q187" s="146"/>
      <c r="R187" s="146"/>
      <c r="S187" s="1290">
        <f>+S188+S65</f>
        <v>6.2527760746888816E-13</v>
      </c>
      <c r="T187" s="1290">
        <f>+T188+T65</f>
        <v>-3.4106051316484809E-13</v>
      </c>
      <c r="U187" s="1290">
        <f>+U188+U65</f>
        <v>0</v>
      </c>
      <c r="V187" s="1290">
        <f>+V188+V65</f>
        <v>0</v>
      </c>
      <c r="W187" s="1290">
        <f>+W188+W65</f>
        <v>-1.1368683772161603E-12</v>
      </c>
      <c r="X187" s="1290">
        <f>+X188+X65</f>
        <v>6.8212102632969618E-13</v>
      </c>
      <c r="Y187" s="1290">
        <f>+Y188+Y65</f>
        <v>1.7053025658242404E-12</v>
      </c>
      <c r="Z187" s="1290">
        <f>+Z188+Z65</f>
        <v>-1.8189894035458565E-12</v>
      </c>
      <c r="AA187" s="1290">
        <f>+AA188+AA65</f>
        <v>0</v>
      </c>
      <c r="AB187" s="1290">
        <f>+AB188+AB65</f>
        <v>2.5011104298755527E-12</v>
      </c>
      <c r="AC187" s="1290">
        <f>+AC188+AC65</f>
        <v>-2.0463630789890885E-12</v>
      </c>
      <c r="AD187" s="1290">
        <f>+AD188+AD65</f>
        <v>-1.8189894035458565E-12</v>
      </c>
      <c r="AE187" s="1290">
        <f>+AE188+AE65</f>
        <v>1.1368683772161603E-12</v>
      </c>
      <c r="AF187" s="1290">
        <f>+AF188+AF65</f>
        <v>4.5474735088646412E-13</v>
      </c>
      <c r="AG187" s="1290">
        <f>+AG188+AG65</f>
        <v>2.5011104298755527E-12</v>
      </c>
      <c r="AH187" s="1290">
        <f>+AH188+AH65</f>
        <v>-1.8189894035458565E-12</v>
      </c>
      <c r="AI187" s="1290">
        <f>+AI188+AI65</f>
        <v>0</v>
      </c>
      <c r="AJ187" s="1290">
        <f>+AJ188+AJ65</f>
        <v>0</v>
      </c>
      <c r="AK187" s="1290">
        <f>+AK188+AK65</f>
        <v>0</v>
      </c>
      <c r="AL187" s="1290">
        <f>+AL188+AL65</f>
        <v>0</v>
      </c>
      <c r="AM187" s="2555">
        <f>+AM188+AM65</f>
        <v>-32.324000000002115</v>
      </c>
      <c r="AN187" s="1290">
        <f>+AN188+AN65</f>
        <v>8.1160000000016908</v>
      </c>
      <c r="AO187" s="1290">
        <f>+AO188+AO65</f>
        <v>31.347000000000378</v>
      </c>
      <c r="AP187" s="1290">
        <f>+AP188+AP65</f>
        <v>129.0170029999997</v>
      </c>
      <c r="AQ187" s="1290">
        <f>+AQ188+AQ65</f>
        <v>24.995997000000671</v>
      </c>
      <c r="AR187" s="1290">
        <f>+AR188+AR65</f>
        <v>-49.025000000001228</v>
      </c>
      <c r="AS187" s="1290">
        <f>+AS188+AS65</f>
        <v>101.17099999999976</v>
      </c>
      <c r="AT187" s="1290">
        <f>+AT188+AT65</f>
        <v>-77.682999999999538</v>
      </c>
      <c r="AU187" s="1290">
        <f>+AU188+AU65</f>
        <v>-36.78795647250746</v>
      </c>
      <c r="AV187" s="1290">
        <f>+AV188+AV65</f>
        <v>26.308780144922366</v>
      </c>
      <c r="AW187" s="1290">
        <f>+AW188+AW65</f>
        <v>-4.0372643721979102</v>
      </c>
      <c r="AX187" s="1290">
        <f>+AX188+AX65</f>
        <v>31.88196108402235</v>
      </c>
      <c r="AZ187" s="1290">
        <v>47.69542187837294</v>
      </c>
    </row>
    <row r="188" spans="2:71" s="950" customFormat="1">
      <c r="B188" s="1285" t="s">
        <v>560</v>
      </c>
      <c r="S188" s="1279">
        <f t="shared" ref="S188:AE188" si="1194">+S189+S190+S191-S192-S193</f>
        <v>-403.87999999999994</v>
      </c>
      <c r="T188" s="1279">
        <f t="shared" si="1194"/>
        <v>-23.318999999999846</v>
      </c>
      <c r="U188" s="1279">
        <f t="shared" si="1194"/>
        <v>-266.88700000000017</v>
      </c>
      <c r="V188" s="1279">
        <f t="shared" si="1194"/>
        <v>1125.9000000000001</v>
      </c>
      <c r="W188" s="1279">
        <f t="shared" si="1194"/>
        <v>-745.2</v>
      </c>
      <c r="X188" s="1279">
        <f t="shared" si="1194"/>
        <v>397.39999999999941</v>
      </c>
      <c r="Y188" s="1279">
        <f t="shared" si="1194"/>
        <v>-45.89999999999975</v>
      </c>
      <c r="Z188" s="1279">
        <f t="shared" si="1194"/>
        <v>1048.3999999999996</v>
      </c>
      <c r="AA188" s="1279">
        <f t="shared" si="1194"/>
        <v>-1389.2999999999997</v>
      </c>
      <c r="AB188" s="1279">
        <f t="shared" si="1194"/>
        <v>429.79999999999995</v>
      </c>
      <c r="AC188" s="1279">
        <f t="shared" si="1194"/>
        <v>-1135.2999999999995</v>
      </c>
      <c r="AD188" s="1279">
        <f t="shared" si="1194"/>
        <v>706.5</v>
      </c>
      <c r="AE188" s="1279">
        <f t="shared" si="1194"/>
        <v>-690.8</v>
      </c>
      <c r="AF188" s="1279">
        <f>+AF189+AF190+AF191-AF192-AF193</f>
        <v>-347.09999999999991</v>
      </c>
      <c r="AG188" s="1279">
        <f t="shared" ref="AG188:AL188" si="1195">+AG189+AG190+AG191-AG192-AG193</f>
        <v>201.39999999999941</v>
      </c>
      <c r="AH188" s="1279">
        <f t="shared" ref="AH188" si="1196">+AH189+AH190+AH191-AH192-AH193</f>
        <v>1520.8000000000002</v>
      </c>
      <c r="AI188" s="1279">
        <f t="shared" si="1195"/>
        <v>-902.69999999999936</v>
      </c>
      <c r="AJ188" s="1279">
        <f t="shared" si="1195"/>
        <v>-280.90000000000055</v>
      </c>
      <c r="AK188" s="1279">
        <f t="shared" ref="AK188" si="1197">+AK189+AK190+AK191-AK192-AK193</f>
        <v>-107.59999999999945</v>
      </c>
      <c r="AL188" s="1279">
        <f t="shared" si="1195"/>
        <v>2313.2999999999988</v>
      </c>
      <c r="AM188" s="2556">
        <f t="shared" ref="AM188:AP188" si="1198">+AM189+AM190+AM191-AM192-AM193</f>
        <v>-1533.1089999999992</v>
      </c>
      <c r="AN188" s="1279">
        <f t="shared" si="1198"/>
        <v>-707.0569999999999</v>
      </c>
      <c r="AO188" s="1279">
        <f t="shared" si="1198"/>
        <v>-217.06899999999979</v>
      </c>
      <c r="AP188" s="1279">
        <f t="shared" si="1198"/>
        <v>231.88602799999967</v>
      </c>
      <c r="AQ188" s="1279">
        <f t="shared" ref="AQ188:AT188" si="1199">+AQ189+AQ190+AQ191-AQ192-AQ193</f>
        <v>-11.03602799999976</v>
      </c>
      <c r="AR188" s="1279">
        <f t="shared" si="1199"/>
        <v>-585.22100000000114</v>
      </c>
      <c r="AS188" s="1279">
        <f t="shared" si="1199"/>
        <v>-59.134999999998911</v>
      </c>
      <c r="AT188" s="1279">
        <f t="shared" si="1199"/>
        <v>-322.80399999999963</v>
      </c>
      <c r="AU188" s="1279">
        <f t="shared" ref="AU188:AX188" si="1200">+AU189+AU190+AU191-AU192-AU193</f>
        <v>489.86322753519988</v>
      </c>
      <c r="AV188" s="1279">
        <f t="shared" si="1200"/>
        <v>-95.661995607576955</v>
      </c>
      <c r="AW188" s="1279">
        <f t="shared" si="1200"/>
        <v>-329.54640196815069</v>
      </c>
      <c r="AX188" s="1279">
        <f t="shared" si="1200"/>
        <v>-282.12714512724915</v>
      </c>
      <c r="AZ188" s="1279">
        <v>1.382413251732828</v>
      </c>
      <c r="BM188" s="2559"/>
    </row>
    <row r="189" spans="2:71" s="1274" customFormat="1">
      <c r="B189" s="1284" t="s">
        <v>561</v>
      </c>
      <c r="S189" s="1271">
        <f t="shared" ref="S189:AX189" si="1201">+R100-S100</f>
        <v>252.37599999999998</v>
      </c>
      <c r="T189" s="1271">
        <f t="shared" si="1201"/>
        <v>-97.160000000000082</v>
      </c>
      <c r="U189" s="1271">
        <f t="shared" si="1201"/>
        <v>-40.634999999999991</v>
      </c>
      <c r="V189" s="1271">
        <f t="shared" si="1201"/>
        <v>-108.79999999999995</v>
      </c>
      <c r="W189" s="1271">
        <f t="shared" si="1201"/>
        <v>-1088.8</v>
      </c>
      <c r="X189" s="1271">
        <f t="shared" si="1201"/>
        <v>130</v>
      </c>
      <c r="Y189" s="1271">
        <f t="shared" si="1201"/>
        <v>-972.80000000000018</v>
      </c>
      <c r="Z189" s="1271">
        <f t="shared" si="1201"/>
        <v>19.900000000000091</v>
      </c>
      <c r="AA189" s="1271">
        <f t="shared" si="1201"/>
        <v>227.40000000000009</v>
      </c>
      <c r="AB189" s="1271">
        <f t="shared" si="1201"/>
        <v>263.19999999999982</v>
      </c>
      <c r="AC189" s="1271">
        <f t="shared" si="1201"/>
        <v>-139.59999999999991</v>
      </c>
      <c r="AD189" s="1271">
        <f t="shared" si="1201"/>
        <v>-229.90000000000009</v>
      </c>
      <c r="AE189" s="1271">
        <f t="shared" si="1201"/>
        <v>582.90000000000009</v>
      </c>
      <c r="AF189" s="1271">
        <f t="shared" si="1201"/>
        <v>-358.19999999999982</v>
      </c>
      <c r="AG189" s="1271">
        <f t="shared" si="1201"/>
        <v>-116.5</v>
      </c>
      <c r="AH189" s="1271">
        <f t="shared" si="1201"/>
        <v>-134.20000000000027</v>
      </c>
      <c r="AI189" s="1271">
        <f t="shared" si="1201"/>
        <v>174.5</v>
      </c>
      <c r="AJ189" s="1271">
        <f t="shared" si="1201"/>
        <v>-124.69999999999982</v>
      </c>
      <c r="AK189" s="1271">
        <f t="shared" si="1201"/>
        <v>46</v>
      </c>
      <c r="AL189" s="1271">
        <f t="shared" si="1201"/>
        <v>-140.70000000000027</v>
      </c>
      <c r="AM189" s="2557">
        <f t="shared" si="1201"/>
        <v>482.08500000000004</v>
      </c>
      <c r="AN189" s="1271">
        <f t="shared" si="1201"/>
        <v>-760.75199999999995</v>
      </c>
      <c r="AO189" s="1271">
        <f t="shared" si="1201"/>
        <v>-225.82400000000007</v>
      </c>
      <c r="AP189" s="1271">
        <f t="shared" si="1201"/>
        <v>-607.71399999999994</v>
      </c>
      <c r="AQ189" s="1271">
        <f t="shared" si="1201"/>
        <v>558.22500000000036</v>
      </c>
      <c r="AR189" s="1271">
        <f t="shared" si="1201"/>
        <v>-413.98100000000068</v>
      </c>
      <c r="AS189" s="1271">
        <f t="shared" si="1201"/>
        <v>224.2470000000003</v>
      </c>
      <c r="AT189" s="1271">
        <f t="shared" si="1201"/>
        <v>-389.01199999999972</v>
      </c>
      <c r="AU189" s="1271">
        <f t="shared" si="1201"/>
        <v>756.22181095354063</v>
      </c>
      <c r="AV189" s="1271">
        <f t="shared" si="1201"/>
        <v>5.3838540411525173</v>
      </c>
      <c r="AW189" s="1271">
        <f t="shared" si="1201"/>
        <v>-295.02192097903298</v>
      </c>
      <c r="AX189" s="1271">
        <f t="shared" si="1201"/>
        <v>-400.90979979450822</v>
      </c>
      <c r="AZ189" s="1271">
        <v>27.021245297812129</v>
      </c>
      <c r="BM189" s="2558"/>
    </row>
    <row r="190" spans="2:71" s="1274" customFormat="1">
      <c r="B190" s="1284" t="s">
        <v>562</v>
      </c>
      <c r="S190" s="1271">
        <f t="shared" ref="S190:AX190" si="1202">+R102-S102</f>
        <v>-170.73800000000006</v>
      </c>
      <c r="T190" s="1271">
        <f t="shared" si="1202"/>
        <v>-85.687999999999874</v>
      </c>
      <c r="U190" s="1271">
        <f t="shared" si="1202"/>
        <v>-160.80200000000013</v>
      </c>
      <c r="V190" s="1271">
        <f t="shared" si="1202"/>
        <v>351.30000000000018</v>
      </c>
      <c r="W190" s="1271">
        <f t="shared" si="1202"/>
        <v>-2610.1</v>
      </c>
      <c r="X190" s="1271">
        <f t="shared" si="1202"/>
        <v>-440.60000000000036</v>
      </c>
      <c r="Y190" s="1271">
        <f t="shared" si="1202"/>
        <v>-654.5</v>
      </c>
      <c r="Z190" s="1271">
        <f t="shared" si="1202"/>
        <v>591.5</v>
      </c>
      <c r="AA190" s="1271">
        <f t="shared" si="1202"/>
        <v>-798.39999999999964</v>
      </c>
      <c r="AB190" s="1271">
        <f t="shared" si="1202"/>
        <v>99.399999999999636</v>
      </c>
      <c r="AC190" s="1271">
        <f t="shared" si="1202"/>
        <v>-704.69999999999982</v>
      </c>
      <c r="AD190" s="1271">
        <f t="shared" si="1202"/>
        <v>544.5</v>
      </c>
      <c r="AE190" s="1271">
        <f t="shared" si="1202"/>
        <v>285.69999999999982</v>
      </c>
      <c r="AF190" s="1271">
        <f t="shared" si="1202"/>
        <v>-249.59999999999945</v>
      </c>
      <c r="AG190" s="1271">
        <f t="shared" si="1202"/>
        <v>-43.100000000000364</v>
      </c>
      <c r="AH190" s="1271">
        <f t="shared" si="1202"/>
        <v>893.60000000000036</v>
      </c>
      <c r="AI190" s="1271">
        <f t="shared" si="1202"/>
        <v>134.5</v>
      </c>
      <c r="AJ190" s="1271">
        <f t="shared" si="1202"/>
        <v>175</v>
      </c>
      <c r="AK190" s="1271">
        <f t="shared" si="1202"/>
        <v>-155.5</v>
      </c>
      <c r="AL190" s="1271">
        <f t="shared" si="1202"/>
        <v>1275.4999999999995</v>
      </c>
      <c r="AM190" s="2557">
        <f t="shared" si="1202"/>
        <v>812.27300000000014</v>
      </c>
      <c r="AN190" s="1271">
        <f t="shared" si="1202"/>
        <v>-173.40300000000025</v>
      </c>
      <c r="AO190" s="1271">
        <f t="shared" si="1202"/>
        <v>-564.76699999999983</v>
      </c>
      <c r="AP190" s="1271">
        <f t="shared" si="1202"/>
        <v>626.68100000000004</v>
      </c>
      <c r="AQ190" s="1271">
        <f t="shared" si="1202"/>
        <v>-310.654</v>
      </c>
      <c r="AR190" s="1271">
        <f t="shared" si="1202"/>
        <v>-147.71100000000024</v>
      </c>
      <c r="AS190" s="1271">
        <f t="shared" si="1202"/>
        <v>-474.04499999999962</v>
      </c>
      <c r="AT190" s="1271">
        <f t="shared" si="1202"/>
        <v>353.41899999999987</v>
      </c>
      <c r="AU190" s="1271">
        <f t="shared" si="1202"/>
        <v>703.79580862181911</v>
      </c>
      <c r="AV190" s="1271">
        <f t="shared" si="1202"/>
        <v>-219.737123939311</v>
      </c>
      <c r="AW190" s="1271">
        <f t="shared" si="1202"/>
        <v>-350.40250918602487</v>
      </c>
      <c r="AX190" s="1271">
        <f t="shared" si="1202"/>
        <v>-239.25088307633041</v>
      </c>
      <c r="AZ190" s="1271">
        <v>407.25620053180137</v>
      </c>
      <c r="BM190" s="2558"/>
    </row>
    <row r="191" spans="2:71" s="1274" customFormat="1">
      <c r="B191" s="1284" t="s">
        <v>563</v>
      </c>
      <c r="S191" s="1271">
        <f t="shared" ref="S191:AX191" si="1203">+R103-S103</f>
        <v>-36.34699999999998</v>
      </c>
      <c r="T191" s="1271">
        <f t="shared" si="1203"/>
        <v>-97.329999999999927</v>
      </c>
      <c r="U191" s="1271">
        <f t="shared" si="1203"/>
        <v>-86.567000000000121</v>
      </c>
      <c r="V191" s="1271">
        <f t="shared" si="1203"/>
        <v>417.20000000000005</v>
      </c>
      <c r="W191" s="1271">
        <f t="shared" si="1203"/>
        <v>-771.6</v>
      </c>
      <c r="X191" s="1271">
        <f t="shared" si="1203"/>
        <v>-93.5</v>
      </c>
      <c r="Y191" s="1271">
        <f t="shared" si="1203"/>
        <v>310</v>
      </c>
      <c r="Z191" s="1271">
        <f t="shared" si="1203"/>
        <v>-7.0999999999999091</v>
      </c>
      <c r="AA191" s="1271">
        <f t="shared" si="1203"/>
        <v>-305.40000000000009</v>
      </c>
      <c r="AB191" s="1271">
        <f t="shared" si="1203"/>
        <v>289.10000000000014</v>
      </c>
      <c r="AC191" s="1271">
        <f t="shared" si="1203"/>
        <v>79.599999999999909</v>
      </c>
      <c r="AD191" s="1271">
        <f t="shared" si="1203"/>
        <v>-529.69999999999982</v>
      </c>
      <c r="AE191" s="1271">
        <f t="shared" si="1203"/>
        <v>271.59999999999991</v>
      </c>
      <c r="AF191" s="1271">
        <f t="shared" si="1203"/>
        <v>54.199999999999818</v>
      </c>
      <c r="AG191" s="1271">
        <f t="shared" si="1203"/>
        <v>9.2000000000000455</v>
      </c>
      <c r="AH191" s="1271">
        <f t="shared" si="1203"/>
        <v>95.200000000000045</v>
      </c>
      <c r="AI191" s="1271">
        <f t="shared" si="1203"/>
        <v>-265.19999999999982</v>
      </c>
      <c r="AJ191" s="1271">
        <f t="shared" si="1203"/>
        <v>-97.300000000000182</v>
      </c>
      <c r="AK191" s="1271">
        <f t="shared" si="1203"/>
        <v>67.100000000000136</v>
      </c>
      <c r="AL191" s="1271">
        <f t="shared" si="1203"/>
        <v>618.79999999999984</v>
      </c>
      <c r="AM191" s="2557">
        <f t="shared" si="1203"/>
        <v>357.02600000000001</v>
      </c>
      <c r="AN191" s="1271">
        <f t="shared" si="1203"/>
        <v>-10.404999999999973</v>
      </c>
      <c r="AO191" s="1271">
        <f t="shared" si="1203"/>
        <v>-131.75000000000006</v>
      </c>
      <c r="AP191" s="1271">
        <f t="shared" si="1203"/>
        <v>26.821003000000019</v>
      </c>
      <c r="AQ191" s="1271">
        <f t="shared" si="1203"/>
        <v>-149.43100300000003</v>
      </c>
      <c r="AR191" s="1271">
        <f t="shared" si="1203"/>
        <v>-84.935999999999922</v>
      </c>
      <c r="AS191" s="1271">
        <f t="shared" si="1203"/>
        <v>-88.513000000000034</v>
      </c>
      <c r="AT191" s="1271">
        <f t="shared" si="1203"/>
        <v>-202.63200000000006</v>
      </c>
      <c r="AU191" s="1271">
        <f t="shared" si="1203"/>
        <v>289.69210246742421</v>
      </c>
      <c r="AV191" s="1271">
        <f t="shared" si="1203"/>
        <v>-207.17230757928291</v>
      </c>
      <c r="AW191" s="1271">
        <f t="shared" si="1203"/>
        <v>31.792024247734162</v>
      </c>
      <c r="AX191" s="1271">
        <f t="shared" si="1203"/>
        <v>-251.05912974852538</v>
      </c>
      <c r="AZ191" s="1271">
        <v>-193.48646591291822</v>
      </c>
      <c r="BM191" s="2558"/>
    </row>
    <row r="192" spans="2:71" s="1274" customFormat="1">
      <c r="B192" s="1284" t="s">
        <v>564</v>
      </c>
      <c r="S192" s="1271">
        <f t="shared" ref="S192:AX192" si="1204">R119-S119</f>
        <v>216.22000000000003</v>
      </c>
      <c r="T192" s="1271">
        <f t="shared" si="1204"/>
        <v>-172.42900000000009</v>
      </c>
      <c r="U192" s="1271">
        <f t="shared" si="1204"/>
        <v>-53.900000000000091</v>
      </c>
      <c r="V192" s="1271">
        <f t="shared" si="1204"/>
        <v>-82.899999999999864</v>
      </c>
      <c r="W192" s="1271">
        <f t="shared" si="1204"/>
        <v>-3275</v>
      </c>
      <c r="X192" s="1271">
        <f t="shared" si="1204"/>
        <v>-605.19999999999982</v>
      </c>
      <c r="Y192" s="1271">
        <f t="shared" si="1204"/>
        <v>-1035.1000000000004</v>
      </c>
      <c r="Z192" s="1271">
        <f t="shared" si="1204"/>
        <v>-29.099999999999454</v>
      </c>
      <c r="AA192" s="1271">
        <f t="shared" si="1204"/>
        <v>219</v>
      </c>
      <c r="AB192" s="1271">
        <f t="shared" si="1204"/>
        <v>460.89999999999964</v>
      </c>
      <c r="AC192" s="1271">
        <f t="shared" si="1204"/>
        <v>-206.80000000000018</v>
      </c>
      <c r="AD192" s="1271">
        <f t="shared" si="1204"/>
        <v>-469.5</v>
      </c>
      <c r="AE192" s="1271">
        <f t="shared" si="1204"/>
        <v>1280.5</v>
      </c>
      <c r="AF192" s="1271">
        <f t="shared" si="1204"/>
        <v>-226.39999999999964</v>
      </c>
      <c r="AG192" s="1271">
        <f t="shared" si="1204"/>
        <v>-268.39999999999964</v>
      </c>
      <c r="AH192" s="1271">
        <f t="shared" si="1204"/>
        <v>-391</v>
      </c>
      <c r="AI192" s="1271">
        <f t="shared" si="1204"/>
        <v>783.59999999999945</v>
      </c>
      <c r="AJ192" s="1271">
        <f t="shared" si="1204"/>
        <v>-56.599999999999454</v>
      </c>
      <c r="AK192" s="1271">
        <f t="shared" si="1204"/>
        <v>131.89999999999964</v>
      </c>
      <c r="AL192" s="1271">
        <f t="shared" si="1204"/>
        <v>214.5</v>
      </c>
      <c r="AM192" s="2557">
        <f t="shared" si="1204"/>
        <v>1744.3440000000001</v>
      </c>
      <c r="AN192" s="1271">
        <f t="shared" si="1204"/>
        <v>-379.87400000000025</v>
      </c>
      <c r="AO192" s="1271">
        <f t="shared" si="1204"/>
        <v>-527.8420000000001</v>
      </c>
      <c r="AP192" s="1271">
        <f t="shared" si="1204"/>
        <v>18.824000000000524</v>
      </c>
      <c r="AQ192" s="1271">
        <f t="shared" si="1204"/>
        <v>87.380000000000109</v>
      </c>
      <c r="AR192" s="1271">
        <f t="shared" si="1204"/>
        <v>-351.34799999999996</v>
      </c>
      <c r="AS192" s="1271">
        <f t="shared" si="1204"/>
        <v>-159.67100000000028</v>
      </c>
      <c r="AT192" s="1271">
        <f t="shared" si="1204"/>
        <v>-33.890000000000327</v>
      </c>
      <c r="AU192" s="1271">
        <f t="shared" si="1204"/>
        <v>986.48583743473318</v>
      </c>
      <c r="AV192" s="1271">
        <f t="shared" si="1204"/>
        <v>-143.31648551442549</v>
      </c>
      <c r="AW192" s="1271">
        <f t="shared" si="1204"/>
        <v>-340.74694243226213</v>
      </c>
      <c r="AX192" s="1271">
        <f t="shared" si="1204"/>
        <v>-374.86381117415931</v>
      </c>
      <c r="AZ192" s="1271">
        <v>344.45699687478736</v>
      </c>
      <c r="BM192" s="2558"/>
    </row>
    <row r="193" spans="1:71" s="1274" customFormat="1">
      <c r="B193" s="1284" t="s">
        <v>565</v>
      </c>
      <c r="S193" s="1271">
        <f t="shared" ref="S193:AX193" si="1205">R122+R123-S122-S123</f>
        <v>232.95099999999985</v>
      </c>
      <c r="T193" s="1271">
        <f t="shared" si="1205"/>
        <v>-84.42999999999995</v>
      </c>
      <c r="U193" s="1271">
        <f t="shared" si="1205"/>
        <v>32.783000000000015</v>
      </c>
      <c r="V193" s="1271">
        <f t="shared" si="1205"/>
        <v>-383.29999999999995</v>
      </c>
      <c r="W193" s="1271">
        <f t="shared" si="1205"/>
        <v>-450.29999999999995</v>
      </c>
      <c r="X193" s="1271">
        <f t="shared" si="1205"/>
        <v>-196.29999999999995</v>
      </c>
      <c r="Y193" s="1271">
        <f t="shared" si="1205"/>
        <v>-236.30000000000007</v>
      </c>
      <c r="Z193" s="1271">
        <f t="shared" si="1205"/>
        <v>-415</v>
      </c>
      <c r="AA193" s="1271">
        <f t="shared" si="1205"/>
        <v>293.90000000000009</v>
      </c>
      <c r="AB193" s="1271">
        <f t="shared" si="1205"/>
        <v>-239</v>
      </c>
      <c r="AC193" s="1271">
        <f t="shared" si="1205"/>
        <v>577.39999999999986</v>
      </c>
      <c r="AD193" s="1271">
        <f t="shared" si="1205"/>
        <v>-452.09999999999991</v>
      </c>
      <c r="AE193" s="1271">
        <f t="shared" si="1205"/>
        <v>550.49999999999977</v>
      </c>
      <c r="AF193" s="1271">
        <f t="shared" si="1205"/>
        <v>19.900000000000091</v>
      </c>
      <c r="AG193" s="1271">
        <f t="shared" si="1205"/>
        <v>-83.400000000000091</v>
      </c>
      <c r="AH193" s="1271">
        <f t="shared" si="1205"/>
        <v>-275.19999999999993</v>
      </c>
      <c r="AI193" s="1271">
        <f t="shared" si="1205"/>
        <v>162.90000000000009</v>
      </c>
      <c r="AJ193" s="1271">
        <f t="shared" si="1205"/>
        <v>290.5</v>
      </c>
      <c r="AK193" s="1271">
        <f t="shared" si="1205"/>
        <v>-66.700000000000045</v>
      </c>
      <c r="AL193" s="1271">
        <f t="shared" si="1205"/>
        <v>-774.19999999999982</v>
      </c>
      <c r="AM193" s="2557">
        <f t="shared" si="1205"/>
        <v>1440.1489999999994</v>
      </c>
      <c r="AN193" s="1271">
        <f t="shared" si="1205"/>
        <v>142.37099999999998</v>
      </c>
      <c r="AO193" s="1271">
        <f t="shared" si="1205"/>
        <v>-177.43</v>
      </c>
      <c r="AP193" s="1271">
        <f t="shared" si="1205"/>
        <v>-204.92202500000008</v>
      </c>
      <c r="AQ193" s="1271">
        <f t="shared" si="1205"/>
        <v>21.796024999999986</v>
      </c>
      <c r="AR193" s="1271">
        <f t="shared" si="1205"/>
        <v>289.9410000000002</v>
      </c>
      <c r="AS193" s="1271">
        <f t="shared" si="1205"/>
        <v>-119.50500000000017</v>
      </c>
      <c r="AT193" s="1271">
        <f t="shared" si="1205"/>
        <v>118.46900000000005</v>
      </c>
      <c r="AU193" s="1271">
        <f t="shared" si="1205"/>
        <v>273.36065707285098</v>
      </c>
      <c r="AV193" s="1271">
        <f t="shared" si="1205"/>
        <v>-182.54709635543895</v>
      </c>
      <c r="AW193" s="1271">
        <f t="shared" si="1205"/>
        <v>56.660938483089126</v>
      </c>
      <c r="AX193" s="1271">
        <f t="shared" si="1205"/>
        <v>-234.22885631795555</v>
      </c>
      <c r="AZ193" s="1271">
        <v>-105.04843020982491</v>
      </c>
      <c r="BM193" s="2558"/>
    </row>
    <row r="194" spans="1:71" s="1274" customFormat="1">
      <c r="B194" s="1282"/>
      <c r="AM194" s="2558"/>
      <c r="BM194" s="2558"/>
    </row>
    <row r="195" spans="1:71" s="950" customFormat="1">
      <c r="B195" s="1285" t="s">
        <v>566</v>
      </c>
      <c r="S195" s="1279">
        <f t="shared" ref="S195:AE195" si="1206">+S196+S197+S198-S199-S200</f>
        <v>365.02199999999993</v>
      </c>
      <c r="T195" s="1279">
        <f t="shared" si="1206"/>
        <v>-736.21800000000007</v>
      </c>
      <c r="U195" s="1279">
        <f t="shared" si="1206"/>
        <v>-411.20499999999993</v>
      </c>
      <c r="V195" s="1279">
        <f t="shared" si="1206"/>
        <v>98.13300000000001</v>
      </c>
      <c r="W195" s="1279">
        <f t="shared" si="1206"/>
        <v>2511.5809999999997</v>
      </c>
      <c r="X195" s="1279">
        <f t="shared" si="1206"/>
        <v>-66.452000000000226</v>
      </c>
      <c r="Y195" s="1279">
        <f t="shared" si="1206"/>
        <v>-5014.0729999999994</v>
      </c>
      <c r="Z195" s="1279">
        <f t="shared" si="1206"/>
        <v>-2906.4479999999999</v>
      </c>
      <c r="AA195" s="1279">
        <f t="shared" si="1206"/>
        <v>797.29599999999994</v>
      </c>
      <c r="AB195" s="1279">
        <f t="shared" si="1206"/>
        <v>-1430.8600000000001</v>
      </c>
      <c r="AC195" s="1279">
        <f t="shared" si="1206"/>
        <v>-1044.8489999999999</v>
      </c>
      <c r="AD195" s="1279">
        <f t="shared" si="1206"/>
        <v>-957.02500000000043</v>
      </c>
      <c r="AE195" s="1279">
        <f t="shared" si="1206"/>
        <v>2226.6120000000001</v>
      </c>
      <c r="AF195" s="1279">
        <f t="shared" ref="AF195:AK195" si="1207">+AF196+AF197+AF198-AF199-AF200</f>
        <v>-955.9369999999999</v>
      </c>
      <c r="AG195" s="1279">
        <f t="shared" si="1207"/>
        <v>-29.5</v>
      </c>
      <c r="AH195" s="1279">
        <f t="shared" si="1207"/>
        <v>308</v>
      </c>
      <c r="AI195" s="1279">
        <f t="shared" si="1207"/>
        <v>-1712.6</v>
      </c>
      <c r="AJ195" s="1279">
        <f t="shared" si="1207"/>
        <v>-275</v>
      </c>
      <c r="AK195" s="1279">
        <f t="shared" si="1207"/>
        <v>283.30000000000007</v>
      </c>
      <c r="AM195" s="2559"/>
      <c r="BM195" s="2559"/>
    </row>
    <row r="196" spans="1:71" s="1274" customFormat="1">
      <c r="B196" s="1284" t="s">
        <v>561</v>
      </c>
      <c r="S196" s="1283">
        <v>177.41200000000001</v>
      </c>
      <c r="T196" s="1283">
        <v>-154.58600000000001</v>
      </c>
      <c r="U196" s="1283">
        <v>-73.432999999999993</v>
      </c>
      <c r="V196" s="1283">
        <v>-162.20500000000001</v>
      </c>
      <c r="W196" s="1283">
        <v>346.096</v>
      </c>
      <c r="X196" s="1283">
        <v>-129.048</v>
      </c>
      <c r="Y196" s="1283">
        <v>-1097.393</v>
      </c>
      <c r="Z196" s="1283">
        <v>-427.68499999999995</v>
      </c>
      <c r="AA196" s="1283">
        <v>312.37900000000002</v>
      </c>
      <c r="AB196" s="1283">
        <v>-493.31700000000001</v>
      </c>
      <c r="AC196" s="1283">
        <v>-382.26300000000003</v>
      </c>
      <c r="AD196" s="1283">
        <v>-81.956000000000017</v>
      </c>
      <c r="AE196" s="1283">
        <v>338.30599999999998</v>
      </c>
      <c r="AF196" s="1283">
        <v>-439.96699999999998</v>
      </c>
      <c r="AG196" s="1283">
        <v>-242.4</v>
      </c>
      <c r="AH196" s="1283">
        <v>-343</v>
      </c>
      <c r="AI196" s="1283">
        <v>-195.4</v>
      </c>
      <c r="AJ196" s="1283">
        <v>-300.10000000000002</v>
      </c>
      <c r="AK196" s="1283">
        <v>-628.9</v>
      </c>
      <c r="AM196" s="2558"/>
      <c r="BM196" s="2558"/>
    </row>
    <row r="197" spans="1:71" s="1274" customFormat="1">
      <c r="B197" s="1284" t="s">
        <v>562</v>
      </c>
      <c r="S197" s="1283">
        <v>-207.018</v>
      </c>
      <c r="T197" s="1283">
        <v>-145.84400000000002</v>
      </c>
      <c r="U197" s="1283">
        <v>-174.54699999999997</v>
      </c>
      <c r="V197" s="1283">
        <v>332.71100000000001</v>
      </c>
      <c r="W197" s="1283">
        <v>-117.723</v>
      </c>
      <c r="X197" s="1283">
        <v>-327.49700000000001</v>
      </c>
      <c r="Y197" s="1283">
        <v>-859.19299999999998</v>
      </c>
      <c r="Z197" s="1283">
        <v>-140.25800000000004</v>
      </c>
      <c r="AA197" s="1283">
        <v>-599.47900000000004</v>
      </c>
      <c r="AB197" s="1283">
        <v>-423.96499999999992</v>
      </c>
      <c r="AC197" s="1283">
        <v>-604.18399999999997</v>
      </c>
      <c r="AD197" s="1283">
        <v>509.95699999999988</v>
      </c>
      <c r="AE197" s="1283">
        <v>40.808</v>
      </c>
      <c r="AF197" s="1283">
        <v>-232.16499999999999</v>
      </c>
      <c r="AG197" s="1283">
        <v>-92.8</v>
      </c>
      <c r="AH197" s="1283">
        <v>770</v>
      </c>
      <c r="AI197" s="1283">
        <v>-483.3</v>
      </c>
      <c r="AJ197" s="1283">
        <v>-14.7</v>
      </c>
      <c r="AK197" s="1283">
        <v>-752.7</v>
      </c>
      <c r="AM197" s="2558"/>
      <c r="BM197" s="2558"/>
    </row>
    <row r="198" spans="1:71" s="1274" customFormat="1">
      <c r="B198" s="1284" t="s">
        <v>563</v>
      </c>
      <c r="S198" s="1283">
        <v>-17.798999999999999</v>
      </c>
      <c r="T198" s="1283">
        <v>-47.637</v>
      </c>
      <c r="U198" s="1283">
        <v>-82.907999999999987</v>
      </c>
      <c r="V198" s="1283">
        <v>85.534999999999997</v>
      </c>
      <c r="W198" s="1283">
        <v>324.20099999999996</v>
      </c>
      <c r="X198" s="1283">
        <v>-63.116999999999962</v>
      </c>
      <c r="Y198" s="1283">
        <v>-246.87600000000003</v>
      </c>
      <c r="Z198" s="1283">
        <v>-631.49899999999991</v>
      </c>
      <c r="AA198" s="1283">
        <v>-137.05600000000001</v>
      </c>
      <c r="AB198" s="1283">
        <v>-262.22199999999998</v>
      </c>
      <c r="AC198" s="1283">
        <v>330.04700000000003</v>
      </c>
      <c r="AD198" s="1283">
        <v>-545.99700000000007</v>
      </c>
      <c r="AE198" s="1283">
        <v>197.36699999999999</v>
      </c>
      <c r="AF198" s="1283">
        <v>-176.76099999999997</v>
      </c>
      <c r="AG198" s="1283">
        <v>496.5</v>
      </c>
      <c r="AH198" s="1283">
        <v>371</v>
      </c>
      <c r="AI198" s="1283">
        <v>-423.9</v>
      </c>
      <c r="AJ198" s="1283">
        <v>-157.69999999999999</v>
      </c>
      <c r="AK198" s="1283">
        <f>491.4+61.7</f>
        <v>553.1</v>
      </c>
      <c r="AM198" s="2558"/>
      <c r="BM198" s="2558"/>
    </row>
    <row r="199" spans="1:71" s="1274" customFormat="1">
      <c r="B199" s="1284" t="s">
        <v>564</v>
      </c>
      <c r="S199" s="1283">
        <v>-216.56299999999999</v>
      </c>
      <c r="T199" s="1283">
        <v>152.06399999999999</v>
      </c>
      <c r="U199" s="1283">
        <v>68.272999999999996</v>
      </c>
      <c r="V199" s="1283">
        <v>113.306</v>
      </c>
      <c r="W199" s="1283">
        <v>-1872.941</v>
      </c>
      <c r="X199" s="1283">
        <v>-253.62999999999988</v>
      </c>
      <c r="Y199" s="1283">
        <v>2235.1239999999998</v>
      </c>
      <c r="Z199" s="1283">
        <v>895.67800000000011</v>
      </c>
      <c r="AA199" s="1283">
        <v>-445.13499999999999</v>
      </c>
      <c r="AB199" s="1283">
        <v>185.17899999999997</v>
      </c>
      <c r="AC199" s="1283">
        <v>-185.69499999999999</v>
      </c>
      <c r="AD199" s="1283">
        <v>913.18900000000008</v>
      </c>
      <c r="AE199" s="1283">
        <v>-579.67499999999995</v>
      </c>
      <c r="AF199" s="1283">
        <v>-61.568000000000097</v>
      </c>
      <c r="AG199" s="1283">
        <v>190.8</v>
      </c>
      <c r="AH199" s="1283">
        <v>490</v>
      </c>
      <c r="AI199" s="1283">
        <v>610</v>
      </c>
      <c r="AJ199" s="1283">
        <v>-197.5</v>
      </c>
      <c r="AK199" s="1283">
        <v>-515.70000000000005</v>
      </c>
      <c r="AM199" s="2558"/>
      <c r="BM199" s="2558"/>
    </row>
    <row r="200" spans="1:71" s="1274" customFormat="1">
      <c r="B200" s="1284" t="s">
        <v>565</v>
      </c>
      <c r="S200" s="1283">
        <v>-195.86399999999998</v>
      </c>
      <c r="T200" s="1283">
        <v>236.08699999999999</v>
      </c>
      <c r="U200" s="1283">
        <v>12.043999999999997</v>
      </c>
      <c r="V200" s="1283">
        <v>44.602000000000004</v>
      </c>
      <c r="W200" s="1283">
        <v>-86.066000000000003</v>
      </c>
      <c r="X200" s="1283">
        <v>-199.57999999999993</v>
      </c>
      <c r="Y200" s="1283">
        <v>575.48699999999997</v>
      </c>
      <c r="Z200" s="1283">
        <v>811.32799999999997</v>
      </c>
      <c r="AA200" s="1283">
        <v>-776.31700000000001</v>
      </c>
      <c r="AB200" s="1283">
        <v>66.177000000000021</v>
      </c>
      <c r="AC200" s="1283">
        <v>574.14400000000001</v>
      </c>
      <c r="AD200" s="1283">
        <v>-74.160000000000011</v>
      </c>
      <c r="AE200" s="1283">
        <v>-1070.4560000000001</v>
      </c>
      <c r="AF200" s="1283">
        <v>168.61200000000005</v>
      </c>
      <c r="AG200" s="1283"/>
      <c r="AH200" s="1283">
        <v>0</v>
      </c>
      <c r="AI200" s="1283"/>
      <c r="AJ200" s="1283"/>
      <c r="AK200" s="1283">
        <f>-82.8-239.1-274.2</f>
        <v>-596.09999999999991</v>
      </c>
      <c r="AM200" s="2558"/>
      <c r="BM200" s="2558"/>
    </row>
    <row r="201" spans="1:71" s="1274" customFormat="1">
      <c r="B201" s="1282"/>
      <c r="AM201" s="2558"/>
      <c r="BM201" s="2558"/>
    </row>
    <row r="202" spans="1:71" s="1286" customFormat="1">
      <c r="B202" s="1289" t="s">
        <v>567</v>
      </c>
      <c r="C202" s="1287"/>
      <c r="D202" s="1287"/>
      <c r="E202" s="1287"/>
      <c r="F202" s="1287"/>
      <c r="G202" s="1287"/>
      <c r="H202" s="1287"/>
      <c r="I202" s="1287"/>
      <c r="J202" s="1287"/>
      <c r="K202" s="1287"/>
      <c r="L202" s="1287"/>
      <c r="M202" s="1287"/>
      <c r="N202" s="1287"/>
      <c r="O202" s="1287"/>
      <c r="P202" s="1287"/>
      <c r="Q202" s="1287"/>
      <c r="R202" s="1287"/>
      <c r="S202" s="1287">
        <f t="shared" ref="S202:AE202" si="1208">+S195-S188</f>
        <v>768.90199999999982</v>
      </c>
      <c r="T202" s="1287">
        <f t="shared" si="1208"/>
        <v>-712.89900000000023</v>
      </c>
      <c r="U202" s="1287">
        <f t="shared" si="1208"/>
        <v>-144.31799999999976</v>
      </c>
      <c r="V202" s="1287">
        <f t="shared" si="1208"/>
        <v>-1027.7670000000001</v>
      </c>
      <c r="W202" s="1287">
        <f t="shared" si="1208"/>
        <v>3256.7809999999999</v>
      </c>
      <c r="X202" s="1287">
        <f t="shared" si="1208"/>
        <v>-463.85199999999963</v>
      </c>
      <c r="Y202" s="1287">
        <f t="shared" si="1208"/>
        <v>-4968.1729999999998</v>
      </c>
      <c r="Z202" s="1287">
        <f t="shared" si="1208"/>
        <v>-3954.8479999999995</v>
      </c>
      <c r="AA202" s="1287">
        <f t="shared" si="1208"/>
        <v>2186.5959999999995</v>
      </c>
      <c r="AB202" s="1287">
        <f t="shared" si="1208"/>
        <v>-1860.66</v>
      </c>
      <c r="AC202" s="1287">
        <f t="shared" si="1208"/>
        <v>90.450999999999567</v>
      </c>
      <c r="AD202" s="1287">
        <f t="shared" si="1208"/>
        <v>-1663.5250000000005</v>
      </c>
      <c r="AE202" s="1287">
        <f t="shared" si="1208"/>
        <v>2917.4120000000003</v>
      </c>
      <c r="AF202" s="1287">
        <f>+AF195-AF188</f>
        <v>-608.83699999999999</v>
      </c>
      <c r="AG202" s="1287">
        <f t="shared" ref="AG202:AH202" si="1209">+AG195-AG188</f>
        <v>-230.89999999999941</v>
      </c>
      <c r="AH202" s="1287">
        <f t="shared" si="1209"/>
        <v>-1212.8000000000002</v>
      </c>
      <c r="AI202" s="1287">
        <f t="shared" ref="AI202:AK202" si="1210">+AI195-AI188</f>
        <v>-809.90000000000055</v>
      </c>
      <c r="AJ202" s="1287">
        <f t="shared" si="1210"/>
        <v>5.9000000000005457</v>
      </c>
      <c r="AK202" s="1287">
        <f t="shared" si="1210"/>
        <v>390.89999999999952</v>
      </c>
      <c r="AM202" s="2560"/>
      <c r="BM202" s="2560"/>
    </row>
    <row r="203" spans="1:71" s="1286" customFormat="1">
      <c r="B203" s="1289" t="s">
        <v>568</v>
      </c>
      <c r="C203" s="1288"/>
      <c r="D203" s="1288"/>
      <c r="E203" s="1288"/>
      <c r="F203" s="1288"/>
      <c r="G203" s="1288"/>
      <c r="H203" s="1288"/>
      <c r="I203" s="1288"/>
      <c r="J203" s="1288"/>
      <c r="K203" s="1288"/>
      <c r="L203" s="1288"/>
      <c r="M203" s="1288"/>
      <c r="N203" s="1288"/>
      <c r="O203" s="1288"/>
      <c r="P203" s="1288"/>
      <c r="Q203" s="1288"/>
      <c r="R203" s="1288"/>
      <c r="S203" s="1288">
        <f t="shared" ref="S203:AE203" si="1211">+S195/S188-1</f>
        <v>-1.9037882539368129</v>
      </c>
      <c r="T203" s="1288">
        <f t="shared" si="1211"/>
        <v>30.571593979158838</v>
      </c>
      <c r="U203" s="1288">
        <f t="shared" si="1211"/>
        <v>0.54074570885805473</v>
      </c>
      <c r="V203" s="1288">
        <f t="shared" si="1211"/>
        <v>-0.91284039435118569</v>
      </c>
      <c r="W203" s="1288">
        <f t="shared" si="1211"/>
        <v>-4.3703448738593664</v>
      </c>
      <c r="X203" s="1288">
        <f t="shared" si="1211"/>
        <v>-1.1672169099144447</v>
      </c>
      <c r="Y203" s="1288">
        <f t="shared" si="1211"/>
        <v>108.23906318082847</v>
      </c>
      <c r="Z203" s="1288">
        <f t="shared" si="1211"/>
        <v>-3.7722701259061435</v>
      </c>
      <c r="AA203" s="1288">
        <f t="shared" si="1211"/>
        <v>-1.5738832505578348</v>
      </c>
      <c r="AB203" s="1288">
        <f t="shared" si="1211"/>
        <v>-4.3291298278268968</v>
      </c>
      <c r="AC203" s="1288">
        <f t="shared" si="1211"/>
        <v>-7.9671452479520455E-2</v>
      </c>
      <c r="AD203" s="1288">
        <f t="shared" si="1211"/>
        <v>-2.354600141542817</v>
      </c>
      <c r="AE203" s="1288">
        <f t="shared" si="1211"/>
        <v>-4.2232368268674003</v>
      </c>
      <c r="AF203" s="1288">
        <f>+AF195/AF188-1</f>
        <v>1.754067991933161</v>
      </c>
      <c r="AG203" s="1288">
        <f t="shared" ref="AG203:AH203" si="1212">+AG195/AG188-1</f>
        <v>-1.1464746772591861</v>
      </c>
      <c r="AH203" s="1288">
        <f t="shared" si="1212"/>
        <v>-0.79747501315097313</v>
      </c>
      <c r="AI203" s="1288">
        <f t="shared" ref="AI203:AK203" si="1213">+AI195/AI188-1</f>
        <v>0.89719729699789652</v>
      </c>
      <c r="AJ203" s="1288">
        <f t="shared" si="1213"/>
        <v>-2.1003915984337929E-2</v>
      </c>
      <c r="AK203" s="1288">
        <f t="shared" si="1213"/>
        <v>-3.6328996282528019</v>
      </c>
      <c r="AM203" s="2560"/>
      <c r="BM203" s="2560"/>
    </row>
    <row r="204" spans="1:71">
      <c r="B204" s="113"/>
    </row>
    <row r="205" spans="1:71" s="124" customFormat="1">
      <c r="A205" s="274"/>
      <c r="B205" s="294" t="s">
        <v>569</v>
      </c>
      <c r="C205" s="282" t="s">
        <v>418</v>
      </c>
      <c r="D205" s="282" t="s">
        <v>419</v>
      </c>
      <c r="E205" s="282" t="s">
        <v>420</v>
      </c>
      <c r="F205" s="282" t="s">
        <v>421</v>
      </c>
      <c r="G205" s="282" t="s">
        <v>422</v>
      </c>
      <c r="H205" s="282" t="s">
        <v>423</v>
      </c>
      <c r="I205" s="282" t="s">
        <v>424</v>
      </c>
      <c r="J205" s="282" t="s">
        <v>425</v>
      </c>
      <c r="K205" s="282" t="s">
        <v>426</v>
      </c>
      <c r="L205" s="282" t="s">
        <v>427</v>
      </c>
      <c r="M205" s="282" t="s">
        <v>428</v>
      </c>
      <c r="N205" s="282" t="s">
        <v>429</v>
      </c>
      <c r="O205" s="282" t="s">
        <v>430</v>
      </c>
      <c r="P205" s="282" t="s">
        <v>431</v>
      </c>
      <c r="Q205" s="282" t="s">
        <v>432</v>
      </c>
      <c r="R205" s="282" t="s">
        <v>433</v>
      </c>
      <c r="S205" s="282" t="s">
        <v>434</v>
      </c>
      <c r="T205" s="282" t="s">
        <v>435</v>
      </c>
      <c r="U205" s="282" t="s">
        <v>436</v>
      </c>
      <c r="V205" s="282" t="s">
        <v>437</v>
      </c>
      <c r="W205" s="282" t="s">
        <v>438</v>
      </c>
      <c r="X205" s="282" t="s">
        <v>439</v>
      </c>
      <c r="Y205" s="282" t="s">
        <v>440</v>
      </c>
      <c r="Z205" s="282" t="s">
        <v>441</v>
      </c>
      <c r="AA205" s="282" t="str">
        <f>+AA2</f>
        <v>1T21</v>
      </c>
      <c r="AB205" s="282" t="str">
        <f>+AB2</f>
        <v>2T21</v>
      </c>
      <c r="AC205" s="282" t="str">
        <f>+AC2</f>
        <v>3T21</v>
      </c>
      <c r="AD205" s="282" t="str">
        <f>+AD2</f>
        <v>4T21</v>
      </c>
      <c r="AE205" s="282" t="str">
        <f>+AE2</f>
        <v>1T22</v>
      </c>
      <c r="AF205" s="282" t="str">
        <f>+AF2</f>
        <v>2T22</v>
      </c>
      <c r="AG205" s="282" t="str">
        <f>+AG2</f>
        <v>3T22</v>
      </c>
      <c r="AH205" s="282" t="str">
        <f>+AH2</f>
        <v>4T22</v>
      </c>
      <c r="AI205" s="282" t="str">
        <f>+AI2</f>
        <v>1T23</v>
      </c>
      <c r="AJ205" s="282" t="str">
        <f>+AJ2</f>
        <v>2T23</v>
      </c>
      <c r="AK205" s="282" t="str">
        <f>+AK2</f>
        <v>3T23</v>
      </c>
      <c r="AL205" s="282" t="str">
        <f>+AL2</f>
        <v>4T23</v>
      </c>
      <c r="AM205" s="2508" t="str">
        <f>+AM2</f>
        <v>1T24</v>
      </c>
      <c r="AN205" s="282" t="str">
        <f>+AN2</f>
        <v>2T24</v>
      </c>
      <c r="AO205" s="282" t="str">
        <f>+AO2</f>
        <v>3T24</v>
      </c>
      <c r="AP205" s="282" t="str">
        <f>+AP2</f>
        <v>4T24</v>
      </c>
      <c r="AQ205" s="282" t="str">
        <f>+AQ2</f>
        <v>1T25</v>
      </c>
      <c r="AR205" s="282" t="str">
        <f>+AR2</f>
        <v>2T25</v>
      </c>
      <c r="AS205" s="282" t="str">
        <f>+AS2</f>
        <v>3T25</v>
      </c>
      <c r="AT205" s="282" t="str">
        <f>+AT2</f>
        <v>4T25</v>
      </c>
      <c r="AU205" s="282" t="str">
        <f>+AU2</f>
        <v>1T26</v>
      </c>
      <c r="AV205" s="282" t="str">
        <f>+AV2</f>
        <v>2T26</v>
      </c>
      <c r="AW205" s="282" t="str">
        <f>+AW2</f>
        <v>3T26</v>
      </c>
      <c r="AX205" s="282" t="str">
        <f>+AX2</f>
        <v>4T26</v>
      </c>
      <c r="AY205" s="274"/>
      <c r="AZ205" s="282" t="s">
        <v>461</v>
      </c>
      <c r="BA205" s="1073"/>
      <c r="BB205" s="274"/>
      <c r="BC205" s="274"/>
      <c r="BD205" s="160">
        <f>+BD$2</f>
        <v>2015</v>
      </c>
      <c r="BE205" s="160">
        <f t="shared" ref="BE205:BS205" si="1214">+BE$2</f>
        <v>2016</v>
      </c>
      <c r="BF205" s="160">
        <f t="shared" si="1214"/>
        <v>2017</v>
      </c>
      <c r="BG205" s="160">
        <f t="shared" si="1214"/>
        <v>2018</v>
      </c>
      <c r="BH205" s="160">
        <f t="shared" si="1214"/>
        <v>2019</v>
      </c>
      <c r="BI205" s="160">
        <f t="shared" si="1214"/>
        <v>2020</v>
      </c>
      <c r="BJ205" s="160">
        <f t="shared" si="1214"/>
        <v>2021</v>
      </c>
      <c r="BK205" s="160">
        <f t="shared" si="1214"/>
        <v>2022</v>
      </c>
      <c r="BL205" s="160">
        <f t="shared" si="1214"/>
        <v>2023</v>
      </c>
      <c r="BM205" s="2607">
        <f t="shared" si="1214"/>
        <v>2024</v>
      </c>
      <c r="BN205" s="160">
        <f t="shared" si="1214"/>
        <v>2025</v>
      </c>
      <c r="BO205" s="160">
        <f t="shared" si="1214"/>
        <v>2026</v>
      </c>
      <c r="BP205" s="160">
        <f t="shared" si="1214"/>
        <v>2027</v>
      </c>
      <c r="BQ205" s="160">
        <f t="shared" si="1214"/>
        <v>2028</v>
      </c>
      <c r="BR205" s="160">
        <f t="shared" si="1214"/>
        <v>2029</v>
      </c>
      <c r="BS205" s="160">
        <f t="shared" si="1214"/>
        <v>2030</v>
      </c>
    </row>
    <row r="206" spans="1:71" s="274" customFormat="1">
      <c r="B206" s="296"/>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c r="AA206" s="289"/>
      <c r="AB206" s="289"/>
      <c r="AC206" s="289"/>
      <c r="AD206" s="289"/>
      <c r="AE206" s="289"/>
      <c r="AF206" s="289"/>
      <c r="AG206" s="289"/>
      <c r="AH206" s="289"/>
      <c r="AI206" s="289"/>
      <c r="AJ206" s="289"/>
      <c r="AK206" s="289"/>
      <c r="AL206" s="289"/>
      <c r="AM206" s="2561"/>
      <c r="AN206" s="289"/>
      <c r="AO206" s="289"/>
      <c r="AP206" s="1176"/>
      <c r="AQ206" s="1176"/>
      <c r="AR206" s="289"/>
      <c r="AS206" s="289"/>
      <c r="AT206" s="289"/>
      <c r="AU206" s="289"/>
      <c r="AV206" s="289"/>
      <c r="AW206" s="289"/>
      <c r="AX206" s="289"/>
      <c r="AZ206" s="289"/>
      <c r="BA206" s="1073"/>
      <c r="BD206" s="275"/>
      <c r="BE206" s="275"/>
      <c r="BF206" s="275"/>
      <c r="BG206" s="275"/>
      <c r="BH206" s="275"/>
      <c r="BI206" s="275"/>
      <c r="BJ206" s="275"/>
      <c r="BK206" s="275"/>
      <c r="BL206" s="275"/>
      <c r="BM206" s="2612"/>
      <c r="BN206" s="275"/>
      <c r="BO206" s="275"/>
      <c r="BP206" s="275"/>
      <c r="BQ206" s="275"/>
      <c r="BR206" s="275"/>
      <c r="BS206" s="275"/>
    </row>
    <row r="207" spans="1:71" s="105" customFormat="1">
      <c r="B207" s="125" t="s">
        <v>143</v>
      </c>
      <c r="C207" s="587">
        <v>50.2</v>
      </c>
      <c r="D207" s="587">
        <v>90.8</v>
      </c>
      <c r="E207" s="587">
        <v>97.8</v>
      </c>
      <c r="F207" s="587">
        <v>144.19999999999999</v>
      </c>
      <c r="G207" s="587">
        <v>47.899999999999991</v>
      </c>
      <c r="H207" s="587">
        <v>62.7</v>
      </c>
      <c r="I207" s="587">
        <v>65</v>
      </c>
      <c r="J207" s="587">
        <v>130.4</v>
      </c>
      <c r="K207" s="587">
        <v>33.900000000000006</v>
      </c>
      <c r="L207" s="587">
        <v>61.5</v>
      </c>
      <c r="M207" s="587">
        <v>103.5</v>
      </c>
      <c r="N207" s="587">
        <v>163.6</v>
      </c>
      <c r="O207" s="587">
        <v>59.3</v>
      </c>
      <c r="P207" s="587">
        <v>91.2</v>
      </c>
      <c r="Q207" s="587">
        <v>123.3</v>
      </c>
      <c r="R207" s="587">
        <v>218.1</v>
      </c>
      <c r="S207" s="587">
        <v>80.099999999999994</v>
      </c>
      <c r="T207" s="587">
        <v>137.30000000000001</v>
      </c>
      <c r="U207" s="587">
        <v>154.19999999999999</v>
      </c>
      <c r="V207" s="587">
        <v>199.7</v>
      </c>
      <c r="W207" s="587">
        <v>120.3</v>
      </c>
      <c r="X207" s="587">
        <v>150.80000000000001</v>
      </c>
      <c r="Y207" s="587">
        <v>143.19999999999999</v>
      </c>
      <c r="Z207" s="1176">
        <v>376.4</v>
      </c>
      <c r="AA207" s="1176">
        <v>332.6</v>
      </c>
      <c r="AB207" s="1176">
        <v>274.5</v>
      </c>
      <c r="AC207" s="1176">
        <v>310</v>
      </c>
      <c r="AD207" s="1176">
        <v>595.9</v>
      </c>
      <c r="AE207" s="1176">
        <v>309.5</v>
      </c>
      <c r="AF207" s="1176">
        <v>213.5</v>
      </c>
      <c r="AG207" s="1176">
        <v>245.1</v>
      </c>
      <c r="AH207" s="1176">
        <v>334.7</v>
      </c>
      <c r="AI207" s="1176">
        <v>258.2</v>
      </c>
      <c r="AJ207" s="1176">
        <v>256.8</v>
      </c>
      <c r="AK207" s="1176">
        <v>225.9</v>
      </c>
      <c r="AL207" s="1176">
        <v>291.89999999999998</v>
      </c>
      <c r="AM207" s="2562">
        <v>119.9</v>
      </c>
      <c r="AN207" s="1176">
        <v>213.59100000000001</v>
      </c>
      <c r="AO207" s="1176">
        <v>42.8218254648745</v>
      </c>
      <c r="AP207" s="1176">
        <v>257.8</v>
      </c>
      <c r="AQ207" s="1176">
        <v>143.6</v>
      </c>
      <c r="AR207" s="1176">
        <v>165.4</v>
      </c>
      <c r="AS207" s="1176">
        <v>80.778000000000006</v>
      </c>
      <c r="AT207" s="1176">
        <v>139.55000000000001</v>
      </c>
      <c r="AU207" s="694">
        <f>+AU208*AU3</f>
        <v>102.35337957903252</v>
      </c>
      <c r="AV207" s="694">
        <f>+AV208*AV3</f>
        <v>129.60090681772138</v>
      </c>
      <c r="AW207" s="694">
        <f>+AW208*AW3</f>
        <v>125.41958520777752</v>
      </c>
      <c r="AX207" s="694">
        <f>+AX208*AX3</f>
        <v>158.4391550348239</v>
      </c>
      <c r="AZ207" s="694">
        <v>168.05050474348448</v>
      </c>
      <c r="BA207" s="1070"/>
      <c r="BD207" s="107">
        <f>+SUM(C207:F207)</f>
        <v>383</v>
      </c>
      <c r="BE207" s="107">
        <f>+SUM(G207:J207)</f>
        <v>306</v>
      </c>
      <c r="BF207" s="107">
        <f>+SUM(K207:N207)</f>
        <v>362.5</v>
      </c>
      <c r="BG207" s="107">
        <f>+SUM(O207:R207)</f>
        <v>491.9</v>
      </c>
      <c r="BH207" s="107">
        <f>+SUM(S207:V207)</f>
        <v>571.29999999999995</v>
      </c>
      <c r="BI207" s="107">
        <f>+SUM(W207:Z207)</f>
        <v>790.7</v>
      </c>
      <c r="BJ207" s="107">
        <f>+SUM(AA207:AD207)</f>
        <v>1513</v>
      </c>
      <c r="BK207" s="107">
        <f>+SUM(AE207:AH207)</f>
        <v>1102.8</v>
      </c>
      <c r="BL207" s="107">
        <f>+SUM(AI207:AL207)</f>
        <v>1032.8</v>
      </c>
      <c r="BM207" s="2613">
        <f>+SUM(AM207:AP207)</f>
        <v>634.1128254648745</v>
      </c>
      <c r="BN207" s="107">
        <f>+SUM(AQ207:AT207)</f>
        <v>529.32799999999997</v>
      </c>
      <c r="BO207" s="107">
        <f>+SUM(AU207:AX207)</f>
        <v>515.81302663935526</v>
      </c>
      <c r="BP207" s="694">
        <f>+BP208*BP3</f>
        <v>570.58168301187015</v>
      </c>
      <c r="BQ207" s="694">
        <f>+BQ208*BQ3</f>
        <v>592.5910010605453</v>
      </c>
      <c r="BR207" s="694">
        <f>+BR208*BR3</f>
        <v>615.15744569525884</v>
      </c>
      <c r="BS207" s="694">
        <f>+BS208*BS3</f>
        <v>636.89989883449232</v>
      </c>
    </row>
    <row r="208" spans="1:71">
      <c r="B208" s="128" t="s">
        <v>283</v>
      </c>
      <c r="C208" s="140">
        <f t="shared" ref="C208:AT208" si="1215">+C207/C$3</f>
        <v>2.2757771047744953E-2</v>
      </c>
      <c r="D208" s="140">
        <f t="shared" si="1215"/>
        <v>3.4429020775821439E-2</v>
      </c>
      <c r="E208" s="140">
        <f t="shared" si="1215"/>
        <v>3.5395573408368297E-2</v>
      </c>
      <c r="F208" s="140">
        <f t="shared" si="1215"/>
        <v>4.5059221740646478E-2</v>
      </c>
      <c r="G208" s="140">
        <f t="shared" si="1215"/>
        <v>2.0646302587646194E-2</v>
      </c>
      <c r="H208" s="140">
        <f t="shared" si="1215"/>
        <v>2.2269862805118237E-2</v>
      </c>
      <c r="I208" s="140">
        <f t="shared" si="1215"/>
        <v>2.4471048866802202E-2</v>
      </c>
      <c r="J208" s="140">
        <f t="shared" si="1215"/>
        <v>4.0767018880577474E-2</v>
      </c>
      <c r="K208" s="140">
        <f t="shared" si="1215"/>
        <v>1.4148883234459998E-2</v>
      </c>
      <c r="L208" s="140">
        <f t="shared" si="1215"/>
        <v>2.1951737381565521E-2</v>
      </c>
      <c r="M208" s="140">
        <f t="shared" si="1215"/>
        <v>3.2311369493951525E-2</v>
      </c>
      <c r="N208" s="140">
        <f t="shared" si="1215"/>
        <v>3.0578867684716172E-2</v>
      </c>
      <c r="O208" s="140">
        <f t="shared" si="1215"/>
        <v>1.5990536643859053E-2</v>
      </c>
      <c r="P208" s="140">
        <f t="shared" si="1215"/>
        <v>2.1203774911157304E-2</v>
      </c>
      <c r="Q208" s="140">
        <f t="shared" si="1215"/>
        <v>2.8067772183203346E-2</v>
      </c>
      <c r="R208" s="140">
        <f t="shared" si="1215"/>
        <v>3.5684103337439009E-2</v>
      </c>
      <c r="S208" s="140">
        <f t="shared" si="1215"/>
        <v>2.0326853778612392E-2</v>
      </c>
      <c r="T208" s="140">
        <f t="shared" si="1215"/>
        <v>2.9655068144020393E-2</v>
      </c>
      <c r="U208" s="140">
        <f t="shared" si="1215"/>
        <v>3.2773645058448458E-2</v>
      </c>
      <c r="V208" s="140">
        <f t="shared" si="1215"/>
        <v>3.1044989584304943E-2</v>
      </c>
      <c r="W208" s="140">
        <f t="shared" si="1215"/>
        <v>1.2377689292218415E-2</v>
      </c>
      <c r="X208" s="140">
        <f t="shared" si="1215"/>
        <v>1.654270607077821E-2</v>
      </c>
      <c r="Y208" s="140">
        <f t="shared" si="1215"/>
        <v>1.0528405373015814E-2</v>
      </c>
      <c r="Z208" s="140">
        <f t="shared" si="1215"/>
        <v>2.4664499895156212E-2</v>
      </c>
      <c r="AA208" s="140">
        <f t="shared" si="1215"/>
        <v>2.7580831073629044E-2</v>
      </c>
      <c r="AB208" s="140">
        <f t="shared" si="1215"/>
        <v>2.2439303523256768E-2</v>
      </c>
      <c r="AC208" s="140">
        <f t="shared" si="1215"/>
        <v>2.5143765562774249E-2</v>
      </c>
      <c r="AD208" s="140">
        <f t="shared" si="1215"/>
        <v>3.9665845703255008E-2</v>
      </c>
      <c r="AE208" s="140">
        <f t="shared" si="1215"/>
        <v>2.9082879158052993E-2</v>
      </c>
      <c r="AF208" s="140">
        <f t="shared" si="1215"/>
        <v>1.8941242226106089E-2</v>
      </c>
      <c r="AG208" s="140">
        <f t="shared" si="1215"/>
        <v>2.0960721096696399E-2</v>
      </c>
      <c r="AH208" s="140">
        <f t="shared" si="1215"/>
        <v>2.4789654559459619E-2</v>
      </c>
      <c r="AI208" s="140">
        <f t="shared" si="1215"/>
        <v>2.7015715571180446E-2</v>
      </c>
      <c r="AJ208" s="140">
        <f t="shared" si="1215"/>
        <v>2.5211742109748098E-2</v>
      </c>
      <c r="AK208" s="140">
        <f t="shared" si="1215"/>
        <v>2.2998368225560336E-2</v>
      </c>
      <c r="AL208" s="140">
        <f t="shared" si="1215"/>
        <v>3.3902832785514349E-2</v>
      </c>
      <c r="AM208" s="2563">
        <f t="shared" si="1215"/>
        <v>1.8816993361477741E-2</v>
      </c>
      <c r="AN208" s="140">
        <f t="shared" si="1215"/>
        <v>2.6884909752162088E-2</v>
      </c>
      <c r="AO208" s="140">
        <f t="shared" si="1215"/>
        <v>5.4200175187869779E-3</v>
      </c>
      <c r="AP208" s="140">
        <f t="shared" si="1215"/>
        <v>2.7514515027322405E-2</v>
      </c>
      <c r="AQ208" s="140">
        <f t="shared" si="1215"/>
        <v>2.1056027214475286E-2</v>
      </c>
      <c r="AR208" s="140">
        <f t="shared" si="1215"/>
        <v>2.1919187903364744E-2</v>
      </c>
      <c r="AS208" s="140">
        <f t="shared" si="1215"/>
        <v>1.1763215377894277E-2</v>
      </c>
      <c r="AT208" s="140">
        <f t="shared" si="1215"/>
        <v>1.6890583393851369E-2</v>
      </c>
      <c r="AU208" s="154">
        <v>1.7000000000000001E-2</v>
      </c>
      <c r="AV208" s="154">
        <v>1.7000000000000001E-2</v>
      </c>
      <c r="AW208" s="154">
        <v>1.7000000000000001E-2</v>
      </c>
      <c r="AX208" s="154">
        <v>1.7000000000000001E-2</v>
      </c>
      <c r="AZ208" s="154">
        <v>0.02</v>
      </c>
      <c r="BD208" s="140">
        <f t="shared" ref="BD208:BN208" si="1216">+BD207/BD$3</f>
        <v>3.5441828842283918E-2</v>
      </c>
      <c r="BE208" s="140">
        <f t="shared" si="1216"/>
        <v>2.784259158209557E-2</v>
      </c>
      <c r="BF208" s="140">
        <f t="shared" si="1216"/>
        <v>2.6361994763940234E-2</v>
      </c>
      <c r="BG208" s="140">
        <f t="shared" si="1216"/>
        <v>2.6568410983446172E-2</v>
      </c>
      <c r="BH208" s="140">
        <f t="shared" si="1216"/>
        <v>2.8988081042819958E-2</v>
      </c>
      <c r="BI208" s="140">
        <f t="shared" si="1216"/>
        <v>1.6577562530138163E-2</v>
      </c>
      <c r="BJ208" s="140">
        <f t="shared" si="1216"/>
        <v>2.9296610267948775E-2</v>
      </c>
      <c r="BK208" s="140">
        <f t="shared" si="1216"/>
        <v>2.3409738349261067E-2</v>
      </c>
      <c r="BL208" s="140">
        <f t="shared" si="1216"/>
        <v>2.7054024640077005E-2</v>
      </c>
      <c r="BM208" s="2563">
        <f t="shared" si="1216"/>
        <v>2.0075232877816328E-2</v>
      </c>
      <c r="BN208" s="140">
        <f t="shared" si="1216"/>
        <v>1.7946485482186691E-2</v>
      </c>
      <c r="BO208" s="140">
        <f t="shared" ref="BO208" si="1217">+BO207/BO$3</f>
        <v>1.6999999999999998E-2</v>
      </c>
      <c r="BP208" s="154">
        <v>1.7999999999999999E-2</v>
      </c>
      <c r="BQ208" s="154">
        <f t="shared" ref="BQ208" si="1218">+BP208</f>
        <v>1.7999999999999999E-2</v>
      </c>
      <c r="BR208" s="154">
        <f t="shared" ref="BR208" si="1219">+BQ208</f>
        <v>1.7999999999999999E-2</v>
      </c>
      <c r="BS208" s="154">
        <f t="shared" ref="BS208" si="1220">+BR208</f>
        <v>1.7999999999999999E-2</v>
      </c>
    </row>
    <row r="209" spans="2:71">
      <c r="B209" s="127" t="s">
        <v>108</v>
      </c>
      <c r="C209" s="153"/>
      <c r="D209" s="153"/>
      <c r="E209" s="153"/>
      <c r="F209" s="153"/>
      <c r="G209" s="153">
        <f t="shared" ref="G209:S209" si="1221">+G207/C207-1</f>
        <v>-4.5816733067729265E-2</v>
      </c>
      <c r="H209" s="153">
        <f t="shared" si="1221"/>
        <v>-0.30947136563876643</v>
      </c>
      <c r="I209" s="153">
        <f t="shared" si="1221"/>
        <v>-0.33537832310838445</v>
      </c>
      <c r="J209" s="153">
        <f t="shared" si="1221"/>
        <v>-9.570041608876545E-2</v>
      </c>
      <c r="K209" s="153">
        <f t="shared" si="1221"/>
        <v>-0.29227557411273464</v>
      </c>
      <c r="L209" s="153">
        <f t="shared" si="1221"/>
        <v>-1.9138755980861344E-2</v>
      </c>
      <c r="M209" s="153">
        <f t="shared" si="1221"/>
        <v>0.5923076923076922</v>
      </c>
      <c r="N209" s="153">
        <f t="shared" si="1221"/>
        <v>0.25460122699386489</v>
      </c>
      <c r="O209" s="153">
        <f t="shared" si="1221"/>
        <v>0.74926253687315603</v>
      </c>
      <c r="P209" s="153">
        <f t="shared" si="1221"/>
        <v>0.48292682926829267</v>
      </c>
      <c r="Q209" s="153">
        <f t="shared" si="1221"/>
        <v>0.19130434782608696</v>
      </c>
      <c r="R209" s="153">
        <f t="shared" si="1221"/>
        <v>0.33312958435207829</v>
      </c>
      <c r="S209" s="153">
        <f t="shared" si="1221"/>
        <v>0.35075885328836431</v>
      </c>
      <c r="T209" s="153">
        <f t="shared" ref="T209:AD209" si="1222">+T207/P207-1</f>
        <v>0.50548245614035103</v>
      </c>
      <c r="U209" s="153">
        <f t="shared" si="1222"/>
        <v>0.25060827250608275</v>
      </c>
      <c r="V209" s="153">
        <f t="shared" si="1222"/>
        <v>-8.4364970197157274E-2</v>
      </c>
      <c r="W209" s="153">
        <f t="shared" si="1222"/>
        <v>0.50187265917603008</v>
      </c>
      <c r="X209" s="153">
        <f t="shared" si="1222"/>
        <v>9.8324836125273096E-2</v>
      </c>
      <c r="Y209" s="153">
        <f t="shared" si="1222"/>
        <v>-7.133592736705574E-2</v>
      </c>
      <c r="Z209" s="153">
        <f t="shared" si="1222"/>
        <v>0.88482724086129183</v>
      </c>
      <c r="AA209" s="153">
        <f t="shared" si="1222"/>
        <v>1.7647547797173733</v>
      </c>
      <c r="AB209" s="153">
        <f t="shared" si="1222"/>
        <v>0.82029177718832869</v>
      </c>
      <c r="AC209" s="153">
        <f t="shared" si="1222"/>
        <v>1.1648044692737431</v>
      </c>
      <c r="AD209" s="153">
        <f t="shared" si="1222"/>
        <v>0.58315621679064833</v>
      </c>
      <c r="AE209" s="153">
        <f t="shared" ref="AE209" si="1223">+AE207/AA207-1</f>
        <v>-6.9452796151533436E-2</v>
      </c>
      <c r="AF209" s="153">
        <f t="shared" ref="AF209" si="1224">+AF207/AB207-1</f>
        <v>-0.22222222222222221</v>
      </c>
      <c r="AG209" s="153">
        <f t="shared" ref="AG209:AO209" si="1225">+AG207/AC207-1</f>
        <v>-0.20935483870967742</v>
      </c>
      <c r="AH209" s="153">
        <f t="shared" si="1225"/>
        <v>-0.43832857862057395</v>
      </c>
      <c r="AI209" s="153">
        <f t="shared" si="1225"/>
        <v>-0.16575121163166406</v>
      </c>
      <c r="AJ209" s="153">
        <f t="shared" si="1225"/>
        <v>0.20281030444964876</v>
      </c>
      <c r="AK209" s="153">
        <f t="shared" si="1225"/>
        <v>-7.8335373317013457E-2</v>
      </c>
      <c r="AL209" s="153">
        <f t="shared" si="1225"/>
        <v>-0.12787570959067829</v>
      </c>
      <c r="AM209" s="2564">
        <f t="shared" si="1225"/>
        <v>-0.53563129357087524</v>
      </c>
      <c r="AN209" s="153">
        <f t="shared" si="1225"/>
        <v>-0.1682593457943925</v>
      </c>
      <c r="AO209" s="153">
        <f t="shared" si="1225"/>
        <v>-0.81043901963313636</v>
      </c>
      <c r="AP209" s="153">
        <f t="shared" ref="AP209" si="1226">+AP207/AL207-1</f>
        <v>-0.11682082905104474</v>
      </c>
      <c r="AQ209" s="153">
        <f t="shared" ref="AQ209" si="1227">+AQ207/AM207-1</f>
        <v>0.19766472060050022</v>
      </c>
      <c r="AR209" s="153">
        <f t="shared" ref="AR209" si="1228">+AR207/AN207-1</f>
        <v>-0.22562280245890509</v>
      </c>
      <c r="AS209" s="153">
        <f t="shared" ref="AS209" si="1229">+AS207/AO207-1</f>
        <v>0.88637450933192596</v>
      </c>
      <c r="AT209" s="153">
        <f t="shared" ref="AT209" si="1230">+AT207/AP207-1</f>
        <v>-0.45868890612878199</v>
      </c>
      <c r="AU209" s="153">
        <f t="shared" ref="AU209" si="1231">+AU207/AQ207-1</f>
        <v>-0.28723273273654226</v>
      </c>
      <c r="AV209" s="153">
        <f t="shared" ref="AV209" si="1232">+AV207/AR207-1</f>
        <v>-0.21643949928826256</v>
      </c>
      <c r="AW209" s="153">
        <f t="shared" ref="AW209" si="1233">+AW207/AS207-1</f>
        <v>0.55264533917375402</v>
      </c>
      <c r="AX209" s="153">
        <f t="shared" ref="AX209" si="1234">+AX207/AT207-1</f>
        <v>0.13535761400805368</v>
      </c>
      <c r="AZ209" s="153">
        <v>-0.34813613365599505</v>
      </c>
      <c r="BD209" s="153"/>
      <c r="BE209" s="153">
        <f t="shared" ref="BE209:BO209" si="1235">+BE207/BD207-1</f>
        <v>-0.20104438642297651</v>
      </c>
      <c r="BF209" s="153">
        <f t="shared" si="1235"/>
        <v>0.184640522875817</v>
      </c>
      <c r="BG209" s="153">
        <f t="shared" si="1235"/>
        <v>0.35696551724137926</v>
      </c>
      <c r="BH209" s="153">
        <f t="shared" si="1235"/>
        <v>0.16141492173205929</v>
      </c>
      <c r="BI209" s="153">
        <f t="shared" si="1235"/>
        <v>0.38403640819184326</v>
      </c>
      <c r="BJ209" s="153">
        <f t="shared" si="1235"/>
        <v>0.91349437207537609</v>
      </c>
      <c r="BK209" s="153">
        <f t="shared" si="1235"/>
        <v>-0.27111698612029089</v>
      </c>
      <c r="BL209" s="153">
        <f t="shared" si="1235"/>
        <v>-6.3474791439971034E-2</v>
      </c>
      <c r="BM209" s="2564">
        <f t="shared" si="1235"/>
        <v>-0.38602553692401764</v>
      </c>
      <c r="BN209" s="153">
        <f t="shared" si="1235"/>
        <v>-0.16524634301168051</v>
      </c>
      <c r="BO209" s="153">
        <f t="shared" si="1235"/>
        <v>-2.5532322795402296E-2</v>
      </c>
      <c r="BP209" s="153">
        <f>+BP207/BO207-1</f>
        <v>0.10617928114252129</v>
      </c>
      <c r="BQ209" s="153">
        <f t="shared" ref="BQ209" si="1236">+BQ207/BP207-1</f>
        <v>3.8573474585613887E-2</v>
      </c>
      <c r="BR209" s="153">
        <f t="shared" ref="BR209" si="1237">+BR207/BQ207-1</f>
        <v>3.8080977595553955E-2</v>
      </c>
      <c r="BS209" s="153">
        <f t="shared" ref="BS209" si="1238">+BS207/BR207-1</f>
        <v>3.5344533812250001E-2</v>
      </c>
    </row>
    <row r="210" spans="2:71">
      <c r="B210" s="113" t="s">
        <v>570</v>
      </c>
      <c r="C210" s="140">
        <f t="shared" ref="C210:AT210" si="1239">+C207/C214</f>
        <v>-0.87812748910633465</v>
      </c>
      <c r="D210" s="140">
        <f t="shared" si="1239"/>
        <v>-1.7151564471589913</v>
      </c>
      <c r="E210" s="140">
        <f t="shared" si="1239"/>
        <v>-1.5644284059527827</v>
      </c>
      <c r="F210" s="140">
        <f t="shared" si="1239"/>
        <v>-2.1586101278622296</v>
      </c>
      <c r="G210" s="140">
        <f t="shared" si="1239"/>
        <v>-0.75943385221207449</v>
      </c>
      <c r="H210" s="140">
        <f t="shared" si="1239"/>
        <v>-0.97398578270713487</v>
      </c>
      <c r="I210" s="140">
        <f t="shared" si="1239"/>
        <v>-0.66651282971467873</v>
      </c>
      <c r="J210" s="140">
        <f t="shared" si="1239"/>
        <v>-2.0077657746737785</v>
      </c>
      <c r="K210" s="140">
        <f t="shared" si="1239"/>
        <v>-0.50347194731345546</v>
      </c>
      <c r="L210" s="140">
        <f t="shared" si="1239"/>
        <v>-0.92313345628335586</v>
      </c>
      <c r="M210" s="140">
        <f t="shared" si="1239"/>
        <v>-1.2461114985294983</v>
      </c>
      <c r="N210" s="140">
        <f t="shared" si="1239"/>
        <v>-0.98380113776965727</v>
      </c>
      <c r="O210" s="140">
        <f t="shared" si="1239"/>
        <v>-0.46233638597332793</v>
      </c>
      <c r="P210" s="140">
        <f t="shared" si="1239"/>
        <v>-0.63042680889481761</v>
      </c>
      <c r="Q210" s="140">
        <f t="shared" si="1239"/>
        <v>-0.86173012605650245</v>
      </c>
      <c r="R210" s="140">
        <f t="shared" si="1239"/>
        <v>-1.2752354273210704</v>
      </c>
      <c r="S210" s="140" t="e">
        <f t="shared" si="1239"/>
        <v>#REF!</v>
      </c>
      <c r="T210" s="140" t="e">
        <f t="shared" si="1239"/>
        <v>#REF!</v>
      </c>
      <c r="U210" s="140" t="e">
        <f t="shared" si="1239"/>
        <v>#REF!</v>
      </c>
      <c r="V210" s="140" t="e">
        <f t="shared" si="1239"/>
        <v>#REF!</v>
      </c>
      <c r="W210" s="140" t="e">
        <f t="shared" si="1239"/>
        <v>#REF!</v>
      </c>
      <c r="X210" s="140" t="e">
        <f t="shared" si="1239"/>
        <v>#REF!</v>
      </c>
      <c r="Y210" s="140" t="e">
        <f t="shared" si="1239"/>
        <v>#REF!</v>
      </c>
      <c r="Z210" s="140" t="e">
        <f t="shared" si="1239"/>
        <v>#REF!</v>
      </c>
      <c r="AA210" s="140" t="e">
        <f t="shared" si="1239"/>
        <v>#REF!</v>
      </c>
      <c r="AB210" s="140" t="e">
        <f t="shared" si="1239"/>
        <v>#REF!</v>
      </c>
      <c r="AC210" s="140" t="e">
        <f t="shared" si="1239"/>
        <v>#REF!</v>
      </c>
      <c r="AD210" s="140" t="e">
        <f t="shared" si="1239"/>
        <v>#REF!</v>
      </c>
      <c r="AE210" s="140" t="e">
        <f t="shared" si="1239"/>
        <v>#REF!</v>
      </c>
      <c r="AF210" s="140" t="e">
        <f t="shared" si="1239"/>
        <v>#REF!</v>
      </c>
      <c r="AG210" s="140" t="e">
        <f t="shared" si="1239"/>
        <v>#REF!</v>
      </c>
      <c r="AH210" s="140" t="e">
        <f t="shared" si="1239"/>
        <v>#REF!</v>
      </c>
      <c r="AI210" s="140" t="e">
        <f t="shared" si="1239"/>
        <v>#REF!</v>
      </c>
      <c r="AJ210" s="140" t="e">
        <f t="shared" si="1239"/>
        <v>#REF!</v>
      </c>
      <c r="AK210" s="140" t="e">
        <f t="shared" si="1239"/>
        <v>#REF!</v>
      </c>
      <c r="AL210" s="140" t="e">
        <f t="shared" si="1239"/>
        <v>#REF!</v>
      </c>
      <c r="AM210" s="2563" t="e">
        <f t="shared" si="1239"/>
        <v>#REF!</v>
      </c>
      <c r="AN210" s="140" t="e">
        <f t="shared" si="1239"/>
        <v>#REF!</v>
      </c>
      <c r="AO210" s="140">
        <f t="shared" si="1239"/>
        <v>-0.1874590162755578</v>
      </c>
      <c r="AP210" s="140">
        <f t="shared" si="1239"/>
        <v>-0.31968849592638976</v>
      </c>
      <c r="AQ210" s="140">
        <f t="shared" si="1239"/>
        <v>-1.1029270578115042</v>
      </c>
      <c r="AR210" s="140">
        <f t="shared" si="1239"/>
        <v>-1.2462796217458467</v>
      </c>
      <c r="AS210" s="140">
        <f t="shared" si="1239"/>
        <v>-0.34142320957597894</v>
      </c>
      <c r="AT210" s="140">
        <f t="shared" si="1239"/>
        <v>-0.65141182017206056</v>
      </c>
      <c r="AU210" s="140">
        <f t="shared" ref="AU210:AX210" si="1240">+AU207/AU214</f>
        <v>-0.65536117256830262</v>
      </c>
      <c r="AV210" s="140">
        <f t="shared" si="1240"/>
        <v>-0.81313496224919823</v>
      </c>
      <c r="AW210" s="140">
        <f t="shared" si="1240"/>
        <v>-0.43384728594037436</v>
      </c>
      <c r="AX210" s="140">
        <f t="shared" si="1240"/>
        <v>-0.80866413451482788</v>
      </c>
      <c r="AZ210" s="140">
        <v>-0.87721495847345499</v>
      </c>
      <c r="BD210" s="140" t="e">
        <f t="shared" ref="BD210:BS210" si="1241">+BD207/BD214</f>
        <v>#REF!</v>
      </c>
      <c r="BE210" s="140" t="e">
        <f t="shared" si="1241"/>
        <v>#REF!</v>
      </c>
      <c r="BF210" s="140" t="e">
        <f t="shared" si="1241"/>
        <v>#REF!</v>
      </c>
      <c r="BG210" s="140" t="e">
        <f t="shared" si="1241"/>
        <v>#REF!</v>
      </c>
      <c r="BH210" s="140" t="e">
        <f t="shared" si="1241"/>
        <v>#REF!</v>
      </c>
      <c r="BI210" s="140" t="e">
        <f t="shared" si="1241"/>
        <v>#REF!</v>
      </c>
      <c r="BJ210" s="140" t="e">
        <f t="shared" si="1241"/>
        <v>#REF!</v>
      </c>
      <c r="BK210" s="140" t="e">
        <f t="shared" si="1241"/>
        <v>#REF!</v>
      </c>
      <c r="BL210" s="140" t="e">
        <f t="shared" si="1241"/>
        <v>#REF!</v>
      </c>
      <c r="BM210" s="2563" t="e">
        <f t="shared" si="1241"/>
        <v>#REF!</v>
      </c>
      <c r="BN210" s="140">
        <f t="shared" si="1241"/>
        <v>-0.74163307567395653</v>
      </c>
      <c r="BO210" s="140">
        <f t="shared" ref="BO210" si="1242">+BO207/BO214</f>
        <v>-0.64430174369127358</v>
      </c>
      <c r="BP210" s="140">
        <f t="shared" si="1241"/>
        <v>-0.80562607193375113</v>
      </c>
      <c r="BQ210" s="140">
        <f t="shared" si="1241"/>
        <v>-0.89298007268348623</v>
      </c>
      <c r="BR210" s="140">
        <f t="shared" si="1241"/>
        <v>-0.96030797813406865</v>
      </c>
      <c r="BS210" s="140">
        <f t="shared" si="1241"/>
        <v>-1.00721199027477</v>
      </c>
    </row>
    <row r="211" spans="2:71">
      <c r="B211" s="128"/>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c r="AG211" s="140"/>
      <c r="AH211" s="140"/>
      <c r="AI211" s="140"/>
      <c r="AJ211" s="140"/>
      <c r="AK211" s="140"/>
      <c r="AL211" s="140"/>
      <c r="AM211" s="2563"/>
      <c r="AN211" s="154"/>
      <c r="AO211" s="154"/>
      <c r="AP211" s="154"/>
      <c r="AQ211" s="154"/>
      <c r="AR211" s="154"/>
      <c r="AS211" s="154"/>
      <c r="AT211" s="154"/>
      <c r="AU211" s="154"/>
      <c r="AV211" s="154"/>
      <c r="AW211" s="154"/>
      <c r="AX211" s="154"/>
      <c r="AZ211" s="154"/>
      <c r="BD211" s="140"/>
      <c r="BE211" s="140"/>
      <c r="BF211" s="140"/>
      <c r="BG211" s="140"/>
      <c r="BH211" s="140"/>
      <c r="BI211" s="140"/>
      <c r="BJ211" s="140"/>
      <c r="BK211" s="140"/>
      <c r="BL211" s="140"/>
      <c r="BM211" s="2563"/>
      <c r="BN211" s="140"/>
      <c r="BO211" s="140"/>
      <c r="BP211" s="154"/>
      <c r="BQ211" s="154"/>
      <c r="BR211" s="154"/>
      <c r="BS211" s="154"/>
    </row>
    <row r="212" spans="2:71" s="146" customFormat="1">
      <c r="B212" s="1207" t="s">
        <v>571</v>
      </c>
      <c r="C212" s="264" t="e">
        <f t="shared" ref="C212:AB212" si="1243">+C214+C218+C216</f>
        <v>#VALUE!</v>
      </c>
      <c r="D212" s="264">
        <f t="shared" si="1243"/>
        <v>-52.969857456353338</v>
      </c>
      <c r="E212" s="264">
        <f t="shared" si="1243"/>
        <v>-62.551043646354579</v>
      </c>
      <c r="F212" s="264">
        <f t="shared" si="1243"/>
        <v>-66.840160418454644</v>
      </c>
      <c r="G212" s="264">
        <f t="shared" si="1243"/>
        <v>-63.109294617750244</v>
      </c>
      <c r="H212" s="264">
        <f t="shared" si="1243"/>
        <v>-64.411660371586123</v>
      </c>
      <c r="I212" s="264">
        <f t="shared" si="1243"/>
        <v>-97.579277773604133</v>
      </c>
      <c r="J212" s="264">
        <f t="shared" si="1243"/>
        <v>-64.985856462600935</v>
      </c>
      <c r="K212" s="264">
        <f t="shared" si="1243"/>
        <v>-67.371265867247217</v>
      </c>
      <c r="L212" s="264">
        <f t="shared" si="1243"/>
        <v>-66.656819827213639</v>
      </c>
      <c r="M212" s="264">
        <f t="shared" si="1243"/>
        <v>-83.103510060942384</v>
      </c>
      <c r="N212" s="264">
        <f t="shared" si="1243"/>
        <v>-166.36792628796124</v>
      </c>
      <c r="O212" s="264">
        <f t="shared" si="1243"/>
        <v>-128.31792731028241</v>
      </c>
      <c r="P212" s="264">
        <f t="shared" si="1243"/>
        <v>-144.72854044454388</v>
      </c>
      <c r="Q212" s="264">
        <f t="shared" si="1243"/>
        <v>-143.14754012342618</v>
      </c>
      <c r="R212" s="264">
        <f t="shared" si="1243"/>
        <v>-171.10236151125591</v>
      </c>
      <c r="S212" s="264" t="e">
        <f t="shared" si="1243"/>
        <v>#REF!</v>
      </c>
      <c r="T212" s="264" t="e">
        <f t="shared" si="1243"/>
        <v>#REF!</v>
      </c>
      <c r="U212" s="264" t="e">
        <f t="shared" si="1243"/>
        <v>#REF!</v>
      </c>
      <c r="V212" s="264" t="e">
        <f t="shared" si="1243"/>
        <v>#REF!</v>
      </c>
      <c r="W212" s="264" t="e">
        <f t="shared" si="1243"/>
        <v>#REF!</v>
      </c>
      <c r="X212" s="264" t="e">
        <f t="shared" si="1243"/>
        <v>#REF!</v>
      </c>
      <c r="Y212" s="264" t="e">
        <f t="shared" si="1243"/>
        <v>#REF!</v>
      </c>
      <c r="Z212" s="264" t="e">
        <f t="shared" si="1243"/>
        <v>#REF!</v>
      </c>
      <c r="AA212" s="264" t="e">
        <f t="shared" si="1243"/>
        <v>#REF!</v>
      </c>
      <c r="AB212" s="264" t="e">
        <f t="shared" si="1243"/>
        <v>#REF!</v>
      </c>
      <c r="AC212" s="264" t="e">
        <f t="shared" ref="AC212:AD212" si="1244">+AC214+AC218+AC216</f>
        <v>#REF!</v>
      </c>
      <c r="AD212" s="264" t="e">
        <f t="shared" si="1244"/>
        <v>#REF!</v>
      </c>
      <c r="AE212" s="264" t="e">
        <f t="shared" ref="AE212:AG212" si="1245">+AE214+AE218+AE216</f>
        <v>#REF!</v>
      </c>
      <c r="AF212" s="264" t="e">
        <f t="shared" si="1245"/>
        <v>#REF!</v>
      </c>
      <c r="AG212" s="264" t="e">
        <f t="shared" si="1245"/>
        <v>#REF!</v>
      </c>
      <c r="AH212" s="264" t="e">
        <f t="shared" ref="AH212:AI212" si="1246">+AH214+AH218+AH216</f>
        <v>#REF!</v>
      </c>
      <c r="AI212" s="264" t="e">
        <f t="shared" si="1246"/>
        <v>#REF!</v>
      </c>
      <c r="AJ212" s="264" t="e">
        <f t="shared" ref="AJ212:AK212" si="1247">+AJ214+AJ218+AJ216</f>
        <v>#REF!</v>
      </c>
      <c r="AK212" s="264" t="e">
        <f t="shared" si="1247"/>
        <v>#REF!</v>
      </c>
      <c r="AL212" s="264" t="e">
        <f t="shared" ref="AL212:AM212" si="1248">+AL214+AL218+AL216</f>
        <v>#REF!</v>
      </c>
      <c r="AM212" s="2539" t="e">
        <f t="shared" si="1248"/>
        <v>#REF!</v>
      </c>
      <c r="AN212" s="264" t="e">
        <f t="shared" ref="AN212" si="1249">+AN214+AN218+AN216</f>
        <v>#REF!</v>
      </c>
      <c r="AO212" s="2281">
        <f>-FAT!AO89</f>
        <v>-227.9</v>
      </c>
      <c r="AP212" s="2281">
        <f>-FAT!AP89</f>
        <v>-261.59999999999997</v>
      </c>
      <c r="AQ212" s="2281">
        <f>-FAT!AQ89</f>
        <v>-218.49999999999997</v>
      </c>
      <c r="AR212" s="2281">
        <f>-FAT!AR89</f>
        <v>-210.6</v>
      </c>
      <c r="AS212" s="2281">
        <f>-FAT!AS89</f>
        <v>-239.2</v>
      </c>
      <c r="AT212" s="2281">
        <f>-FAT!AT89</f>
        <v>-241</v>
      </c>
      <c r="AU212" s="2281">
        <f>-FAT!AU89</f>
        <v>-178.24633344875491</v>
      </c>
      <c r="AV212" s="2281">
        <f>-FAT!AV89</f>
        <v>-181.45200087421478</v>
      </c>
      <c r="AW212" s="2281">
        <f>-FAT!AW89</f>
        <v>-311.15469204673326</v>
      </c>
      <c r="AX212" s="2281">
        <f>-FAT!AX89</f>
        <v>-217.99477120996403</v>
      </c>
      <c r="AZ212" s="838">
        <v>-239.2</v>
      </c>
      <c r="BA212" s="1074"/>
      <c r="BD212" s="265" t="e">
        <f>+SUM(C212:F212)</f>
        <v>#VALUE!</v>
      </c>
      <c r="BE212" s="265">
        <f>+SUM(G212:J212)</f>
        <v>-290.0860892255414</v>
      </c>
      <c r="BF212" s="265">
        <f>+SUM(K212:N212)</f>
        <v>-383.49952204336444</v>
      </c>
      <c r="BG212" s="265">
        <f>+SUM(O212:R212)</f>
        <v>-587.29636938950841</v>
      </c>
      <c r="BH212" s="265" t="e">
        <f>+SUM(S212:V212)</f>
        <v>#REF!</v>
      </c>
      <c r="BI212" s="265" t="e">
        <f>+SUM(W212:Z212)</f>
        <v>#REF!</v>
      </c>
      <c r="BJ212" s="265" t="e">
        <f>+SUM(AA212:AD212)</f>
        <v>#REF!</v>
      </c>
      <c r="BK212" s="265" t="e">
        <f>+SUM(AE212:AH212)</f>
        <v>#REF!</v>
      </c>
      <c r="BL212" s="265" t="e">
        <f>+SUM(AI212:AL212)</f>
        <v>#REF!</v>
      </c>
      <c r="BM212" s="2523" t="e">
        <f>+SUM(AM212:AP212)</f>
        <v>#REF!</v>
      </c>
      <c r="BN212" s="265">
        <f>+SUM(AQ212:AT212)</f>
        <v>-909.3</v>
      </c>
      <c r="BO212" s="265">
        <f>+SUM(AU212:AX212)</f>
        <v>-888.84779757966703</v>
      </c>
      <c r="BP212" s="2281">
        <f>-FAT!BR89</f>
        <v>-787.82603698856678</v>
      </c>
      <c r="BQ212" s="2281">
        <f>-FAT!BS89</f>
        <v>-743.1902933518445</v>
      </c>
      <c r="BR212" s="2281">
        <f>-FAT!BT89</f>
        <v>-722.63140051103619</v>
      </c>
      <c r="BS212" s="2281">
        <f>-FAT!BU89</f>
        <v>-712.53625208724384</v>
      </c>
    </row>
    <row r="213" spans="2:71" s="146" customFormat="1">
      <c r="B213" s="1207"/>
      <c r="AM213" s="2532"/>
      <c r="AO213" s="995"/>
      <c r="AP213" s="995"/>
      <c r="AQ213" s="995"/>
      <c r="AR213" s="995"/>
      <c r="AS213" s="995"/>
      <c r="AT213" s="995"/>
      <c r="AU213" s="995"/>
      <c r="AV213" s="995"/>
      <c r="AW213" s="995"/>
      <c r="AX213" s="995"/>
      <c r="AZ213" s="270"/>
      <c r="BA213" s="1074"/>
      <c r="BM213" s="2532"/>
      <c r="BP213" s="995"/>
      <c r="BQ213" s="995"/>
      <c r="BR213" s="995"/>
      <c r="BS213" s="995"/>
    </row>
    <row r="214" spans="2:71" s="146" customFormat="1">
      <c r="B214" s="1208" t="s">
        <v>572</v>
      </c>
      <c r="C214" s="71">
        <f>-FAT!C92</f>
        <v>-57.167097742365698</v>
      </c>
      <c r="D214" s="71">
        <f>-FAT!D92</f>
        <v>-52.939777097536705</v>
      </c>
      <c r="E214" s="71">
        <f>-FAT!E92</f>
        <v>-62.514845439946441</v>
      </c>
      <c r="F214" s="71">
        <f>-FAT!F92</f>
        <v>-66.80224378582335</v>
      </c>
      <c r="G214" s="71">
        <f>-FAT!G92</f>
        <v>-63.0733010656256</v>
      </c>
      <c r="H214" s="71">
        <f>-FAT!H92</f>
        <v>-64.374656297065371</v>
      </c>
      <c r="I214" s="71">
        <f>-FAT!I92</f>
        <v>-97.522503847113114</v>
      </c>
      <c r="J214" s="71">
        <f>-FAT!J92</f>
        <v>-64.947814951765167</v>
      </c>
      <c r="K214" s="71">
        <f>-FAT!K92</f>
        <v>-67.332450558351127</v>
      </c>
      <c r="L214" s="71">
        <f>-FAT!L92</f>
        <v>-66.620919847934289</v>
      </c>
      <c r="M214" s="71">
        <f>-FAT!M92</f>
        <v>-83.058378100304409</v>
      </c>
      <c r="N214" s="71">
        <f>-FAT!N92</f>
        <v>-166.29376986785368</v>
      </c>
      <c r="O214" s="71">
        <f>-FAT!O92</f>
        <v>-128.26159004370683</v>
      </c>
      <c r="P214" s="71">
        <f>-FAT!P92</f>
        <v>-144.66389866871302</v>
      </c>
      <c r="Q214" s="71">
        <f>-FAT!Q92</f>
        <v>-143.08423980051893</v>
      </c>
      <c r="R214" s="71">
        <f>-FAT!R92</f>
        <v>-171.02724354056721</v>
      </c>
      <c r="S214" s="71" t="e">
        <f>-FAT!S92-S216</f>
        <v>#REF!</v>
      </c>
      <c r="T214" s="71" t="e">
        <f>-FAT!T92-T216</f>
        <v>#REF!</v>
      </c>
      <c r="U214" s="71" t="e">
        <f>-FAT!U92-U216</f>
        <v>#REF!</v>
      </c>
      <c r="V214" s="71" t="e">
        <f>-FAT!V92-V216</f>
        <v>#REF!</v>
      </c>
      <c r="W214" s="71" t="e">
        <f>-FAT!W92-W216</f>
        <v>#REF!</v>
      </c>
      <c r="X214" s="71" t="e">
        <f>-FAT!X92-X216</f>
        <v>#REF!</v>
      </c>
      <c r="Y214" s="71" t="e">
        <f>-FAT!Y92-Y216</f>
        <v>#REF!</v>
      </c>
      <c r="Z214" s="71" t="e">
        <f>-FAT!Z92-Z216</f>
        <v>#REF!</v>
      </c>
      <c r="AA214" s="71" t="e">
        <f>-FAT!AA92-AA216</f>
        <v>#REF!</v>
      </c>
      <c r="AB214" s="71" t="e">
        <f>-FAT!AB92-AB216</f>
        <v>#REF!</v>
      </c>
      <c r="AC214" s="71" t="e">
        <f>-FAT!AC92-AC216</f>
        <v>#REF!</v>
      </c>
      <c r="AD214" s="71" t="e">
        <f>-FAT!AD92-AD216</f>
        <v>#REF!</v>
      </c>
      <c r="AE214" s="71" t="e">
        <f>-FAT!AE92-AE216</f>
        <v>#REF!</v>
      </c>
      <c r="AF214" s="71" t="e">
        <f>-FAT!AF92-AF216</f>
        <v>#REF!</v>
      </c>
      <c r="AG214" s="71" t="e">
        <f>-FAT!AG92-AG216</f>
        <v>#REF!</v>
      </c>
      <c r="AH214" s="71" t="e">
        <f>-FAT!AH92-AH216</f>
        <v>#REF!</v>
      </c>
      <c r="AI214" s="71" t="e">
        <f>-FAT!AI92-AI216</f>
        <v>#REF!</v>
      </c>
      <c r="AJ214" s="71" t="e">
        <f>-FAT!AJ92-AJ216</f>
        <v>#REF!</v>
      </c>
      <c r="AK214" s="71" t="e">
        <f>-FAT!AK92-AK216</f>
        <v>#REF!</v>
      </c>
      <c r="AL214" s="71" t="e">
        <f>-FAT!AL92-AL216</f>
        <v>#REF!</v>
      </c>
      <c r="AM214" s="2565" t="e">
        <f>-FAT!AM92-AM216</f>
        <v>#REF!</v>
      </c>
      <c r="AN214" s="71" t="e">
        <f>-FAT!AN92-AN216</f>
        <v>#REF!</v>
      </c>
      <c r="AO214" s="2282">
        <f>-FAT!AO92</f>
        <v>-228.43300000000002</v>
      </c>
      <c r="AP214" s="2282">
        <f>-FAT!AP92</f>
        <v>-806.41000000000008</v>
      </c>
      <c r="AQ214" s="2282">
        <f>-FAT!AQ92</f>
        <v>-130.19899999999996</v>
      </c>
      <c r="AR214" s="2282">
        <f>-FAT!AR92</f>
        <v>-132.71499999999997</v>
      </c>
      <c r="AS214" s="2282">
        <f>-FAT!AS92</f>
        <v>-236.59199999999998</v>
      </c>
      <c r="AT214" s="2282">
        <f>-FAT!AT92</f>
        <v>-214.227</v>
      </c>
      <c r="AU214" s="2282">
        <f>-FAT!AU92</f>
        <v>-156.17858344875492</v>
      </c>
      <c r="AV214" s="2282">
        <f>-FAT!AV92</f>
        <v>-159.38425087421479</v>
      </c>
      <c r="AW214" s="2282">
        <f>-FAT!AW92</f>
        <v>-289.08694204673327</v>
      </c>
      <c r="AX214" s="2282">
        <f>-FAT!AX92</f>
        <v>-195.92702120996404</v>
      </c>
      <c r="AZ214" s="267">
        <v>-191.57277599999998</v>
      </c>
      <c r="BA214" s="1074"/>
      <c r="BD214" s="71" t="e">
        <f>-FAT!BE92-BD216</f>
        <v>#REF!</v>
      </c>
      <c r="BE214" s="71" t="e">
        <f>-FAT!BF92-BE216</f>
        <v>#REF!</v>
      </c>
      <c r="BF214" s="71" t="e">
        <f>-FAT!BG92-BF216</f>
        <v>#REF!</v>
      </c>
      <c r="BG214" s="71" t="e">
        <f>-FAT!BH92-BG216</f>
        <v>#REF!</v>
      </c>
      <c r="BH214" s="71" t="e">
        <f>-FAT!BJ92-BH216</f>
        <v>#REF!</v>
      </c>
      <c r="BI214" s="71" t="e">
        <f>-FAT!BK92-BI216</f>
        <v>#REF!</v>
      </c>
      <c r="BJ214" s="71" t="e">
        <f>-FAT!BL92-BJ216</f>
        <v>#REF!</v>
      </c>
      <c r="BK214" s="71" t="e">
        <f>-FAT!BM92-BK216</f>
        <v>#REF!</v>
      </c>
      <c r="BL214" s="71" t="e">
        <f>-FAT!BN92-BL216</f>
        <v>#REF!</v>
      </c>
      <c r="BM214" s="2510" t="e">
        <f>+SUM(AM214:AP214)</f>
        <v>#REF!</v>
      </c>
      <c r="BN214" s="318">
        <f>+SUM(AQ214:AT214)</f>
        <v>-713.73299999999995</v>
      </c>
      <c r="BO214" s="318">
        <f>+SUM(AU214:AX214)</f>
        <v>-800.57679757966707</v>
      </c>
      <c r="BP214" s="2282">
        <f>-FAT!BR92</f>
        <v>-708.24629799070192</v>
      </c>
      <c r="BQ214" s="2282">
        <f>-FAT!BS92</f>
        <v>-663.61055435397964</v>
      </c>
      <c r="BR214" s="2282">
        <f>-FAT!BT92</f>
        <v>-640.58349998356118</v>
      </c>
      <c r="BS214" s="2282">
        <f>-FAT!BU92</f>
        <v>-632.33947270697638</v>
      </c>
    </row>
    <row r="215" spans="2:71">
      <c r="B215" s="126" t="s">
        <v>573</v>
      </c>
      <c r="C215" s="141" t="e">
        <f t="shared" ref="C215:S215" si="1250">+C214/C$212</f>
        <v>#VALUE!</v>
      </c>
      <c r="D215" s="141">
        <f t="shared" si="1250"/>
        <v>0.99943212309299834</v>
      </c>
      <c r="E215" s="141">
        <f t="shared" si="1250"/>
        <v>0.99942130131972229</v>
      </c>
      <c r="F215" s="141">
        <f t="shared" si="1250"/>
        <v>0.99943272678590367</v>
      </c>
      <c r="G215" s="141">
        <f t="shared" si="1250"/>
        <v>0.99942966321612914</v>
      </c>
      <c r="H215" s="141">
        <f t="shared" si="1250"/>
        <v>0.99942550658829044</v>
      </c>
      <c r="I215" s="141">
        <f t="shared" si="1250"/>
        <v>0.99941817640193298</v>
      </c>
      <c r="J215" s="141">
        <f t="shared" si="1250"/>
        <v>0.99941461861231817</v>
      </c>
      <c r="K215" s="141">
        <f t="shared" si="1250"/>
        <v>0.99942385958766788</v>
      </c>
      <c r="L215" s="141">
        <f t="shared" si="1250"/>
        <v>0.99946142076126032</v>
      </c>
      <c r="M215" s="141">
        <f t="shared" si="1250"/>
        <v>0.99945691871974029</v>
      </c>
      <c r="N215" s="141">
        <f t="shared" si="1250"/>
        <v>0.99955426252065438</v>
      </c>
      <c r="O215" s="141">
        <f t="shared" si="1250"/>
        <v>0.99956095560646518</v>
      </c>
      <c r="P215" s="141">
        <f t="shared" si="1250"/>
        <v>0.99955335847627347</v>
      </c>
      <c r="Q215" s="141">
        <f t="shared" si="1250"/>
        <v>0.99955779664217304</v>
      </c>
      <c r="R215" s="141">
        <f t="shared" si="1250"/>
        <v>0.9995609764235559</v>
      </c>
      <c r="S215" s="141" t="e">
        <f t="shared" si="1250"/>
        <v>#REF!</v>
      </c>
      <c r="T215" s="141" t="e">
        <f t="shared" ref="T215:AB215" si="1251">+T214/T$212</f>
        <v>#REF!</v>
      </c>
      <c r="U215" s="141" t="e">
        <f t="shared" si="1251"/>
        <v>#REF!</v>
      </c>
      <c r="V215" s="141" t="e">
        <f t="shared" si="1251"/>
        <v>#REF!</v>
      </c>
      <c r="W215" s="141" t="e">
        <f t="shared" si="1251"/>
        <v>#REF!</v>
      </c>
      <c r="X215" s="141" t="e">
        <f t="shared" ref="X215:Y215" si="1252">+X214/X$212</f>
        <v>#REF!</v>
      </c>
      <c r="Y215" s="141" t="e">
        <f t="shared" si="1252"/>
        <v>#REF!</v>
      </c>
      <c r="Z215" s="141" t="e">
        <f t="shared" ref="Z215:AA215" si="1253">+Z214/Z$212</f>
        <v>#REF!</v>
      </c>
      <c r="AA215" s="141" t="e">
        <f t="shared" si="1253"/>
        <v>#REF!</v>
      </c>
      <c r="AB215" s="141" t="e">
        <f t="shared" si="1251"/>
        <v>#REF!</v>
      </c>
      <c r="AC215" s="141" t="e">
        <f t="shared" ref="AC215:AD215" si="1254">+AC214/AC$212</f>
        <v>#REF!</v>
      </c>
      <c r="AD215" s="141" t="e">
        <f t="shared" si="1254"/>
        <v>#REF!</v>
      </c>
      <c r="AE215" s="141" t="e">
        <f t="shared" ref="AE215:AG215" si="1255">+AE214/AE$212</f>
        <v>#REF!</v>
      </c>
      <c r="AF215" s="141" t="e">
        <f t="shared" si="1255"/>
        <v>#REF!</v>
      </c>
      <c r="AG215" s="141" t="e">
        <f t="shared" si="1255"/>
        <v>#REF!</v>
      </c>
      <c r="AH215" s="141" t="e">
        <f t="shared" ref="AH215:AI215" si="1256">+AH214/AH$212</f>
        <v>#REF!</v>
      </c>
      <c r="AI215" s="141" t="e">
        <f t="shared" si="1256"/>
        <v>#REF!</v>
      </c>
      <c r="AJ215" s="141" t="e">
        <f t="shared" ref="AJ215:AK215" si="1257">+AJ214/AJ$212</f>
        <v>#REF!</v>
      </c>
      <c r="AK215" s="141" t="e">
        <f t="shared" si="1257"/>
        <v>#REF!</v>
      </c>
      <c r="AL215" s="141" t="e">
        <f t="shared" ref="AL215:AM215" si="1258">+AL214/AL$212</f>
        <v>#REF!</v>
      </c>
      <c r="AM215" s="1942" t="e">
        <f t="shared" si="1258"/>
        <v>#REF!</v>
      </c>
      <c r="AN215" s="141" t="e">
        <f t="shared" ref="AN215" si="1259">+AN214/AN$212</f>
        <v>#REF!</v>
      </c>
      <c r="AO215" s="284">
        <f t="shared" ref="AO215:AP215" si="1260">+AO214/AO$212</f>
        <v>1.0023387450636245</v>
      </c>
      <c r="AP215" s="284">
        <f t="shared" si="1260"/>
        <v>3.0826070336391442</v>
      </c>
      <c r="AQ215" s="284">
        <f t="shared" ref="AQ215:AT215" si="1261">+AQ214/AQ$212</f>
        <v>0.59587643020594949</v>
      </c>
      <c r="AR215" s="284">
        <f t="shared" si="1261"/>
        <v>0.63017568850902173</v>
      </c>
      <c r="AS215" s="284">
        <f t="shared" si="1261"/>
        <v>0.98909698996655515</v>
      </c>
      <c r="AT215" s="284">
        <f t="shared" si="1261"/>
        <v>0.88890871369294611</v>
      </c>
      <c r="AU215" s="284">
        <f t="shared" ref="AU215:AX215" si="1262">+AU214/AU$212</f>
        <v>0.87619520933178474</v>
      </c>
      <c r="AV215" s="284">
        <f t="shared" si="1262"/>
        <v>0.87838243781451775</v>
      </c>
      <c r="AW215" s="284">
        <f t="shared" si="1262"/>
        <v>0.92907788131092828</v>
      </c>
      <c r="AX215" s="284">
        <f t="shared" si="1262"/>
        <v>0.89876936094606963</v>
      </c>
      <c r="AZ215" s="634">
        <v>0.80088953177257516</v>
      </c>
      <c r="BD215" s="141" t="e">
        <f t="shared" ref="BD215:BK215" si="1263">+BD214/BD$212</f>
        <v>#REF!</v>
      </c>
      <c r="BE215" s="141" t="e">
        <f t="shared" si="1263"/>
        <v>#REF!</v>
      </c>
      <c r="BF215" s="141" t="e">
        <f t="shared" si="1263"/>
        <v>#REF!</v>
      </c>
      <c r="BG215" s="141" t="e">
        <f t="shared" si="1263"/>
        <v>#REF!</v>
      </c>
      <c r="BH215" s="141" t="e">
        <f t="shared" si="1263"/>
        <v>#REF!</v>
      </c>
      <c r="BI215" s="141" t="e">
        <f t="shared" si="1263"/>
        <v>#REF!</v>
      </c>
      <c r="BJ215" s="141" t="e">
        <f t="shared" si="1263"/>
        <v>#REF!</v>
      </c>
      <c r="BK215" s="141" t="e">
        <f t="shared" si="1263"/>
        <v>#REF!</v>
      </c>
      <c r="BL215" s="141" t="e">
        <f t="shared" ref="BL215:BM215" si="1264">+BL214/BL$212</f>
        <v>#REF!</v>
      </c>
      <c r="BM215" s="1942" t="e">
        <f t="shared" si="1264"/>
        <v>#REF!</v>
      </c>
      <c r="BN215" s="141">
        <f t="shared" ref="BN215:BS215" si="1265">+BN214/BN$212</f>
        <v>0.78492576707357309</v>
      </c>
      <c r="BO215" s="141">
        <f t="shared" ref="BO215" si="1266">+BO214/BO$212</f>
        <v>0.90069053414953393</v>
      </c>
      <c r="BP215" s="284">
        <f t="shared" si="1265"/>
        <v>0.89898818360706223</v>
      </c>
      <c r="BQ215" s="284">
        <f t="shared" si="1265"/>
        <v>0.89292144998429113</v>
      </c>
      <c r="BR215" s="284">
        <f t="shared" si="1265"/>
        <v>0.88645954151805229</v>
      </c>
      <c r="BS215" s="284">
        <f t="shared" si="1265"/>
        <v>0.88744884327590945</v>
      </c>
    </row>
    <row r="216" spans="2:71" s="146" customFormat="1">
      <c r="B216" s="1208" t="s">
        <v>574</v>
      </c>
      <c r="C216" s="71" t="e">
        <f>-FAT!C94</f>
        <v>#VALUE!</v>
      </c>
      <c r="D216" s="71">
        <f>-FAT!D94</f>
        <v>-3.0080358816631604E-2</v>
      </c>
      <c r="E216" s="71">
        <f>-FAT!E94</f>
        <v>-3.6198206408135675E-2</v>
      </c>
      <c r="F216" s="71">
        <f>-FAT!F94</f>
        <v>-3.791663263128809E-2</v>
      </c>
      <c r="G216" s="71">
        <f>-FAT!G94</f>
        <v>-3.5993552124647249E-2</v>
      </c>
      <c r="H216" s="71">
        <f>-FAT!H94</f>
        <v>-3.7004074520749622E-2</v>
      </c>
      <c r="I216" s="71">
        <f>-FAT!I94</f>
        <v>-5.677392649101265E-2</v>
      </c>
      <c r="J216" s="71">
        <f>-FAT!J94</f>
        <v>-3.8041510835761259E-2</v>
      </c>
      <c r="K216" s="71">
        <f>-FAT!K94</f>
        <v>-3.8815308896096086E-2</v>
      </c>
      <c r="L216" s="71">
        <f>-FAT!L94</f>
        <v>-3.5899979279356009E-2</v>
      </c>
      <c r="M216" s="71">
        <f>-FAT!M94</f>
        <v>-4.5131960637980598E-2</v>
      </c>
      <c r="N216" s="71">
        <f>-FAT!N94</f>
        <v>-7.4156420107557006E-2</v>
      </c>
      <c r="O216" s="71">
        <f>-FAT!O94</f>
        <v>-5.6337266575586506E-2</v>
      </c>
      <c r="P216" s="71">
        <f>-FAT!P94</f>
        <v>-6.4641775830862169E-2</v>
      </c>
      <c r="Q216" s="71">
        <f>-FAT!Q94</f>
        <v>-6.330032290725103E-2</v>
      </c>
      <c r="R216" s="71">
        <f>-FAT!R94</f>
        <v>-7.5117970688703267E-2</v>
      </c>
      <c r="S216" s="71" t="e">
        <f>+#REF!</f>
        <v>#REF!</v>
      </c>
      <c r="T216" s="71" t="e">
        <f>+#REF!</f>
        <v>#REF!</v>
      </c>
      <c r="U216" s="71" t="e">
        <f>+#REF!</f>
        <v>#REF!</v>
      </c>
      <c r="V216" s="71" t="e">
        <f>+#REF!</f>
        <v>#REF!</v>
      </c>
      <c r="W216" s="71" t="e">
        <f>+#REF!</f>
        <v>#REF!</v>
      </c>
      <c r="X216" s="71" t="e">
        <f>+#REF!</f>
        <v>#REF!</v>
      </c>
      <c r="Y216" s="71" t="e">
        <f>+#REF!</f>
        <v>#REF!</v>
      </c>
      <c r="Z216" s="71" t="e">
        <f>+#REF!</f>
        <v>#REF!</v>
      </c>
      <c r="AA216" s="71" t="e">
        <f>+#REF!</f>
        <v>#REF!</v>
      </c>
      <c r="AB216" s="71" t="e">
        <f>+#REF!</f>
        <v>#REF!</v>
      </c>
      <c r="AC216" s="71" t="e">
        <f>+#REF!</f>
        <v>#REF!</v>
      </c>
      <c r="AD216" s="71" t="e">
        <f>+#REF!</f>
        <v>#REF!</v>
      </c>
      <c r="AE216" s="71" t="e">
        <f>+#REF!</f>
        <v>#REF!</v>
      </c>
      <c r="AF216" s="71" t="e">
        <f>+#REF!</f>
        <v>#REF!</v>
      </c>
      <c r="AG216" s="71" t="e">
        <f>+#REF!</f>
        <v>#REF!</v>
      </c>
      <c r="AH216" s="71" t="e">
        <f>+#REF!</f>
        <v>#REF!</v>
      </c>
      <c r="AI216" s="71" t="e">
        <f>+#REF!</f>
        <v>#REF!</v>
      </c>
      <c r="AJ216" s="71" t="e">
        <f>+#REF!</f>
        <v>#REF!</v>
      </c>
      <c r="AK216" s="71" t="e">
        <f>+#REF!</f>
        <v>#REF!</v>
      </c>
      <c r="AL216" s="71" t="e">
        <f>+#REF!</f>
        <v>#REF!</v>
      </c>
      <c r="AM216" s="2565" t="e">
        <f>+#REF!</f>
        <v>#REF!</v>
      </c>
      <c r="AN216" s="71" t="e">
        <f>+#REF!</f>
        <v>#REF!</v>
      </c>
      <c r="AO216" s="2282">
        <f>+AO212-AO214-AO218</f>
        <v>0</v>
      </c>
      <c r="AP216" s="2282">
        <f>+AP212-AP214-AP218</f>
        <v>0</v>
      </c>
      <c r="AQ216" s="2282">
        <f t="shared" ref="AQ216:AT216" si="1267">+AQ212-AQ214-AQ218</f>
        <v>0</v>
      </c>
      <c r="AR216" s="2282">
        <f t="shared" si="1267"/>
        <v>0</v>
      </c>
      <c r="AS216" s="2282">
        <f t="shared" si="1267"/>
        <v>0</v>
      </c>
      <c r="AT216" s="2282">
        <f t="shared" si="1267"/>
        <v>0</v>
      </c>
      <c r="AU216" s="2282">
        <f t="shared" ref="AU216:AX216" si="1268">+AU212-AU214-AU218</f>
        <v>0</v>
      </c>
      <c r="AV216" s="2282">
        <f t="shared" si="1268"/>
        <v>0</v>
      </c>
      <c r="AW216" s="2282">
        <f t="shared" si="1268"/>
        <v>0</v>
      </c>
      <c r="AX216" s="2282">
        <f t="shared" si="1268"/>
        <v>0</v>
      </c>
      <c r="AZ216" s="267">
        <v>0</v>
      </c>
      <c r="BA216" s="1074"/>
      <c r="BD216" s="71" t="e">
        <f>+#REF!</f>
        <v>#REF!</v>
      </c>
      <c r="BE216" s="71" t="e">
        <f>+#REF!</f>
        <v>#REF!</v>
      </c>
      <c r="BF216" s="71" t="e">
        <f>+#REF!</f>
        <v>#REF!</v>
      </c>
      <c r="BG216" s="71" t="e">
        <f>+#REF!</f>
        <v>#REF!</v>
      </c>
      <c r="BH216" s="71" t="e">
        <f>+#REF!</f>
        <v>#REF!</v>
      </c>
      <c r="BI216" s="71" t="e">
        <f>+#REF!</f>
        <v>#REF!</v>
      </c>
      <c r="BJ216" s="71" t="e">
        <f>+#REF!</f>
        <v>#REF!</v>
      </c>
      <c r="BK216" s="71" t="e">
        <f>+#REF!</f>
        <v>#REF!</v>
      </c>
      <c r="BL216" s="71" t="e">
        <f>+#REF!</f>
        <v>#REF!</v>
      </c>
      <c r="BM216" s="2565" t="e">
        <f>+#REF!</f>
        <v>#REF!</v>
      </c>
      <c r="BN216" s="71" t="e">
        <f>+#REF!</f>
        <v>#REF!</v>
      </c>
      <c r="BO216" s="71" t="e">
        <f>+#REF!</f>
        <v>#REF!</v>
      </c>
      <c r="BP216" s="2282">
        <f t="shared" ref="BP216:BS216" si="1269">+BP212-BP214-BP218</f>
        <v>0</v>
      </c>
      <c r="BQ216" s="2282">
        <f t="shared" si="1269"/>
        <v>0</v>
      </c>
      <c r="BR216" s="2282">
        <f t="shared" si="1269"/>
        <v>0</v>
      </c>
      <c r="BS216" s="2282">
        <f t="shared" si="1269"/>
        <v>0</v>
      </c>
    </row>
    <row r="217" spans="2:71">
      <c r="B217" s="126" t="s">
        <v>573</v>
      </c>
      <c r="C217" s="141" t="e">
        <f t="shared" ref="C217:AA217" si="1270">+C216/C$212</f>
        <v>#VALUE!</v>
      </c>
      <c r="D217" s="141">
        <f t="shared" si="1270"/>
        <v>5.6787690700163833E-4</v>
      </c>
      <c r="E217" s="141">
        <f t="shared" si="1270"/>
        <v>5.786986802776595E-4</v>
      </c>
      <c r="F217" s="141">
        <f t="shared" si="1270"/>
        <v>5.6727321409628549E-4</v>
      </c>
      <c r="G217" s="141">
        <f t="shared" si="1270"/>
        <v>5.7033678387087582E-4</v>
      </c>
      <c r="H217" s="141">
        <f t="shared" si="1270"/>
        <v>5.744934117095545E-4</v>
      </c>
      <c r="I217" s="141">
        <f t="shared" si="1270"/>
        <v>5.8182359806694924E-4</v>
      </c>
      <c r="J217" s="141">
        <f t="shared" si="1270"/>
        <v>5.8538138768170233E-4</v>
      </c>
      <c r="K217" s="141">
        <f t="shared" si="1270"/>
        <v>5.761404123321703E-4</v>
      </c>
      <c r="L217" s="141">
        <f t="shared" si="1270"/>
        <v>5.3857923873978919E-4</v>
      </c>
      <c r="M217" s="141">
        <f t="shared" si="1270"/>
        <v>5.430812802598101E-4</v>
      </c>
      <c r="N217" s="141">
        <f t="shared" si="1270"/>
        <v>4.4573747934563955E-4</v>
      </c>
      <c r="O217" s="141">
        <f t="shared" si="1270"/>
        <v>4.3904439353480791E-4</v>
      </c>
      <c r="P217" s="141">
        <f t="shared" si="1270"/>
        <v>4.4664152372649106E-4</v>
      </c>
      <c r="Q217" s="141">
        <f t="shared" si="1270"/>
        <v>4.4220335782697737E-4</v>
      </c>
      <c r="R217" s="141">
        <f t="shared" si="1270"/>
        <v>4.3902357644410222E-4</v>
      </c>
      <c r="S217" s="141" t="e">
        <f>+S216/S$212</f>
        <v>#REF!</v>
      </c>
      <c r="T217" s="141" t="e">
        <f t="shared" si="1270"/>
        <v>#REF!</v>
      </c>
      <c r="U217" s="141" t="e">
        <f t="shared" si="1270"/>
        <v>#REF!</v>
      </c>
      <c r="V217" s="141" t="e">
        <f t="shared" si="1270"/>
        <v>#REF!</v>
      </c>
      <c r="W217" s="141" t="e">
        <f t="shared" si="1270"/>
        <v>#REF!</v>
      </c>
      <c r="X217" s="141" t="e">
        <f t="shared" si="1270"/>
        <v>#REF!</v>
      </c>
      <c r="Y217" s="141" t="e">
        <f t="shared" si="1270"/>
        <v>#REF!</v>
      </c>
      <c r="Z217" s="141" t="e">
        <f t="shared" si="1270"/>
        <v>#REF!</v>
      </c>
      <c r="AA217" s="141" t="e">
        <f t="shared" si="1270"/>
        <v>#REF!</v>
      </c>
      <c r="AB217" s="141" t="e">
        <f>+AB216/AB$212</f>
        <v>#REF!</v>
      </c>
      <c r="AC217" s="141" t="e">
        <f>+AC216/AC$212</f>
        <v>#REF!</v>
      </c>
      <c r="AD217" s="141" t="e">
        <f>+AD216/AD$212</f>
        <v>#REF!</v>
      </c>
      <c r="AE217" s="141" t="e">
        <f>+AE216/AE$212</f>
        <v>#REF!</v>
      </c>
      <c r="AF217" s="141" t="e">
        <f t="shared" ref="AF217:AG217" si="1271">+AF216/AF$212</f>
        <v>#REF!</v>
      </c>
      <c r="AG217" s="141" t="e">
        <f t="shared" si="1271"/>
        <v>#REF!</v>
      </c>
      <c r="AH217" s="141" t="e">
        <f t="shared" ref="AH217:AI217" si="1272">+AH216/AH$212</f>
        <v>#REF!</v>
      </c>
      <c r="AI217" s="141" t="e">
        <f t="shared" si="1272"/>
        <v>#REF!</v>
      </c>
      <c r="AJ217" s="141" t="e">
        <f t="shared" ref="AJ217:AK217" si="1273">+AJ216/AJ$212</f>
        <v>#REF!</v>
      </c>
      <c r="AK217" s="141" t="e">
        <f t="shared" si="1273"/>
        <v>#REF!</v>
      </c>
      <c r="AL217" s="141" t="e">
        <f t="shared" ref="AL217:AM217" si="1274">+AL216/AL$212</f>
        <v>#REF!</v>
      </c>
      <c r="AM217" s="1942" t="e">
        <f t="shared" si="1274"/>
        <v>#REF!</v>
      </c>
      <c r="AN217" s="141" t="e">
        <f t="shared" ref="AN217" si="1275">+AN216/AN$212</f>
        <v>#REF!</v>
      </c>
      <c r="AO217" s="284">
        <f t="shared" ref="AO217:AP217" si="1276">+AO216/AO$212</f>
        <v>0</v>
      </c>
      <c r="AP217" s="284">
        <f t="shared" si="1276"/>
        <v>0</v>
      </c>
      <c r="AQ217" s="284">
        <f t="shared" ref="AQ217:AT217" si="1277">+AQ216/AQ$212</f>
        <v>0</v>
      </c>
      <c r="AR217" s="284">
        <f t="shared" si="1277"/>
        <v>0</v>
      </c>
      <c r="AS217" s="284">
        <f t="shared" si="1277"/>
        <v>0</v>
      </c>
      <c r="AT217" s="284">
        <f t="shared" si="1277"/>
        <v>0</v>
      </c>
      <c r="AU217" s="284">
        <f t="shared" ref="AU217:AX217" si="1278">+AU216/AU$212</f>
        <v>0</v>
      </c>
      <c r="AV217" s="284">
        <f t="shared" si="1278"/>
        <v>0</v>
      </c>
      <c r="AW217" s="284">
        <f t="shared" si="1278"/>
        <v>0</v>
      </c>
      <c r="AX217" s="284">
        <f t="shared" si="1278"/>
        <v>0</v>
      </c>
      <c r="AZ217" s="634">
        <v>0</v>
      </c>
      <c r="BD217" s="141" t="e">
        <f t="shared" ref="BD217:BI217" si="1279">+BD216/BD$212</f>
        <v>#REF!</v>
      </c>
      <c r="BE217" s="141" t="e">
        <f t="shared" si="1279"/>
        <v>#REF!</v>
      </c>
      <c r="BF217" s="141" t="e">
        <f t="shared" si="1279"/>
        <v>#REF!</v>
      </c>
      <c r="BG217" s="141" t="e">
        <f t="shared" si="1279"/>
        <v>#REF!</v>
      </c>
      <c r="BH217" s="141" t="e">
        <f t="shared" si="1279"/>
        <v>#REF!</v>
      </c>
      <c r="BI217" s="141" t="e">
        <f t="shared" si="1279"/>
        <v>#REF!</v>
      </c>
      <c r="BJ217" s="141" t="e">
        <f t="shared" ref="BJ217:BS217" si="1280">+BJ216/BJ$212</f>
        <v>#REF!</v>
      </c>
      <c r="BK217" s="141" t="e">
        <f t="shared" si="1280"/>
        <v>#REF!</v>
      </c>
      <c r="BL217" s="141" t="e">
        <f t="shared" si="1280"/>
        <v>#REF!</v>
      </c>
      <c r="BM217" s="1942" t="e">
        <f t="shared" si="1280"/>
        <v>#REF!</v>
      </c>
      <c r="BN217" s="141" t="e">
        <f t="shared" si="1280"/>
        <v>#REF!</v>
      </c>
      <c r="BO217" s="141" t="e">
        <f t="shared" ref="BO217" si="1281">+BO216/BO$212</f>
        <v>#REF!</v>
      </c>
      <c r="BP217" s="284">
        <f t="shared" si="1280"/>
        <v>0</v>
      </c>
      <c r="BQ217" s="284">
        <f t="shared" si="1280"/>
        <v>0</v>
      </c>
      <c r="BR217" s="284">
        <f t="shared" si="1280"/>
        <v>0</v>
      </c>
      <c r="BS217" s="284">
        <f t="shared" si="1280"/>
        <v>0</v>
      </c>
    </row>
    <row r="218" spans="2:71" s="146" customFormat="1">
      <c r="B218" s="1208" t="s">
        <v>575</v>
      </c>
      <c r="C218" s="71">
        <f>-FAT!C96</f>
        <v>0</v>
      </c>
      <c r="D218" s="71">
        <f>-FAT!D96</f>
        <v>0</v>
      </c>
      <c r="E218" s="71">
        <f>-FAT!E96</f>
        <v>0</v>
      </c>
      <c r="F218" s="71">
        <f>-FAT!F96</f>
        <v>0</v>
      </c>
      <c r="G218" s="71">
        <f>-FAT!G96</f>
        <v>0</v>
      </c>
      <c r="H218" s="71">
        <f>-FAT!H96</f>
        <v>0</v>
      </c>
      <c r="I218" s="71">
        <f>-FAT!I96</f>
        <v>0</v>
      </c>
      <c r="J218" s="71">
        <f>-FAT!J96</f>
        <v>0</v>
      </c>
      <c r="K218" s="71">
        <f>-FAT!K96</f>
        <v>0</v>
      </c>
      <c r="L218" s="71">
        <f>-FAT!L96</f>
        <v>0</v>
      </c>
      <c r="M218" s="71">
        <f>-FAT!M96</f>
        <v>0</v>
      </c>
      <c r="N218" s="71">
        <f>-FAT!N96</f>
        <v>0</v>
      </c>
      <c r="O218" s="71">
        <f>-FAT!O96</f>
        <v>0</v>
      </c>
      <c r="P218" s="71">
        <f>-FAT!P96</f>
        <v>0</v>
      </c>
      <c r="Q218" s="71">
        <f>-FAT!Q96</f>
        <v>0</v>
      </c>
      <c r="R218" s="71">
        <f>-FAT!R96</f>
        <v>0</v>
      </c>
      <c r="S218" s="71">
        <f>-FAT!S96</f>
        <v>-128.44</v>
      </c>
      <c r="T218" s="71">
        <f>-FAT!T96</f>
        <v>-142.12299999999999</v>
      </c>
      <c r="U218" s="71">
        <f>-FAT!U96</f>
        <v>-158.20600000000002</v>
      </c>
      <c r="V218" s="71">
        <f>-FAT!V96</f>
        <v>-138.30000000000001</v>
      </c>
      <c r="W218" s="71">
        <f>-FAT!W96</f>
        <v>-356.87600000000009</v>
      </c>
      <c r="X218" s="71">
        <f>-FAT!X96</f>
        <v>-325.46199999999988</v>
      </c>
      <c r="Y218" s="71">
        <f>-FAT!Y96</f>
        <v>-318.21100000000001</v>
      </c>
      <c r="Z218" s="71">
        <f>-FAT!Z96</f>
        <v>-222.34500000000003</v>
      </c>
      <c r="AA218" s="71">
        <f>-FAT!AA96</f>
        <v>-256.11799999999999</v>
      </c>
      <c r="AB218" s="71">
        <f>-FAT!AB96</f>
        <v>-241.29599999999999</v>
      </c>
      <c r="AC218" s="71">
        <f>-FAT!AC96</f>
        <v>-241.63</v>
      </c>
      <c r="AD218" s="71">
        <f>-FAT!AD96</f>
        <v>-258.96500000000009</v>
      </c>
      <c r="AE218" s="71">
        <f>-FAT!AE96</f>
        <v>-247.15199999999999</v>
      </c>
      <c r="AF218" s="71">
        <f>-FAT!AF96</f>
        <v>-211.68100000000004</v>
      </c>
      <c r="AG218" s="71">
        <f>-FAT!AG96</f>
        <v>-245.66799999999995</v>
      </c>
      <c r="AH218" s="71">
        <f>-FAT!AH96</f>
        <v>-223.36500000000007</v>
      </c>
      <c r="AI218" s="71">
        <f>-FAT!AI96</f>
        <v>-171.19800000000001</v>
      </c>
      <c r="AJ218" s="71">
        <f>-FAT!AJ96</f>
        <v>-170.82500000000002</v>
      </c>
      <c r="AK218" s="71">
        <f>-FAT!AK96</f>
        <v>-172.8829999999999</v>
      </c>
      <c r="AL218" s="71">
        <f>-FAT!AL96</f>
        <v>-179.92900000000006</v>
      </c>
      <c r="AM218" s="2565">
        <f>-FAT!AM96</f>
        <v>-77.866</v>
      </c>
      <c r="AN218" s="71">
        <f>-FAT!AN96</f>
        <v>-84.131000000000014</v>
      </c>
      <c r="AO218" s="2282">
        <f>-FAT!AO96</f>
        <v>0.53300000000001546</v>
      </c>
      <c r="AP218" s="2282">
        <f>-FAT!AP96</f>
        <v>544.81000000000006</v>
      </c>
      <c r="AQ218" s="2282">
        <f>-FAT!AQ96</f>
        <v>-88.301000000000002</v>
      </c>
      <c r="AR218" s="2282">
        <f>-FAT!AR96</f>
        <v>-77.885000000000005</v>
      </c>
      <c r="AS218" s="2282">
        <f>-FAT!AS96</f>
        <v>-2.6080000000000041</v>
      </c>
      <c r="AT218" s="2282">
        <f>-FAT!AT96</f>
        <v>-26.772999999999996</v>
      </c>
      <c r="AU218" s="2282">
        <f>-FAT!AU96</f>
        <v>-22.06774999999999</v>
      </c>
      <c r="AV218" s="2282">
        <f>-FAT!AV96</f>
        <v>-22.06774999999999</v>
      </c>
      <c r="AW218" s="2282">
        <f>-FAT!AW96</f>
        <v>-22.06774999999999</v>
      </c>
      <c r="AX218" s="2282">
        <f>-FAT!AX96</f>
        <v>-22.06774999999999</v>
      </c>
      <c r="AZ218" s="267">
        <v>-47.627223999999998</v>
      </c>
      <c r="BA218" s="1074"/>
      <c r="BD218" s="71">
        <f>-FAT!BE96</f>
        <v>0</v>
      </c>
      <c r="BE218" s="71">
        <f>-FAT!BF96</f>
        <v>0</v>
      </c>
      <c r="BF218" s="71">
        <f>-FAT!BG96</f>
        <v>0</v>
      </c>
      <c r="BG218" s="71">
        <f>-FAT!BH96</f>
        <v>0</v>
      </c>
      <c r="BH218" s="71">
        <f>-FAT!BJ96</f>
        <v>-567.06899999999996</v>
      </c>
      <c r="BI218" s="71">
        <f>-FAT!BK96</f>
        <v>-1222.894</v>
      </c>
      <c r="BJ218" s="71">
        <f>-FAT!BL96</f>
        <v>-998.00900000000001</v>
      </c>
      <c r="BK218" s="71">
        <f>-FAT!BM96</f>
        <v>-927.86599999999999</v>
      </c>
      <c r="BL218" s="71">
        <f>-FAT!BN96</f>
        <v>-694.83500000000004</v>
      </c>
      <c r="BM218" s="2565">
        <f>-FAT!BO96</f>
        <v>-192.01099999999997</v>
      </c>
      <c r="BN218" s="71">
        <f>-FAT!BP96</f>
        <v>-88.270999999999958</v>
      </c>
      <c r="BO218" s="71">
        <f>-FAT!BQ96</f>
        <v>-79.579738997864908</v>
      </c>
      <c r="BP218" s="2282">
        <f>-FAT!BR96</f>
        <v>-79.579738997864908</v>
      </c>
      <c r="BQ218" s="2282">
        <f>-FAT!BS96</f>
        <v>-79.579738997864908</v>
      </c>
      <c r="BR218" s="2282">
        <f>-FAT!BT96</f>
        <v>-82.047900527475036</v>
      </c>
      <c r="BS218" s="2282">
        <f>-FAT!BU96</f>
        <v>-80.196779380267444</v>
      </c>
    </row>
    <row r="219" spans="2:71">
      <c r="B219" s="126" t="s">
        <v>576</v>
      </c>
      <c r="C219" s="141" t="e">
        <f t="shared" ref="C219:S219" si="1282">+C218/C$212</f>
        <v>#VALUE!</v>
      </c>
      <c r="D219" s="141">
        <f t="shared" si="1282"/>
        <v>0</v>
      </c>
      <c r="E219" s="141">
        <f t="shared" si="1282"/>
        <v>0</v>
      </c>
      <c r="F219" s="141">
        <f t="shared" si="1282"/>
        <v>0</v>
      </c>
      <c r="G219" s="141">
        <f t="shared" si="1282"/>
        <v>0</v>
      </c>
      <c r="H219" s="141">
        <f t="shared" si="1282"/>
        <v>0</v>
      </c>
      <c r="I219" s="141">
        <f t="shared" si="1282"/>
        <v>0</v>
      </c>
      <c r="J219" s="141">
        <f t="shared" si="1282"/>
        <v>0</v>
      </c>
      <c r="K219" s="141">
        <f t="shared" si="1282"/>
        <v>0</v>
      </c>
      <c r="L219" s="141">
        <f t="shared" si="1282"/>
        <v>0</v>
      </c>
      <c r="M219" s="141">
        <f t="shared" si="1282"/>
        <v>0</v>
      </c>
      <c r="N219" s="141">
        <f t="shared" si="1282"/>
        <v>0</v>
      </c>
      <c r="O219" s="141">
        <f t="shared" si="1282"/>
        <v>0</v>
      </c>
      <c r="P219" s="141">
        <f t="shared" si="1282"/>
        <v>0</v>
      </c>
      <c r="Q219" s="141">
        <f t="shared" si="1282"/>
        <v>0</v>
      </c>
      <c r="R219" s="141">
        <f t="shared" si="1282"/>
        <v>0</v>
      </c>
      <c r="S219" s="141" t="e">
        <f t="shared" si="1282"/>
        <v>#REF!</v>
      </c>
      <c r="T219" s="141" t="e">
        <f t="shared" ref="T219:AB219" si="1283">+T218/T$212</f>
        <v>#REF!</v>
      </c>
      <c r="U219" s="141" t="e">
        <f t="shared" si="1283"/>
        <v>#REF!</v>
      </c>
      <c r="V219" s="141" t="e">
        <f t="shared" si="1283"/>
        <v>#REF!</v>
      </c>
      <c r="W219" s="141" t="e">
        <f t="shared" si="1283"/>
        <v>#REF!</v>
      </c>
      <c r="X219" s="141" t="e">
        <f t="shared" ref="X219:Y219" si="1284">+X218/X$212</f>
        <v>#REF!</v>
      </c>
      <c r="Y219" s="141" t="e">
        <f t="shared" si="1284"/>
        <v>#REF!</v>
      </c>
      <c r="Z219" s="141" t="e">
        <f t="shared" ref="Z219:AA219" si="1285">+Z218/Z$212</f>
        <v>#REF!</v>
      </c>
      <c r="AA219" s="141" t="e">
        <f t="shared" si="1285"/>
        <v>#REF!</v>
      </c>
      <c r="AB219" s="141" t="e">
        <f t="shared" si="1283"/>
        <v>#REF!</v>
      </c>
      <c r="AC219" s="141" t="e">
        <f t="shared" ref="AC219:AD219" si="1286">+AC218/AC$212</f>
        <v>#REF!</v>
      </c>
      <c r="AD219" s="141" t="e">
        <f t="shared" si="1286"/>
        <v>#REF!</v>
      </c>
      <c r="AE219" s="141" t="e">
        <f t="shared" ref="AE219:AG219" si="1287">+AE218/AE$212</f>
        <v>#REF!</v>
      </c>
      <c r="AF219" s="141" t="e">
        <f t="shared" si="1287"/>
        <v>#REF!</v>
      </c>
      <c r="AG219" s="141" t="e">
        <f t="shared" si="1287"/>
        <v>#REF!</v>
      </c>
      <c r="AH219" s="141" t="e">
        <f t="shared" ref="AH219:AI219" si="1288">+AH218/AH$212</f>
        <v>#REF!</v>
      </c>
      <c r="AI219" s="141" t="e">
        <f t="shared" si="1288"/>
        <v>#REF!</v>
      </c>
      <c r="AJ219" s="141" t="e">
        <f t="shared" ref="AJ219:AK219" si="1289">+AJ218/AJ$212</f>
        <v>#REF!</v>
      </c>
      <c r="AK219" s="141" t="e">
        <f t="shared" si="1289"/>
        <v>#REF!</v>
      </c>
      <c r="AL219" s="141" t="e">
        <f t="shared" ref="AL219:AM219" si="1290">+AL218/AL$212</f>
        <v>#REF!</v>
      </c>
      <c r="AM219" s="1942" t="e">
        <f t="shared" si="1290"/>
        <v>#REF!</v>
      </c>
      <c r="AN219" s="141" t="e">
        <f t="shared" ref="AN219" si="1291">+AN218/AN$212</f>
        <v>#REF!</v>
      </c>
      <c r="AO219" s="284">
        <f t="shared" ref="AO219:AP219" si="1292">+AO218/AO$212</f>
        <v>-2.3387450636244644E-3</v>
      </c>
      <c r="AP219" s="284">
        <f t="shared" si="1292"/>
        <v>-2.0826070336391442</v>
      </c>
      <c r="AQ219" s="284">
        <f t="shared" ref="AQ219:AT219" si="1293">+AQ218/AQ$212</f>
        <v>0.4041235697940504</v>
      </c>
      <c r="AR219" s="284">
        <f t="shared" si="1293"/>
        <v>0.36982431149097822</v>
      </c>
      <c r="AS219" s="284">
        <f t="shared" si="1293"/>
        <v>1.0903010033444833E-2</v>
      </c>
      <c r="AT219" s="284">
        <f t="shared" si="1293"/>
        <v>0.11109128630705392</v>
      </c>
      <c r="AU219" s="284">
        <f t="shared" ref="AU219:AX219" si="1294">+AU218/AU$212</f>
        <v>0.12380479066821522</v>
      </c>
      <c r="AV219" s="284">
        <f t="shared" si="1294"/>
        <v>0.12161756218548223</v>
      </c>
      <c r="AW219" s="284">
        <f t="shared" si="1294"/>
        <v>7.0922118689071764E-2</v>
      </c>
      <c r="AX219" s="284">
        <f t="shared" si="1294"/>
        <v>0.10123063905393032</v>
      </c>
      <c r="AZ219" s="634">
        <v>0.19911046822742476</v>
      </c>
      <c r="BD219" s="141" t="e">
        <f t="shared" ref="BD219:BK219" si="1295">+BD218/BD$212</f>
        <v>#VALUE!</v>
      </c>
      <c r="BE219" s="141">
        <f t="shared" si="1295"/>
        <v>0</v>
      </c>
      <c r="BF219" s="141">
        <f t="shared" si="1295"/>
        <v>0</v>
      </c>
      <c r="BG219" s="141">
        <f t="shared" si="1295"/>
        <v>0</v>
      </c>
      <c r="BH219" s="141" t="e">
        <f t="shared" si="1295"/>
        <v>#REF!</v>
      </c>
      <c r="BI219" s="141" t="e">
        <f t="shared" si="1295"/>
        <v>#REF!</v>
      </c>
      <c r="BJ219" s="141" t="e">
        <f t="shared" si="1295"/>
        <v>#REF!</v>
      </c>
      <c r="BK219" s="141" t="e">
        <f t="shared" si="1295"/>
        <v>#REF!</v>
      </c>
      <c r="BL219" s="141" t="e">
        <f t="shared" ref="BL219:BM219" si="1296">+BL218/BL$212</f>
        <v>#REF!</v>
      </c>
      <c r="BM219" s="1942" t="e">
        <f t="shared" si="1296"/>
        <v>#REF!</v>
      </c>
      <c r="BN219" s="141">
        <f t="shared" ref="BN219:BS219" si="1297">+BN218/BN$212</f>
        <v>9.707577257230833E-2</v>
      </c>
      <c r="BO219" s="141">
        <f t="shared" ref="BO219" si="1298">+BO218/BO$212</f>
        <v>8.953134520281264E-2</v>
      </c>
      <c r="BP219" s="284">
        <f t="shared" si="1297"/>
        <v>0.10101181639293777</v>
      </c>
      <c r="BQ219" s="284">
        <f t="shared" si="1297"/>
        <v>0.10707855001570897</v>
      </c>
      <c r="BR219" s="284">
        <f t="shared" si="1297"/>
        <v>0.11354045848194771</v>
      </c>
      <c r="BS219" s="284">
        <f t="shared" si="1297"/>
        <v>0.11255115672409051</v>
      </c>
    </row>
    <row r="220" spans="2:71">
      <c r="B220" s="128"/>
      <c r="O220" s="140"/>
      <c r="P220" s="140"/>
      <c r="Q220" s="140"/>
      <c r="R220" s="140"/>
      <c r="S220" s="140"/>
      <c r="T220" s="140"/>
      <c r="Z220" s="1234"/>
    </row>
    <row r="221" spans="2:71">
      <c r="B221" s="128"/>
    </row>
    <row r="222" spans="2:71">
      <c r="B222" s="294" t="s">
        <v>578</v>
      </c>
      <c r="C222" s="282" t="s">
        <v>418</v>
      </c>
      <c r="D222" s="282" t="s">
        <v>419</v>
      </c>
      <c r="E222" s="282" t="s">
        <v>420</v>
      </c>
      <c r="F222" s="282" t="s">
        <v>421</v>
      </c>
      <c r="G222" s="282" t="s">
        <v>422</v>
      </c>
      <c r="H222" s="282" t="s">
        <v>423</v>
      </c>
      <c r="I222" s="282" t="s">
        <v>424</v>
      </c>
      <c r="J222" s="282" t="s">
        <v>425</v>
      </c>
      <c r="K222" s="282" t="s">
        <v>426</v>
      </c>
      <c r="L222" s="282" t="s">
        <v>427</v>
      </c>
      <c r="M222" s="282" t="s">
        <v>428</v>
      </c>
      <c r="N222" s="282" t="s">
        <v>429</v>
      </c>
      <c r="O222" s="282" t="s">
        <v>430</v>
      </c>
      <c r="P222" s="282" t="s">
        <v>431</v>
      </c>
      <c r="Q222" s="282" t="s">
        <v>432</v>
      </c>
      <c r="R222" s="282" t="s">
        <v>433</v>
      </c>
      <c r="S222" s="282" t="s">
        <v>434</v>
      </c>
      <c r="T222" s="282" t="s">
        <v>435</v>
      </c>
      <c r="U222" s="282" t="s">
        <v>436</v>
      </c>
      <c r="V222" s="282" t="s">
        <v>437</v>
      </c>
      <c r="W222" s="282" t="s">
        <v>438</v>
      </c>
      <c r="X222" s="282" t="s">
        <v>439</v>
      </c>
      <c r="Y222" s="282" t="s">
        <v>440</v>
      </c>
      <c r="Z222" s="282" t="s">
        <v>441</v>
      </c>
      <c r="AA222" s="282" t="s">
        <v>442</v>
      </c>
      <c r="AB222" s="282" t="s">
        <v>443</v>
      </c>
      <c r="AC222" s="282" t="s">
        <v>444</v>
      </c>
      <c r="AD222" s="282" t="s">
        <v>445</v>
      </c>
      <c r="AE222" s="282" t="s">
        <v>446</v>
      </c>
      <c r="AF222" s="282" t="s">
        <v>447</v>
      </c>
      <c r="AG222" s="282" t="s">
        <v>448</v>
      </c>
      <c r="AH222" s="282" t="s">
        <v>449</v>
      </c>
      <c r="AI222" s="282" t="s">
        <v>450</v>
      </c>
      <c r="AJ222" s="282" t="s">
        <v>451</v>
      </c>
      <c r="AK222" s="282" t="s">
        <v>452</v>
      </c>
      <c r="AL222" s="282" t="s">
        <v>453</v>
      </c>
      <c r="AM222" s="282" t="str">
        <f t="shared" ref="AM222:AS222" si="1299">+AM$2</f>
        <v>1T24</v>
      </c>
      <c r="AN222" s="282" t="str">
        <f t="shared" si="1299"/>
        <v>2T24</v>
      </c>
      <c r="AO222" s="282" t="str">
        <f t="shared" si="1299"/>
        <v>3T24</v>
      </c>
      <c r="AP222" s="282" t="str">
        <f t="shared" si="1299"/>
        <v>4T24</v>
      </c>
      <c r="AQ222" s="282" t="str">
        <f t="shared" si="1299"/>
        <v>1T25</v>
      </c>
      <c r="AR222" s="282" t="str">
        <f t="shared" si="1299"/>
        <v>2T25</v>
      </c>
      <c r="AS222" s="282" t="str">
        <f t="shared" si="1299"/>
        <v>3T25</v>
      </c>
      <c r="AT222" s="282" t="str">
        <f>+AT$2</f>
        <v>4T25</v>
      </c>
      <c r="AU222" s="282" t="str">
        <f t="shared" ref="AU222:AX222" si="1300">+AU$2</f>
        <v>1T26</v>
      </c>
      <c r="AV222" s="282" t="str">
        <f t="shared" si="1300"/>
        <v>2T26</v>
      </c>
      <c r="AW222" s="282" t="str">
        <f t="shared" si="1300"/>
        <v>3T26</v>
      </c>
      <c r="AX222" s="282" t="str">
        <f t="shared" si="1300"/>
        <v>4T26</v>
      </c>
      <c r="AZ222" s="282" t="s">
        <v>457</v>
      </c>
      <c r="BD222" s="160">
        <f>+BD$2</f>
        <v>2015</v>
      </c>
      <c r="BE222" s="160">
        <f t="shared" ref="BE222:BS222" si="1301">+BE$2</f>
        <v>2016</v>
      </c>
      <c r="BF222" s="160">
        <f t="shared" si="1301"/>
        <v>2017</v>
      </c>
      <c r="BG222" s="160">
        <f t="shared" si="1301"/>
        <v>2018</v>
      </c>
      <c r="BH222" s="160">
        <f t="shared" si="1301"/>
        <v>2019</v>
      </c>
      <c r="BI222" s="160">
        <f t="shared" si="1301"/>
        <v>2020</v>
      </c>
      <c r="BJ222" s="160">
        <f t="shared" si="1301"/>
        <v>2021</v>
      </c>
      <c r="BK222" s="160">
        <f t="shared" si="1301"/>
        <v>2022</v>
      </c>
      <c r="BL222" s="160">
        <f t="shared" si="1301"/>
        <v>2023</v>
      </c>
      <c r="BM222" s="2607">
        <f t="shared" si="1301"/>
        <v>2024</v>
      </c>
      <c r="BN222" s="160">
        <f t="shared" si="1301"/>
        <v>2025</v>
      </c>
      <c r="BO222" s="160">
        <f t="shared" si="1301"/>
        <v>2026</v>
      </c>
      <c r="BP222" s="160">
        <f t="shared" si="1301"/>
        <v>2027</v>
      </c>
      <c r="BQ222" s="160">
        <f t="shared" si="1301"/>
        <v>2028</v>
      </c>
      <c r="BR222" s="160">
        <f t="shared" si="1301"/>
        <v>2029</v>
      </c>
      <c r="BS222" s="160">
        <f t="shared" si="1301"/>
        <v>2030</v>
      </c>
    </row>
    <row r="223" spans="2:71">
      <c r="B223" s="111"/>
    </row>
    <row r="224" spans="2:71" s="1134" customFormat="1">
      <c r="B224" s="298" t="s">
        <v>579</v>
      </c>
      <c r="E224" s="1134">
        <v>29.036000000000001</v>
      </c>
      <c r="H224" s="1134">
        <v>17.399999999999999</v>
      </c>
      <c r="K224" s="1134">
        <v>61.804000000000002</v>
      </c>
      <c r="L224" s="1134">
        <v>5.6</v>
      </c>
      <c r="N224" s="1134">
        <v>78.290000000000006</v>
      </c>
      <c r="O224" s="1134">
        <v>6.8090000000000002</v>
      </c>
      <c r="R224" s="1135">
        <v>111.449</v>
      </c>
      <c r="S224" s="1136"/>
      <c r="U224" s="1137"/>
      <c r="V224" s="1179">
        <v>110.7</v>
      </c>
      <c r="W224" s="1137">
        <v>0</v>
      </c>
      <c r="X224" s="1137">
        <v>0</v>
      </c>
      <c r="Y224" s="1137">
        <v>0</v>
      </c>
      <c r="Z224" s="1137">
        <v>0</v>
      </c>
      <c r="AA224" s="1137">
        <v>0</v>
      </c>
      <c r="AB224" s="1137">
        <v>0</v>
      </c>
      <c r="AC224" s="1137">
        <v>0</v>
      </c>
      <c r="AD224" s="1137">
        <v>0</v>
      </c>
      <c r="AE224" s="1137">
        <v>0</v>
      </c>
      <c r="AF224" s="1137">
        <v>0</v>
      </c>
      <c r="AG224" s="1137">
        <v>0</v>
      </c>
      <c r="AH224" s="1137">
        <v>0</v>
      </c>
      <c r="AI224" s="1137">
        <v>0</v>
      </c>
      <c r="AJ224" s="1137">
        <v>0</v>
      </c>
      <c r="AK224" s="1137">
        <v>0</v>
      </c>
      <c r="AL224" s="1135">
        <v>0</v>
      </c>
      <c r="AM224" s="2566">
        <v>0</v>
      </c>
      <c r="AN224" s="1137">
        <v>0</v>
      </c>
      <c r="AO224" s="1137">
        <v>0</v>
      </c>
      <c r="AP224" s="1135">
        <v>44.853175</v>
      </c>
      <c r="AQ224" s="1137">
        <v>0</v>
      </c>
      <c r="AR224" s="1137">
        <v>0</v>
      </c>
      <c r="AS224" s="1137">
        <v>0</v>
      </c>
      <c r="AT224" s="1137">
        <v>0</v>
      </c>
      <c r="AU224" s="1137">
        <v>0</v>
      </c>
      <c r="AV224" s="1137">
        <v>0</v>
      </c>
      <c r="AW224" s="1137">
        <v>0</v>
      </c>
      <c r="AX224" s="1137">
        <v>0</v>
      </c>
      <c r="AY224" s="1138"/>
      <c r="AZ224" s="1137">
        <v>0</v>
      </c>
      <c r="BA224" s="1139"/>
      <c r="BB224" s="1138"/>
      <c r="BC224" s="1138"/>
      <c r="BD224" s="1140"/>
      <c r="BE224" s="1141"/>
      <c r="BF224" s="1141"/>
      <c r="BG224" s="1141"/>
      <c r="BH224" s="1141">
        <f>+SUM(S224:V224)</f>
        <v>110.7</v>
      </c>
      <c r="BI224" s="1141">
        <f>+SUM(W224:Z224)</f>
        <v>0</v>
      </c>
      <c r="BJ224" s="1141">
        <f>+SUM(AA224:AD224)</f>
        <v>0</v>
      </c>
      <c r="BK224" s="1141">
        <f>+SUM(AE224:AH224)</f>
        <v>0</v>
      </c>
      <c r="BL224" s="1141">
        <f>+SUM(AI224:AL224)</f>
        <v>0</v>
      </c>
      <c r="BM224" s="2614">
        <f>+SUM(AM224:AP224)</f>
        <v>44.853175</v>
      </c>
      <c r="BN224" s="1141">
        <f>+SUM(AQ224:AT224)</f>
        <v>0</v>
      </c>
      <c r="BO224" s="1141">
        <f>+SUM(AU224:AX224)</f>
        <v>0</v>
      </c>
      <c r="BP224" s="1141">
        <v>320.41047724043602</v>
      </c>
      <c r="BQ224" s="1141">
        <v>351.87662217218553</v>
      </c>
      <c r="BR224" s="1141">
        <v>396.79163247390079</v>
      </c>
      <c r="BS224" s="1141">
        <v>433.40844826692341</v>
      </c>
    </row>
    <row r="225" spans="1:71" s="297" customFormat="1">
      <c r="B225" s="310"/>
      <c r="R225" s="311"/>
      <c r="S225" s="312"/>
      <c r="U225" s="313"/>
      <c r="V225" s="313"/>
      <c r="W225" s="313"/>
      <c r="X225" s="313"/>
      <c r="Y225" s="313"/>
      <c r="Z225" s="313"/>
      <c r="AA225" s="313">
        <f>+AA224-AA226</f>
        <v>0</v>
      </c>
      <c r="AB225" s="313">
        <f>+AB224-AB226</f>
        <v>0</v>
      </c>
      <c r="AC225" s="313" t="e">
        <f>+AC224-AC226</f>
        <v>#REF!</v>
      </c>
      <c r="AD225" s="313" t="e">
        <f>+AD224-AD226</f>
        <v>#REF!</v>
      </c>
      <c r="AE225" s="313" t="e">
        <f>+AE224-AE226</f>
        <v>#REF!</v>
      </c>
      <c r="AF225" s="313" t="e">
        <f t="shared" ref="AF225:AG225" si="1302">+AF224-AF226</f>
        <v>#REF!</v>
      </c>
      <c r="AG225" s="313">
        <f t="shared" si="1302"/>
        <v>0</v>
      </c>
      <c r="AH225" s="313">
        <f t="shared" ref="AH225:AI225" si="1303">+AH224-AH226</f>
        <v>0</v>
      </c>
      <c r="AI225" s="313">
        <f t="shared" si="1303"/>
        <v>0</v>
      </c>
      <c r="AJ225" s="313">
        <f t="shared" ref="AJ225:AK225" si="1304">+AJ224-AJ226</f>
        <v>0</v>
      </c>
      <c r="AK225" s="313">
        <f t="shared" si="1304"/>
        <v>0</v>
      </c>
      <c r="AL225" s="313">
        <f t="shared" ref="AL225:AO225" si="1305">+AL224-AL226</f>
        <v>0</v>
      </c>
      <c r="AM225" s="2567">
        <f t="shared" si="1305"/>
        <v>0</v>
      </c>
      <c r="AN225" s="313">
        <f t="shared" si="1305"/>
        <v>0</v>
      </c>
      <c r="AO225" s="313">
        <f t="shared" si="1305"/>
        <v>0</v>
      </c>
      <c r="AP225" s="313">
        <f t="shared" ref="AP225" si="1306">+AP224-AP226</f>
        <v>44.853175</v>
      </c>
      <c r="AQ225" s="313">
        <f t="shared" ref="AQ225:AT225" si="1307">+AQ224-AQ226</f>
        <v>0</v>
      </c>
      <c r="AR225" s="313">
        <f t="shared" si="1307"/>
        <v>0</v>
      </c>
      <c r="AS225" s="313">
        <f t="shared" si="1307"/>
        <v>0</v>
      </c>
      <c r="AT225" s="313">
        <f t="shared" si="1307"/>
        <v>0</v>
      </c>
      <c r="AU225" s="313">
        <f t="shared" ref="AU225:AX225" si="1308">+AU224-AU226</f>
        <v>0</v>
      </c>
      <c r="AV225" s="313">
        <f t="shared" si="1308"/>
        <v>0</v>
      </c>
      <c r="AW225" s="313">
        <f t="shared" si="1308"/>
        <v>0</v>
      </c>
      <c r="AX225" s="313">
        <f t="shared" si="1308"/>
        <v>0</v>
      </c>
      <c r="AY225" s="313">
        <f t="shared" ref="AY225" si="1309">+AY224-AY226</f>
        <v>0</v>
      </c>
      <c r="AZ225" s="313">
        <v>0</v>
      </c>
      <c r="BA225" s="1078"/>
      <c r="BD225" s="313"/>
      <c r="BE225" s="313"/>
      <c r="BF225" s="313"/>
      <c r="BG225" s="313"/>
      <c r="BH225" s="313"/>
      <c r="BI225" s="313"/>
      <c r="BJ225" s="313"/>
      <c r="BK225" s="313"/>
      <c r="BL225" s="313"/>
      <c r="BM225" s="2567"/>
      <c r="BN225" s="313"/>
      <c r="BO225" s="313"/>
      <c r="BP225" s="313">
        <f t="shared" ref="BP225" si="1310">+BP224-BP226</f>
        <v>-3.9331682446072591</v>
      </c>
      <c r="BQ225" s="313">
        <f t="shared" ref="BQ225:BS225" si="1311">+BQ224-BQ226</f>
        <v>-1.4461676513522548</v>
      </c>
      <c r="BR225" s="313">
        <f t="shared" si="1311"/>
        <v>0.63028039241038414</v>
      </c>
      <c r="BS225" s="313">
        <f t="shared" si="1311"/>
        <v>37.347863681416356</v>
      </c>
    </row>
    <row r="226" spans="1:71" s="137" customFormat="1">
      <c r="B226" s="276"/>
      <c r="R226" s="285"/>
      <c r="S226"/>
      <c r="U226" s="283"/>
      <c r="V226" s="283"/>
      <c r="W226" s="283"/>
      <c r="X226" s="283"/>
      <c r="Y226" s="283"/>
      <c r="Z226" s="283"/>
      <c r="AA226" s="763">
        <f>+AA227*SUM(X228:AA228)</f>
        <v>0</v>
      </c>
      <c r="AB226" s="763">
        <f>+AB227*SUM(Y228:AB228)</f>
        <v>0</v>
      </c>
      <c r="AC226" s="763" t="e">
        <f>+AC227*SUM(Z228:AC228)</f>
        <v>#REF!</v>
      </c>
      <c r="AD226" s="763" t="e">
        <f>+AD227*SUM(AA228:AD228)</f>
        <v>#REF!</v>
      </c>
      <c r="AE226" s="763" t="e">
        <f>+AE227*SUM(AB228:AE228)</f>
        <v>#REF!</v>
      </c>
      <c r="AF226" s="763" t="e">
        <f t="shared" ref="AF226:AJ226" si="1312">+AF227*SUM(AC228:AF228)</f>
        <v>#REF!</v>
      </c>
      <c r="AG226" s="763">
        <f t="shared" si="1312"/>
        <v>0</v>
      </c>
      <c r="AH226" s="763">
        <f t="shared" si="1312"/>
        <v>0</v>
      </c>
      <c r="AI226" s="763">
        <f t="shared" si="1312"/>
        <v>0</v>
      </c>
      <c r="AJ226" s="763">
        <f t="shared" si="1312"/>
        <v>0</v>
      </c>
      <c r="AK226" s="763">
        <f t="shared" ref="AK226" si="1313">+AK227*SUM(AH228:AK228)</f>
        <v>0</v>
      </c>
      <c r="AL226" s="763">
        <f t="shared" ref="AL226" si="1314">+AL227*SUM(AI228:AL228)</f>
        <v>0</v>
      </c>
      <c r="AM226" s="2568">
        <f t="shared" ref="AM226" si="1315">+AM227*SUM(AJ228:AM228)</f>
        <v>0</v>
      </c>
      <c r="AN226" s="763">
        <f t="shared" ref="AN226" si="1316">+AN227*SUM(AK228:AN228)</f>
        <v>0</v>
      </c>
      <c r="AO226" s="763">
        <f t="shared" ref="AO226" si="1317">+AO227*SUM(AL228:AO228)</f>
        <v>0</v>
      </c>
      <c r="AP226" s="763">
        <f t="shared" ref="AP226" si="1318">+AP227*SUM(AM228:AP228)</f>
        <v>0</v>
      </c>
      <c r="AQ226" s="763">
        <f t="shared" ref="AQ226" si="1319">+AQ227*SUM(AN228:AQ228)</f>
        <v>0</v>
      </c>
      <c r="AR226" s="763">
        <f t="shared" ref="AR226" si="1320">+AR227*SUM(AO228:AR228)</f>
        <v>0</v>
      </c>
      <c r="AS226" s="763">
        <f t="shared" ref="AS226" si="1321">+AS227*SUM(AP228:AS228)</f>
        <v>0</v>
      </c>
      <c r="AT226" s="763">
        <f t="shared" ref="AT226" si="1322">+AT227*SUM(AQ228:AT228)</f>
        <v>0</v>
      </c>
      <c r="AU226" s="763">
        <f t="shared" ref="AU226" si="1323">+AU227*SUM(AR228:AU228)</f>
        <v>0</v>
      </c>
      <c r="AV226" s="763">
        <f t="shared" ref="AV226" si="1324">+AV227*SUM(AS228:AV228)</f>
        <v>0</v>
      </c>
      <c r="AW226" s="763">
        <f t="shared" ref="AW226" si="1325">+AW227*SUM(AT228:AW228)</f>
        <v>0</v>
      </c>
      <c r="AX226" s="763">
        <f t="shared" ref="AX226" si="1326">+AX227*SUM(AU228:AX228)</f>
        <v>0</v>
      </c>
      <c r="AZ226" s="763">
        <v>0</v>
      </c>
      <c r="BA226" s="1079"/>
      <c r="BD226" s="277"/>
      <c r="BE226" s="69"/>
      <c r="BF226" s="69"/>
      <c r="BG226" s="69"/>
      <c r="BH226" s="69"/>
      <c r="BI226" s="69"/>
      <c r="BJ226" s="69"/>
      <c r="BK226" s="69"/>
      <c r="BL226" s="69"/>
      <c r="BM226" s="2541"/>
      <c r="BN226" s="69"/>
      <c r="BO226" s="69"/>
      <c r="BP226" s="693">
        <f t="shared" ref="BP226" si="1327">+BP227*BP228</f>
        <v>324.34364548504328</v>
      </c>
      <c r="BQ226" s="693">
        <f t="shared" ref="BQ226:BS226" si="1328">+BQ227*BQ228</f>
        <v>353.32278982353779</v>
      </c>
      <c r="BR226" s="693">
        <f t="shared" si="1328"/>
        <v>396.16135208149041</v>
      </c>
      <c r="BS226" s="693">
        <f t="shared" si="1328"/>
        <v>396.06058458550706</v>
      </c>
    </row>
    <row r="227" spans="1:71">
      <c r="B227" s="128"/>
      <c r="C227" s="139" t="e">
        <f t="shared" ref="C227:Q227" si="1329">+C224/C228</f>
        <v>#VALUE!</v>
      </c>
      <c r="D227" s="139" t="e">
        <f t="shared" si="1329"/>
        <v>#REF!</v>
      </c>
      <c r="E227" s="139" t="e">
        <f t="shared" si="1329"/>
        <v>#REF!</v>
      </c>
      <c r="F227" s="139" t="e">
        <f t="shared" si="1329"/>
        <v>#REF!</v>
      </c>
      <c r="G227" s="139" t="e">
        <f t="shared" si="1329"/>
        <v>#REF!</v>
      </c>
      <c r="H227" s="139" t="e">
        <f t="shared" si="1329"/>
        <v>#REF!</v>
      </c>
      <c r="I227" s="139" t="e">
        <f t="shared" si="1329"/>
        <v>#REF!</v>
      </c>
      <c r="J227" s="139" t="e">
        <f t="shared" si="1329"/>
        <v>#REF!</v>
      </c>
      <c r="K227" s="139" t="e">
        <f>+K224/SUM(H228:K228)</f>
        <v>#REF!</v>
      </c>
      <c r="L227" s="139" t="e">
        <f t="shared" si="1329"/>
        <v>#REF!</v>
      </c>
      <c r="M227" s="139" t="e">
        <f t="shared" si="1329"/>
        <v>#REF!</v>
      </c>
      <c r="N227" s="139" t="e">
        <f>+N224/SUM(K228:N228)</f>
        <v>#REF!</v>
      </c>
      <c r="O227" s="139" t="e">
        <f>+O224/SUM(L228:O228)</f>
        <v>#REF!</v>
      </c>
      <c r="P227" s="139" t="e">
        <f t="shared" si="1329"/>
        <v>#REF!</v>
      </c>
      <c r="Q227" s="139" t="e">
        <f t="shared" si="1329"/>
        <v>#REF!</v>
      </c>
      <c r="R227" s="139" t="e">
        <f>+R224/SUM(O228:R228)</f>
        <v>#REF!</v>
      </c>
      <c r="S227" s="139" t="e">
        <f>+S224/S228</f>
        <v>#REF!</v>
      </c>
      <c r="T227" s="139" t="e">
        <f>+T224/T228</f>
        <v>#REF!</v>
      </c>
      <c r="U227" s="139">
        <f>+U224/U228</f>
        <v>0</v>
      </c>
      <c r="V227" s="139" t="e">
        <f>+V224/SUM(S228:V228)</f>
        <v>#REF!</v>
      </c>
      <c r="W227" s="139" t="e">
        <f>+W224/SUM(T228:W228)</f>
        <v>#REF!</v>
      </c>
      <c r="X227" s="139">
        <f>+X224/SUM(U228:X228)</f>
        <v>0</v>
      </c>
      <c r="Y227" s="139">
        <f t="shared" ref="Y227:AE227" si="1330">+Y224/SUM(V228:Y228)</f>
        <v>0</v>
      </c>
      <c r="Z227" s="139">
        <f t="shared" si="1330"/>
        <v>0</v>
      </c>
      <c r="AA227" s="139">
        <f t="shared" si="1330"/>
        <v>0</v>
      </c>
      <c r="AB227" s="139">
        <f t="shared" si="1330"/>
        <v>0</v>
      </c>
      <c r="AC227" s="139" t="e">
        <f t="shared" si="1330"/>
        <v>#REF!</v>
      </c>
      <c r="AD227" s="139" t="e">
        <f t="shared" si="1330"/>
        <v>#REF!</v>
      </c>
      <c r="AE227" s="139" t="e">
        <f t="shared" si="1330"/>
        <v>#REF!</v>
      </c>
      <c r="AF227" s="139" t="e">
        <f t="shared" ref="AF227" si="1331">+AF224/SUM(AC228:AF228)</f>
        <v>#REF!</v>
      </c>
      <c r="AG227" s="139">
        <f t="shared" ref="AG227:AJ227" si="1332">+AG224/SUM(AD228:AG228)</f>
        <v>0</v>
      </c>
      <c r="AH227" s="139">
        <f t="shared" si="1332"/>
        <v>0</v>
      </c>
      <c r="AI227" s="139">
        <f t="shared" si="1332"/>
        <v>0</v>
      </c>
      <c r="AJ227" s="139">
        <f t="shared" si="1332"/>
        <v>0</v>
      </c>
      <c r="AK227" s="139">
        <f t="shared" ref="AK227" si="1333">+AK224/SUM(AH228:AK228)</f>
        <v>0</v>
      </c>
      <c r="AL227" s="139">
        <f t="shared" ref="AL227" si="1334">+AL224/SUM(AI228:AL228)</f>
        <v>0</v>
      </c>
      <c r="AM227" s="2569">
        <f t="shared" ref="AM227" si="1335">+AM224/SUM(AJ228:AM228)</f>
        <v>0</v>
      </c>
      <c r="AN227" s="139">
        <f t="shared" ref="AN227" si="1336">+AN224/SUM(AK228:AN228)</f>
        <v>0</v>
      </c>
      <c r="AO227" s="139">
        <f t="shared" ref="AO227" si="1337">+AO224/SUM(AL228:AO228)</f>
        <v>0</v>
      </c>
      <c r="AP227" s="314">
        <v>0</v>
      </c>
      <c r="AQ227" s="314">
        <v>0</v>
      </c>
      <c r="AR227" s="314">
        <v>0</v>
      </c>
      <c r="AS227" s="314">
        <v>0</v>
      </c>
      <c r="AT227" s="314">
        <v>0</v>
      </c>
      <c r="AU227" s="314">
        <f>+AQ227</f>
        <v>0</v>
      </c>
      <c r="AV227" s="314">
        <f t="shared" ref="AV227:AW227" si="1338">+AR227</f>
        <v>0</v>
      </c>
      <c r="AW227" s="314">
        <f t="shared" si="1338"/>
        <v>0</v>
      </c>
      <c r="AX227" s="314">
        <v>0</v>
      </c>
      <c r="AZ227" s="314">
        <v>0</v>
      </c>
      <c r="BE227" s="139" t="e">
        <f t="shared" ref="BE227:BI227" si="1339">+BE224/BE228</f>
        <v>#REF!</v>
      </c>
      <c r="BF227" s="139" t="e">
        <f t="shared" si="1339"/>
        <v>#REF!</v>
      </c>
      <c r="BG227" s="139" t="e">
        <f t="shared" si="1339"/>
        <v>#REF!</v>
      </c>
      <c r="BH227" s="139" t="e">
        <f t="shared" si="1339"/>
        <v>#REF!</v>
      </c>
      <c r="BI227" s="139">
        <f t="shared" si="1339"/>
        <v>0</v>
      </c>
      <c r="BJ227" s="139" t="e">
        <f t="shared" ref="BJ227:BK227" si="1340">+BJ224/BJ228</f>
        <v>#REF!</v>
      </c>
      <c r="BK227" s="139">
        <f t="shared" si="1340"/>
        <v>0</v>
      </c>
      <c r="BL227" s="139">
        <f t="shared" ref="BL227:BM227" si="1341">+BL224/BL228</f>
        <v>0</v>
      </c>
      <c r="BM227" s="2569">
        <f t="shared" si="1341"/>
        <v>-1.0044860449116441E-2</v>
      </c>
      <c r="BN227" s="139">
        <f t="shared" ref="BN227:BO227" si="1342">+BN224/BN228</f>
        <v>0</v>
      </c>
      <c r="BO227" s="139">
        <f t="shared" si="1342"/>
        <v>0</v>
      </c>
      <c r="BP227" s="278">
        <v>0.5</v>
      </c>
      <c r="BQ227" s="278">
        <v>0.5</v>
      </c>
      <c r="BR227" s="278">
        <v>0.5</v>
      </c>
      <c r="BS227" s="278">
        <v>0.5</v>
      </c>
    </row>
    <row r="228" spans="1:71" s="286" customFormat="1">
      <c r="B228" s="1131" t="s">
        <v>580</v>
      </c>
      <c r="C228" s="388" t="e">
        <f>+MIN(7%*B140/4,50%*C42)</f>
        <v>#VALUE!</v>
      </c>
      <c r="D228" s="388" t="e">
        <f>+MIN(7%*C140/4,50%*D42)</f>
        <v>#REF!</v>
      </c>
      <c r="E228" s="388" t="e">
        <f>+MIN(7%*D140/4,50%*E42)</f>
        <v>#REF!</v>
      </c>
      <c r="F228" s="388" t="e">
        <f>+MIN(7%*E140/4,50%*F42)</f>
        <v>#REF!</v>
      </c>
      <c r="G228" s="388" t="e">
        <f>+MIN(7%*F140/4,50%*G42)</f>
        <v>#REF!</v>
      </c>
      <c r="H228" s="388" t="e">
        <f>+MIN(7%*G140/4,50%*H42)</f>
        <v>#REF!</v>
      </c>
      <c r="I228" s="388" t="e">
        <f>+MIN(7%*H140/4,50%*I42)</f>
        <v>#REF!</v>
      </c>
      <c r="J228" s="388" t="e">
        <f>+MIN(7%*I140/4,50%*J42)</f>
        <v>#REF!</v>
      </c>
      <c r="K228" s="388" t="e">
        <f>+MIN(7%*J140/4,50%*K42)</f>
        <v>#REF!</v>
      </c>
      <c r="L228" s="388" t="e">
        <f>+MIN(7%*K140/4,50%*L42)</f>
        <v>#REF!</v>
      </c>
      <c r="M228" s="388" t="e">
        <f>+MIN(7%*L140/4,50%*M42)</f>
        <v>#REF!</v>
      </c>
      <c r="N228" s="388" t="e">
        <f>+MIN(7%*M140/4,50%*N42)</f>
        <v>#REF!</v>
      </c>
      <c r="O228" s="388" t="e">
        <f>+MIN(7%*N140/4,50%*O42)</f>
        <v>#REF!</v>
      </c>
      <c r="P228" s="388" t="e">
        <f>+MIN(7%*O140/4,50%*P42)</f>
        <v>#REF!</v>
      </c>
      <c r="Q228" s="388" t="e">
        <f>+MIN(7%*P140/4,50%*Q42)</f>
        <v>#REF!</v>
      </c>
      <c r="R228" s="388" t="e">
        <f>+MIN(7%*Q140/4,50%*R42)</f>
        <v>#REF!</v>
      </c>
      <c r="S228" s="388" t="e">
        <f>+MIN(7%*R140/4,50%*S42)</f>
        <v>#REF!</v>
      </c>
      <c r="T228" s="388" t="e">
        <f>+MIN(7%*S140/4,50%*T42)</f>
        <v>#REF!</v>
      </c>
      <c r="U228" s="1132">
        <f>+MIN(7%*T140/4,50%*U42)</f>
        <v>31.9</v>
      </c>
      <c r="V228" s="1132">
        <f>+MIN(7%*U140/4,50%*V42)</f>
        <v>53.513250000000006</v>
      </c>
      <c r="W228" s="1132">
        <f>+MIN(7%*V140/4,50%*W42)</f>
        <v>-414.5499999999999</v>
      </c>
      <c r="X228" s="1132">
        <f>+MIN(7%*W140/4,50%*X42)</f>
        <v>-197.9</v>
      </c>
      <c r="Y228" s="1132">
        <f>+MIN(7%*X140/4,50%*Y42)</f>
        <v>186.95000000000047</v>
      </c>
      <c r="Z228" s="1132">
        <f>+MIN(7%*Y140/4,50%*Z42)</f>
        <v>87.050000000000352</v>
      </c>
      <c r="AA228" s="1132">
        <f>+MIN(7%*Z140/4,50%*AA42)</f>
        <v>-79.000000000000369</v>
      </c>
      <c r="AB228" s="1132">
        <f>+MIN(7%*AA140/4,50%*AB42)</f>
        <v>114.6999999999998</v>
      </c>
      <c r="AC228" s="1132" t="e">
        <f>+MIN(7%*AB140/4,50%*AC42)</f>
        <v>#REF!</v>
      </c>
      <c r="AD228" s="1132">
        <f>+MIN(7%*AC140/4,50%*AD42)</f>
        <v>347.7495500000004</v>
      </c>
      <c r="AE228" s="1132">
        <f>+MIN(7%*AD140/4,50%*AE42)</f>
        <v>-320.65000000000055</v>
      </c>
      <c r="AF228" s="1132">
        <f>+MIN(7%*AE140/4,50%*AF42)</f>
        <v>-383.5500000000003</v>
      </c>
      <c r="AG228" s="1132">
        <f>+MIN(7%*AF140/4,50%*AG42)</f>
        <v>-279.64999999999998</v>
      </c>
      <c r="AH228" s="1132">
        <f>+MIN(7%*AG140/4,50%*AH42)</f>
        <v>-445.2999999999995</v>
      </c>
      <c r="AI228" s="1132">
        <f>+MIN(7%*AH140/4,50%*AI42)</f>
        <v>-325.95000000000067</v>
      </c>
      <c r="AJ228" s="1132">
        <f>+MIN(7%*AI140/4,50%*AJ42)</f>
        <v>-365.91364406779957</v>
      </c>
      <c r="AK228" s="1132">
        <f>+MIN(7%*AJ140/4,50%*AK42)</f>
        <v>359.51825000000008</v>
      </c>
      <c r="AL228" s="1132">
        <f>+MIN(7%*AK140/4,50%*AL42)</f>
        <v>-1330.3999999999996</v>
      </c>
      <c r="AM228" s="2570">
        <f>+MIN(7%*AL140/4,50%*AM42)</f>
        <v>-469.37950000000006</v>
      </c>
      <c r="AN228" s="1132">
        <f>+MIN(7%*AM140/4,50%*AN42)</f>
        <v>-429.58899999999971</v>
      </c>
      <c r="AO228" s="1132">
        <f>+MIN(7%*AN140/4,50%*AO42)</f>
        <v>-3346.8675263424921</v>
      </c>
      <c r="AP228" s="1132">
        <f>+MIN(7%*AO140/4,50%*AP42)</f>
        <v>-219.4499999999999</v>
      </c>
      <c r="AQ228" s="1132">
        <f>+MIN(7%*AP140/4,50%*AQ42)</f>
        <v>-75.356636945825059</v>
      </c>
      <c r="AR228" s="1132">
        <f>+MIN(7%*AQ140/4,50%*AR42)</f>
        <v>97.6</v>
      </c>
      <c r="AS228" s="1132">
        <f>+MIN(7%*AR140/4,50%*AS42)</f>
        <v>-963.09999999999991</v>
      </c>
      <c r="AT228" s="1132">
        <f>+MIN(7%*AS140/4,50%*AT42)</f>
        <v>-160.5</v>
      </c>
      <c r="AU228" s="1132">
        <f>+MIN(7%*AT140/4,50%*AU42)</f>
        <v>121.89475193802781</v>
      </c>
      <c r="AV228" s="1132">
        <f>+MIN(7%*AU140/4,50%*AV42)</f>
        <v>95.031505209521029</v>
      </c>
      <c r="AW228" s="1132">
        <f>+MIN(7%*AV140/4,50%*AW42)</f>
        <v>82.97083300710473</v>
      </c>
      <c r="AX228" s="1132">
        <f>+MIN(7%*AW140/4,50%*AX42)</f>
        <v>211.46620861654972</v>
      </c>
      <c r="AZ228" s="1132">
        <v>43.294817282688754</v>
      </c>
      <c r="BA228" s="1133"/>
      <c r="BD228" s="388"/>
      <c r="BE228" s="388" t="e">
        <f>+MIN(MACRO!BE9*BD140,50%*BE42)</f>
        <v>#REF!</v>
      </c>
      <c r="BF228" s="388" t="e">
        <f>+MIN(MACRO!BF9*BE140,50%*BF42)</f>
        <v>#REF!</v>
      </c>
      <c r="BG228" s="388" t="e">
        <f>+MIN(MACRO!BG9*BF140,50%*BG42)</f>
        <v>#REF!</v>
      </c>
      <c r="BH228" s="388" t="e">
        <f>+MIN(MACRO!BH9*BG140,50%*BH42)</f>
        <v>#REF!</v>
      </c>
      <c r="BI228" s="388">
        <f>+MIN(MACRO!BI9*BH140,50%*BI42)</f>
        <v>-338.44999999999902</v>
      </c>
      <c r="BJ228" s="388" t="e">
        <f>+MIN(MACRO!BJ9*BI140,50%*BJ42)</f>
        <v>#REF!</v>
      </c>
      <c r="BK228" s="388">
        <f>+MIN(MACRO!BK9*BJ140,50%*BK42)</f>
        <v>-1429.1500000000003</v>
      </c>
      <c r="BL228" s="388">
        <f>+MIN(MACRO!BL9*BK140,50%*BL42)</f>
        <v>1489.5163559321995</v>
      </c>
      <c r="BM228" s="2615">
        <f>+MIN(MACRO!BM9*BL140,50%*BM42)</f>
        <v>-4465.2860263424909</v>
      </c>
      <c r="BN228" s="388">
        <f>+MIN(MACRO!BN9*BM140,50%*BN42)</f>
        <v>-1101.3566369458251</v>
      </c>
      <c r="BO228" s="388">
        <f>+MIN(MACRO!BO9*BN140,50%*BO42)</f>
        <v>511.36329877120329</v>
      </c>
      <c r="BP228" s="388">
        <f>+MIN(MACRO!BP9*BO140,50%*BP42)</f>
        <v>648.68729097008656</v>
      </c>
      <c r="BQ228" s="388">
        <f>+MIN(MACRO!BQ9*BP140,50%*BQ42)</f>
        <v>706.64557964707558</v>
      </c>
      <c r="BR228" s="388">
        <f>+MIN(MACRO!BR9*BQ140,50%*BR42)</f>
        <v>792.32270416298081</v>
      </c>
      <c r="BS228" s="388">
        <f>+MIN(MACRO!BS9*BR140,50%*BS42)</f>
        <v>792.12116917101412</v>
      </c>
    </row>
    <row r="229" spans="1:71">
      <c r="B229" s="128"/>
      <c r="U229" s="280"/>
      <c r="V229" s="280"/>
      <c r="W229" s="280"/>
      <c r="X229" s="280"/>
      <c r="Y229" s="280"/>
      <c r="Z229" s="280"/>
      <c r="AA229" s="280"/>
      <c r="AB229" s="280"/>
      <c r="AC229" s="280"/>
      <c r="AD229" s="280"/>
      <c r="AE229" s="280"/>
      <c r="AF229" s="280"/>
      <c r="AG229" s="280"/>
      <c r="AH229" s="280"/>
      <c r="AI229" s="280"/>
      <c r="AJ229" s="280"/>
      <c r="AK229" s="280"/>
      <c r="AL229" s="280"/>
      <c r="AM229" s="2571"/>
      <c r="AN229" s="280"/>
      <c r="AO229" s="280"/>
      <c r="AP229" s="280"/>
      <c r="AQ229" s="280"/>
      <c r="AR229" s="280"/>
      <c r="AS229" s="280"/>
      <c r="AT229" s="280"/>
      <c r="AU229" s="280"/>
      <c r="AV229" s="280"/>
      <c r="AW229" s="280"/>
      <c r="AX229" s="280"/>
      <c r="AZ229" s="280"/>
    </row>
    <row r="230" spans="1:71" s="137" customFormat="1">
      <c r="B230" s="276" t="s">
        <v>581</v>
      </c>
      <c r="E230" s="137">
        <v>207.29</v>
      </c>
      <c r="H230" s="137">
        <v>105.732</v>
      </c>
      <c r="K230" s="137">
        <v>51.274999999999999</v>
      </c>
      <c r="L230" s="137">
        <v>51.274999999999999</v>
      </c>
      <c r="O230" s="137">
        <v>128.74100000000001</v>
      </c>
      <c r="S230" s="137">
        <v>56.661000000000001</v>
      </c>
      <c r="T230" s="137">
        <v>0</v>
      </c>
      <c r="U230" s="137">
        <v>0</v>
      </c>
      <c r="V230" s="137">
        <v>0</v>
      </c>
      <c r="W230" s="137">
        <v>0</v>
      </c>
      <c r="X230" s="137">
        <v>0</v>
      </c>
      <c r="Y230" s="137">
        <v>0</v>
      </c>
      <c r="Z230" s="137">
        <v>0</v>
      </c>
      <c r="AA230" s="137">
        <v>0</v>
      </c>
      <c r="AB230" s="137">
        <v>0</v>
      </c>
      <c r="AC230" s="137">
        <v>0</v>
      </c>
      <c r="AD230" s="137">
        <v>0</v>
      </c>
      <c r="AE230" s="137">
        <v>0</v>
      </c>
      <c r="AF230" s="137">
        <v>0</v>
      </c>
      <c r="AG230" s="137">
        <v>0</v>
      </c>
      <c r="AH230" s="137">
        <v>0</v>
      </c>
      <c r="AI230" s="137">
        <v>0</v>
      </c>
      <c r="AJ230" s="137">
        <v>0</v>
      </c>
      <c r="AK230" s="137">
        <v>0</v>
      </c>
      <c r="AL230" s="137">
        <v>0</v>
      </c>
      <c r="AM230" s="2572">
        <v>979.17600000000004</v>
      </c>
      <c r="AN230" s="693">
        <f>+AN231*AN42</f>
        <v>0</v>
      </c>
      <c r="AO230" s="693">
        <f>+AO231*AO42</f>
        <v>0</v>
      </c>
      <c r="AP230" s="693">
        <f>+AP231*AP42</f>
        <v>0</v>
      </c>
      <c r="AQ230" s="693">
        <f>+AQ231*AQ42</f>
        <v>0</v>
      </c>
      <c r="AR230" s="693">
        <f>+AR231*AR42</f>
        <v>0</v>
      </c>
      <c r="AS230" s="693">
        <f>+AS231*AS42</f>
        <v>0</v>
      </c>
      <c r="AT230" s="693">
        <f>+SUM(AQ228:AT228)*AT231</f>
        <v>0</v>
      </c>
      <c r="AU230" s="693">
        <f t="shared" ref="AU230:AX230" si="1343">+SUM(AR228:AU228)*AU231</f>
        <v>0</v>
      </c>
      <c r="AV230" s="693">
        <f t="shared" si="1343"/>
        <v>0</v>
      </c>
      <c r="AW230" s="693">
        <f t="shared" si="1343"/>
        <v>0</v>
      </c>
      <c r="AX230" s="693">
        <f t="shared" si="1343"/>
        <v>0</v>
      </c>
      <c r="AZ230" s="693">
        <v>0</v>
      </c>
      <c r="BA230" s="1079"/>
      <c r="BD230" s="277">
        <f>+SUM(C230:F230)</f>
        <v>207.29</v>
      </c>
      <c r="BE230" s="69">
        <f>+SUM(G230:J230)</f>
        <v>105.732</v>
      </c>
      <c r="BF230" s="69">
        <f>+SUM(K230:N230)</f>
        <v>102.55</v>
      </c>
      <c r="BG230" s="69">
        <f>+SUM(O230:R230)</f>
        <v>128.74100000000001</v>
      </c>
      <c r="BH230" s="69">
        <f>+SUM(S230:V230)</f>
        <v>56.661000000000001</v>
      </c>
      <c r="BI230" s="69">
        <f>+SUM(W230:Z230)</f>
        <v>0</v>
      </c>
      <c r="BJ230" s="69">
        <f>+SUM(AA230:AD230)</f>
        <v>0</v>
      </c>
      <c r="BK230" s="69">
        <f>+SUM(AE230:AH230)</f>
        <v>0</v>
      </c>
      <c r="BL230" s="69">
        <f>+SUM(AI230:AL230)</f>
        <v>0</v>
      </c>
      <c r="BM230" s="2541">
        <f>+SUM(AM230:AP230)</f>
        <v>979.17600000000004</v>
      </c>
      <c r="BN230" s="69">
        <f>+SUM(AQ230:AT230)</f>
        <v>0</v>
      </c>
      <c r="BO230" s="69">
        <f>+SUM(AU230:AX230)</f>
        <v>0</v>
      </c>
      <c r="BP230" s="693">
        <f>+BP231*BP42</f>
        <v>0</v>
      </c>
      <c r="BQ230" s="693">
        <f>+BQ231*BQ42</f>
        <v>0</v>
      </c>
      <c r="BR230" s="693">
        <f>+BR231*BR42</f>
        <v>0</v>
      </c>
      <c r="BS230" s="693">
        <f>+BS231*BS42</f>
        <v>0</v>
      </c>
    </row>
    <row r="231" spans="1:71">
      <c r="B231" s="128" t="s">
        <v>582</v>
      </c>
      <c r="L231" s="153"/>
      <c r="P231" s="153"/>
      <c r="T231" s="153"/>
      <c r="AM231" s="2564">
        <f t="shared" ref="AM231" si="1344">+AM230/AM$42</f>
        <v>-1.0430536484869917</v>
      </c>
      <c r="AN231" s="278">
        <v>0</v>
      </c>
      <c r="AO231" s="278">
        <v>0</v>
      </c>
      <c r="AP231" s="278">
        <v>0</v>
      </c>
      <c r="AQ231" s="278">
        <v>0</v>
      </c>
      <c r="AR231" s="278">
        <v>0</v>
      </c>
      <c r="AS231" s="278">
        <v>0</v>
      </c>
      <c r="AT231" s="278">
        <v>0</v>
      </c>
      <c r="AU231" s="278">
        <v>0</v>
      </c>
      <c r="AV231" s="278">
        <v>0</v>
      </c>
      <c r="AW231" s="278">
        <v>0</v>
      </c>
      <c r="AX231" s="278">
        <v>0</v>
      </c>
      <c r="AZ231" s="278">
        <v>0</v>
      </c>
      <c r="BD231" s="153" t="e">
        <f t="shared" ref="BD231:BI231" si="1345">+BD230/BD$42</f>
        <v>#REF!</v>
      </c>
      <c r="BE231" s="153" t="e">
        <f t="shared" si="1345"/>
        <v>#REF!</v>
      </c>
      <c r="BF231" s="153" t="e">
        <f t="shared" si="1345"/>
        <v>#REF!</v>
      </c>
      <c r="BG231" s="153" t="e">
        <f t="shared" si="1345"/>
        <v>#REF!</v>
      </c>
      <c r="BH231" s="153" t="e">
        <f t="shared" si="1345"/>
        <v>#REF!</v>
      </c>
      <c r="BI231" s="153">
        <f t="shared" si="1345"/>
        <v>0</v>
      </c>
      <c r="BJ231" s="153" t="e">
        <f t="shared" ref="BJ231:BO231" si="1346">+BJ230/BJ$42</f>
        <v>#REF!</v>
      </c>
      <c r="BK231" s="153">
        <f t="shared" si="1346"/>
        <v>0</v>
      </c>
      <c r="BL231" s="153">
        <f t="shared" si="1346"/>
        <v>0</v>
      </c>
      <c r="BM231" s="2564">
        <f t="shared" si="1346"/>
        <v>-0.10964314427154867</v>
      </c>
      <c r="BN231" s="153">
        <f t="shared" si="1346"/>
        <v>0</v>
      </c>
      <c r="BO231" s="153">
        <f t="shared" si="1346"/>
        <v>0</v>
      </c>
      <c r="BP231" s="278">
        <v>0</v>
      </c>
      <c r="BQ231" s="278">
        <v>0</v>
      </c>
      <c r="BR231" s="278">
        <v>0</v>
      </c>
      <c r="BS231" s="278">
        <v>0</v>
      </c>
    </row>
    <row r="232" spans="1:71">
      <c r="B232" s="128"/>
    </row>
    <row r="233" spans="1:71" s="106" customFormat="1">
      <c r="A233" s="315"/>
      <c r="B233" s="316" t="s">
        <v>583</v>
      </c>
      <c r="E233" s="106">
        <f>+E230+E224</f>
        <v>236.32599999999999</v>
      </c>
      <c r="F233" s="106">
        <f t="shared" ref="F233:T233" si="1347">+F230+F224</f>
        <v>0</v>
      </c>
      <c r="G233" s="106">
        <f t="shared" si="1347"/>
        <v>0</v>
      </c>
      <c r="H233" s="106">
        <f t="shared" si="1347"/>
        <v>123.13200000000001</v>
      </c>
      <c r="I233" s="106">
        <f t="shared" si="1347"/>
        <v>0</v>
      </c>
      <c r="J233" s="106">
        <f t="shared" si="1347"/>
        <v>0</v>
      </c>
      <c r="K233" s="106">
        <f t="shared" si="1347"/>
        <v>113.07900000000001</v>
      </c>
      <c r="L233" s="106">
        <f t="shared" si="1347"/>
        <v>56.875</v>
      </c>
      <c r="M233" s="106">
        <f t="shared" si="1347"/>
        <v>0</v>
      </c>
      <c r="N233" s="106">
        <f t="shared" si="1347"/>
        <v>78.290000000000006</v>
      </c>
      <c r="O233" s="106">
        <f t="shared" si="1347"/>
        <v>135.55000000000001</v>
      </c>
      <c r="P233" s="106">
        <f t="shared" si="1347"/>
        <v>0</v>
      </c>
      <c r="Q233" s="106">
        <f t="shared" si="1347"/>
        <v>0</v>
      </c>
      <c r="R233" s="106">
        <f t="shared" si="1347"/>
        <v>111.449</v>
      </c>
      <c r="S233" s="106">
        <f t="shared" si="1347"/>
        <v>56.661000000000001</v>
      </c>
      <c r="T233" s="106">
        <f t="shared" si="1347"/>
        <v>0</v>
      </c>
      <c r="U233" s="106">
        <f t="shared" ref="U233:V233" si="1348">+U230+U224</f>
        <v>0</v>
      </c>
      <c r="V233" s="106">
        <f t="shared" si="1348"/>
        <v>110.7</v>
      </c>
      <c r="W233" s="106">
        <f>+W230+W224</f>
        <v>0</v>
      </c>
      <c r="X233" s="106">
        <f>+X230+X224</f>
        <v>0</v>
      </c>
      <c r="Y233" s="106">
        <f t="shared" ref="Y233:Z233" si="1349">+Y230+Y224</f>
        <v>0</v>
      </c>
      <c r="Z233" s="106">
        <f t="shared" si="1349"/>
        <v>0</v>
      </c>
      <c r="AA233" s="106">
        <f t="shared" ref="AA233" si="1350">+AA230+AA224</f>
        <v>0</v>
      </c>
      <c r="AB233" s="106">
        <f>+AB230+AB224</f>
        <v>0</v>
      </c>
      <c r="AC233" s="106">
        <f>+AC230+AC224</f>
        <v>0</v>
      </c>
      <c r="AD233" s="106">
        <f>+AD230+AD224</f>
        <v>0</v>
      </c>
      <c r="AE233" s="106">
        <f>+AE230+AE224</f>
        <v>0</v>
      </c>
      <c r="AF233" s="106">
        <f t="shared" ref="AF233:AG233" si="1351">+AF230+AF224</f>
        <v>0</v>
      </c>
      <c r="AG233" s="106">
        <f t="shared" si="1351"/>
        <v>0</v>
      </c>
      <c r="AH233" s="106">
        <f t="shared" ref="AH233:AI233" si="1352">+AH230+AH224</f>
        <v>0</v>
      </c>
      <c r="AI233" s="106">
        <f t="shared" si="1352"/>
        <v>0</v>
      </c>
      <c r="AJ233" s="106">
        <f t="shared" ref="AJ233:AL233" si="1353">+AJ230+AJ224</f>
        <v>0</v>
      </c>
      <c r="AK233" s="106">
        <f t="shared" si="1353"/>
        <v>0</v>
      </c>
      <c r="AL233" s="106">
        <f t="shared" si="1353"/>
        <v>0</v>
      </c>
      <c r="AM233" s="2573">
        <f t="shared" ref="AM233:AP233" si="1354">+AM230+AM224</f>
        <v>979.17600000000004</v>
      </c>
      <c r="AN233" s="106">
        <f t="shared" si="1354"/>
        <v>0</v>
      </c>
      <c r="AO233" s="106">
        <f t="shared" si="1354"/>
        <v>0</v>
      </c>
      <c r="AP233" s="106">
        <f t="shared" si="1354"/>
        <v>44.853175</v>
      </c>
      <c r="AQ233" s="106">
        <f t="shared" ref="AQ233:AT233" si="1355">+AQ230+AQ224</f>
        <v>0</v>
      </c>
      <c r="AR233" s="106">
        <f t="shared" si="1355"/>
        <v>0</v>
      </c>
      <c r="AS233" s="106">
        <f t="shared" si="1355"/>
        <v>0</v>
      </c>
      <c r="AT233" s="106">
        <f t="shared" si="1355"/>
        <v>0</v>
      </c>
      <c r="AU233" s="106">
        <f t="shared" ref="AU233:AX233" si="1356">+AU230+AU224</f>
        <v>0</v>
      </c>
      <c r="AV233" s="106">
        <f t="shared" si="1356"/>
        <v>0</v>
      </c>
      <c r="AW233" s="106">
        <f t="shared" si="1356"/>
        <v>0</v>
      </c>
      <c r="AX233" s="106">
        <f t="shared" si="1356"/>
        <v>0</v>
      </c>
      <c r="AY233" s="315"/>
      <c r="AZ233" s="106">
        <v>0</v>
      </c>
      <c r="BA233" s="1080"/>
      <c r="BB233" s="315"/>
      <c r="BC233" s="315"/>
      <c r="BD233" s="106">
        <f>+BD230+BD224</f>
        <v>207.29</v>
      </c>
      <c r="BE233" s="106">
        <f>+BE230+BE224</f>
        <v>105.732</v>
      </c>
      <c r="BF233" s="106">
        <f>+BF230+BF224</f>
        <v>102.55</v>
      </c>
      <c r="BG233" s="106">
        <f>+BG230+BG224</f>
        <v>128.74100000000001</v>
      </c>
      <c r="BH233" s="106">
        <f>+BH230+BH224</f>
        <v>167.36099999999999</v>
      </c>
      <c r="BI233" s="106">
        <f t="shared" ref="BI233:BP233" si="1357">+BI230+BI224</f>
        <v>0</v>
      </c>
      <c r="BJ233" s="106">
        <f t="shared" ref="BJ233:BO233" si="1358">+BJ230+BJ224</f>
        <v>0</v>
      </c>
      <c r="BK233" s="106">
        <f t="shared" si="1358"/>
        <v>0</v>
      </c>
      <c r="BL233" s="106">
        <f t="shared" si="1358"/>
        <v>0</v>
      </c>
      <c r="BM233" s="2573">
        <f t="shared" si="1358"/>
        <v>1024.0291750000001</v>
      </c>
      <c r="BN233" s="106">
        <f t="shared" si="1358"/>
        <v>0</v>
      </c>
      <c r="BO233" s="106">
        <f t="shared" si="1358"/>
        <v>0</v>
      </c>
      <c r="BP233" s="106">
        <f t="shared" si="1357"/>
        <v>320.41047724043602</v>
      </c>
      <c r="BQ233" s="106">
        <f t="shared" ref="BQ233:BS233" si="1359">+BQ230+BQ224</f>
        <v>351.87662217218553</v>
      </c>
      <c r="BR233" s="106">
        <f t="shared" si="1359"/>
        <v>396.79163247390079</v>
      </c>
      <c r="BS233" s="106">
        <f t="shared" si="1359"/>
        <v>433.40844826692341</v>
      </c>
    </row>
    <row r="234" spans="1:71" s="105" customFormat="1">
      <c r="B234" s="125" t="s">
        <v>584</v>
      </c>
      <c r="E234" s="153" t="e">
        <f>+E233/E42</f>
        <v>#REF!</v>
      </c>
      <c r="F234" s="153" t="e">
        <f>+F233/F42</f>
        <v>#REF!</v>
      </c>
      <c r="G234" s="153" t="e">
        <f>+G233/G42</f>
        <v>#REF!</v>
      </c>
      <c r="H234" s="153" t="e">
        <f>+H233/H42</f>
        <v>#REF!</v>
      </c>
      <c r="I234" s="153" t="e">
        <f>+I233/I42</f>
        <v>#REF!</v>
      </c>
      <c r="J234" s="153" t="e">
        <f>+J233/J42</f>
        <v>#REF!</v>
      </c>
      <c r="K234" s="153" t="e">
        <f>+K233/K42</f>
        <v>#REF!</v>
      </c>
      <c r="L234" s="153" t="e">
        <f>+L233/L42</f>
        <v>#REF!</v>
      </c>
      <c r="M234" s="153" t="e">
        <f>+M233/M42</f>
        <v>#REF!</v>
      </c>
      <c r="N234" s="153" t="e">
        <f>+N233/N42</f>
        <v>#REF!</v>
      </c>
      <c r="O234" s="153" t="e">
        <f>+O233/O42</f>
        <v>#REF!</v>
      </c>
      <c r="P234" s="153" t="e">
        <f>+P233/P42</f>
        <v>#REF!</v>
      </c>
      <c r="Q234" s="153" t="e">
        <f>+Q233/Q42</f>
        <v>#REF!</v>
      </c>
      <c r="R234" s="153" t="e">
        <f>+R233/R42</f>
        <v>#REF!</v>
      </c>
      <c r="S234" s="153" t="e">
        <f>+S233/S42</f>
        <v>#REF!</v>
      </c>
      <c r="T234" s="153" t="e">
        <f>+T233/T$42</f>
        <v>#REF!</v>
      </c>
      <c r="U234" s="153">
        <f t="shared" ref="U234:V234" si="1360">+U233/U$42</f>
        <v>0</v>
      </c>
      <c r="V234" s="153">
        <f t="shared" si="1360"/>
        <v>3.862035396618476E-2</v>
      </c>
      <c r="W234" s="153">
        <f>+W233/W$42</f>
        <v>0</v>
      </c>
      <c r="X234" s="153">
        <f>+X233/X$42</f>
        <v>0</v>
      </c>
      <c r="Y234" s="153">
        <f t="shared" ref="Y234:Z234" si="1361">+Y233/Y$42</f>
        <v>0</v>
      </c>
      <c r="Z234" s="153">
        <f t="shared" si="1361"/>
        <v>0</v>
      </c>
      <c r="AA234" s="153">
        <f t="shared" ref="AA234" si="1362">+AA233/AA$42</f>
        <v>0</v>
      </c>
      <c r="AB234" s="153">
        <f>+AB233/AB$42</f>
        <v>0</v>
      </c>
      <c r="AC234" s="153" t="e">
        <f>+AC233/AC$42</f>
        <v>#REF!</v>
      </c>
      <c r="AD234" s="153">
        <f>+AD233/AD$42</f>
        <v>0</v>
      </c>
      <c r="AE234" s="153">
        <f>+AE233/AE$42</f>
        <v>0</v>
      </c>
      <c r="AF234" s="153">
        <f t="shared" ref="AF234:AG234" si="1363">+AF233/AF$42</f>
        <v>0</v>
      </c>
      <c r="AG234" s="153">
        <f t="shared" si="1363"/>
        <v>0</v>
      </c>
      <c r="AH234" s="153">
        <f t="shared" ref="AH234:AI234" si="1364">+AH233/AH$42</f>
        <v>0</v>
      </c>
      <c r="AI234" s="153">
        <f t="shared" si="1364"/>
        <v>0</v>
      </c>
      <c r="AJ234" s="153">
        <f t="shared" ref="AJ234:AL234" si="1365">+AJ233/AJ$42</f>
        <v>0</v>
      </c>
      <c r="AK234" s="153">
        <f t="shared" si="1365"/>
        <v>0</v>
      </c>
      <c r="AL234" s="153">
        <f t="shared" si="1365"/>
        <v>0</v>
      </c>
      <c r="AM234" s="2564">
        <f t="shared" ref="AM234:AP234" si="1366">+AM233/AM$42</f>
        <v>-1.0430536484869917</v>
      </c>
      <c r="AN234" s="153">
        <f t="shared" si="1366"/>
        <v>0</v>
      </c>
      <c r="AO234" s="153">
        <f t="shared" si="1366"/>
        <v>0</v>
      </c>
      <c r="AP234" s="153">
        <f t="shared" si="1366"/>
        <v>-0.10219452039188885</v>
      </c>
      <c r="AQ234" s="153">
        <f t="shared" ref="AQ234:AT234" si="1367">+AQ233/AQ$42</f>
        <v>0</v>
      </c>
      <c r="AR234" s="153">
        <f t="shared" si="1367"/>
        <v>0</v>
      </c>
      <c r="AS234" s="153">
        <f t="shared" si="1367"/>
        <v>0</v>
      </c>
      <c r="AT234" s="153">
        <f t="shared" si="1367"/>
        <v>0</v>
      </c>
      <c r="AU234" s="153">
        <f t="shared" ref="AU234:AX234" si="1368">+AU233/AU$42</f>
        <v>0</v>
      </c>
      <c r="AV234" s="153">
        <f t="shared" si="1368"/>
        <v>0</v>
      </c>
      <c r="AW234" s="153">
        <f t="shared" si="1368"/>
        <v>0</v>
      </c>
      <c r="AX234" s="153">
        <f t="shared" si="1368"/>
        <v>0</v>
      </c>
      <c r="AZ234" s="153">
        <v>0</v>
      </c>
      <c r="BA234" s="1070"/>
      <c r="BD234" s="153" t="e">
        <f t="shared" ref="BD234:BI234" si="1369">+BD233/BD$42</f>
        <v>#REF!</v>
      </c>
      <c r="BE234" s="153" t="e">
        <f t="shared" si="1369"/>
        <v>#REF!</v>
      </c>
      <c r="BF234" s="153" t="e">
        <f t="shared" si="1369"/>
        <v>#REF!</v>
      </c>
      <c r="BG234" s="153" t="e">
        <f t="shared" si="1369"/>
        <v>#REF!</v>
      </c>
      <c r="BH234" s="153" t="e">
        <f t="shared" si="1369"/>
        <v>#REF!</v>
      </c>
      <c r="BI234" s="153">
        <f t="shared" si="1369"/>
        <v>0</v>
      </c>
      <c r="BJ234" s="153" t="e">
        <f t="shared" ref="BJ234:BN234" si="1370">+BJ233/BJ$42</f>
        <v>#REF!</v>
      </c>
      <c r="BK234" s="153">
        <f t="shared" si="1370"/>
        <v>0</v>
      </c>
      <c r="BL234" s="153">
        <f t="shared" si="1370"/>
        <v>0</v>
      </c>
      <c r="BM234" s="2564">
        <f t="shared" si="1370"/>
        <v>-0.1146655744961069</v>
      </c>
      <c r="BN234" s="153">
        <f t="shared" si="1370"/>
        <v>0</v>
      </c>
      <c r="BO234" s="153">
        <f t="shared" ref="BO234" si="1371">+BO233/BN$42</f>
        <v>0</v>
      </c>
      <c r="BP234" s="153">
        <f>+BP233/BO$42</f>
        <v>0.31329045124119836</v>
      </c>
      <c r="BQ234" s="153">
        <f t="shared" ref="BQ234:BS234" si="1372">+BQ233/BP$42</f>
        <v>0.27122207192156311</v>
      </c>
      <c r="BR234" s="153">
        <f t="shared" si="1372"/>
        <v>0.28075717439007608</v>
      </c>
      <c r="BS234" s="153">
        <f t="shared" si="1372"/>
        <v>0.27350500369971176</v>
      </c>
    </row>
    <row r="235" spans="1:71">
      <c r="B235" s="113" t="s">
        <v>585</v>
      </c>
    </row>
    <row r="236" spans="1:71">
      <c r="B236" s="113" t="s">
        <v>586</v>
      </c>
    </row>
    <row r="237" spans="1:71">
      <c r="B237" s="102"/>
    </row>
    <row r="238" spans="1:71">
      <c r="B238" s="294" t="s">
        <v>986</v>
      </c>
      <c r="C238" s="282" t="s">
        <v>418</v>
      </c>
      <c r="D238" s="282" t="s">
        <v>419</v>
      </c>
      <c r="E238" s="282" t="s">
        <v>420</v>
      </c>
      <c r="F238" s="282" t="s">
        <v>421</v>
      </c>
      <c r="G238" s="282" t="s">
        <v>422</v>
      </c>
      <c r="H238" s="282" t="s">
        <v>423</v>
      </c>
      <c r="I238" s="282" t="s">
        <v>424</v>
      </c>
      <c r="J238" s="282" t="s">
        <v>425</v>
      </c>
      <c r="K238" s="282" t="s">
        <v>426</v>
      </c>
      <c r="L238" s="282" t="s">
        <v>427</v>
      </c>
      <c r="M238" s="282" t="s">
        <v>428</v>
      </c>
      <c r="N238" s="282" t="s">
        <v>429</v>
      </c>
      <c r="O238" s="282" t="s">
        <v>430</v>
      </c>
      <c r="P238" s="282" t="s">
        <v>431</v>
      </c>
      <c r="Q238" s="282" t="s">
        <v>432</v>
      </c>
      <c r="R238" s="282" t="s">
        <v>433</v>
      </c>
      <c r="S238" s="282" t="s">
        <v>434</v>
      </c>
      <c r="T238" s="282" t="s">
        <v>435</v>
      </c>
      <c r="U238" s="282" t="s">
        <v>436</v>
      </c>
      <c r="V238" s="282" t="s">
        <v>437</v>
      </c>
      <c r="W238" s="282" t="s">
        <v>438</v>
      </c>
      <c r="X238" s="282" t="s">
        <v>439</v>
      </c>
      <c r="Y238" s="282" t="s">
        <v>440</v>
      </c>
      <c r="Z238" s="282" t="s">
        <v>441</v>
      </c>
      <c r="AA238" s="282" t="s">
        <v>442</v>
      </c>
      <c r="AB238" s="282" t="s">
        <v>443</v>
      </c>
      <c r="AC238" s="282" t="s">
        <v>444</v>
      </c>
      <c r="AD238" s="282" t="s">
        <v>445</v>
      </c>
      <c r="AE238" s="282" t="s">
        <v>446</v>
      </c>
      <c r="AF238" s="282" t="s">
        <v>447</v>
      </c>
      <c r="AG238" s="282" t="s">
        <v>448</v>
      </c>
      <c r="AH238" s="282" t="s">
        <v>449</v>
      </c>
      <c r="AI238" s="282" t="s">
        <v>450</v>
      </c>
      <c r="AJ238" s="282" t="s">
        <v>451</v>
      </c>
      <c r="AK238" s="282" t="s">
        <v>452</v>
      </c>
      <c r="AL238" s="282" t="s">
        <v>453</v>
      </c>
      <c r="AM238" s="282" t="str">
        <f t="shared" ref="AM238:AS238" si="1373">+AM$2</f>
        <v>1T24</v>
      </c>
      <c r="AN238" s="282" t="str">
        <f t="shared" si="1373"/>
        <v>2T24</v>
      </c>
      <c r="AO238" s="282" t="str">
        <f t="shared" si="1373"/>
        <v>3T24</v>
      </c>
      <c r="AP238" s="282" t="str">
        <f t="shared" si="1373"/>
        <v>4T24</v>
      </c>
      <c r="AQ238" s="282" t="str">
        <f t="shared" si="1373"/>
        <v>1T25</v>
      </c>
      <c r="AR238" s="282" t="str">
        <f t="shared" si="1373"/>
        <v>2T25</v>
      </c>
      <c r="AS238" s="282" t="str">
        <f t="shared" si="1373"/>
        <v>3T25</v>
      </c>
      <c r="AT238" s="282" t="str">
        <f>+AT$2</f>
        <v>4T25</v>
      </c>
      <c r="AU238" s="282" t="str">
        <f t="shared" ref="AU238:AX238" si="1374">+AU$2</f>
        <v>1T26</v>
      </c>
      <c r="AV238" s="282" t="str">
        <f t="shared" si="1374"/>
        <v>2T26</v>
      </c>
      <c r="AW238" s="282" t="str">
        <f t="shared" si="1374"/>
        <v>3T26</v>
      </c>
      <c r="AX238" s="282" t="str">
        <f t="shared" si="1374"/>
        <v>4T26</v>
      </c>
      <c r="AZ238" s="282" t="s">
        <v>457</v>
      </c>
      <c r="BD238" s="160">
        <f>+BD$2</f>
        <v>2015</v>
      </c>
      <c r="BE238" s="160">
        <f t="shared" ref="BE238:BS238" si="1375">+BE$2</f>
        <v>2016</v>
      </c>
      <c r="BF238" s="160">
        <f t="shared" si="1375"/>
        <v>2017</v>
      </c>
      <c r="BG238" s="160">
        <f t="shared" si="1375"/>
        <v>2018</v>
      </c>
      <c r="BH238" s="160">
        <f t="shared" si="1375"/>
        <v>2019</v>
      </c>
      <c r="BI238" s="160">
        <f t="shared" si="1375"/>
        <v>2020</v>
      </c>
      <c r="BJ238" s="160">
        <f t="shared" si="1375"/>
        <v>2021</v>
      </c>
      <c r="BK238" s="160">
        <f t="shared" si="1375"/>
        <v>2022</v>
      </c>
      <c r="BL238" s="160">
        <f t="shared" si="1375"/>
        <v>2023</v>
      </c>
      <c r="BM238" s="2607">
        <f t="shared" si="1375"/>
        <v>2024</v>
      </c>
      <c r="BN238" s="160">
        <f t="shared" si="1375"/>
        <v>2025</v>
      </c>
      <c r="BO238" s="160">
        <f t="shared" si="1375"/>
        <v>2026</v>
      </c>
      <c r="BP238" s="160">
        <f t="shared" si="1375"/>
        <v>2027</v>
      </c>
      <c r="BQ238" s="160">
        <f t="shared" si="1375"/>
        <v>2028</v>
      </c>
      <c r="BR238" s="160">
        <f t="shared" si="1375"/>
        <v>2029</v>
      </c>
      <c r="BS238" s="160">
        <f t="shared" si="1375"/>
        <v>2030</v>
      </c>
    </row>
    <row r="239" spans="1:71">
      <c r="B239" s="102"/>
      <c r="BM239"/>
    </row>
    <row r="240" spans="1:71">
      <c r="B240" s="102" t="s">
        <v>987</v>
      </c>
      <c r="AS240" s="146">
        <f>+AS32</f>
        <v>-205.69999999999993</v>
      </c>
      <c r="BK240" s="2665">
        <f>+BK32</f>
        <v>-2359.3000000000006</v>
      </c>
      <c r="BL240" s="2665">
        <f>+BL32</f>
        <v>-3146.6342881355999</v>
      </c>
      <c r="BM240" s="2665">
        <f>+BM32</f>
        <v>190.12794731501651</v>
      </c>
      <c r="BN240" s="1002">
        <f>+BN32</f>
        <v>420.18672610834994</v>
      </c>
      <c r="BO240" s="1002">
        <f>+BO32</f>
        <v>1031.6003016572531</v>
      </c>
      <c r="BP240" s="1002">
        <f>+BP32</f>
        <v>1268.985438871468</v>
      </c>
      <c r="BQ240" s="1002">
        <f>+BQ32</f>
        <v>1416.0287887738746</v>
      </c>
      <c r="BR240" s="1002">
        <f>+BR32</f>
        <v>1639.770669176208</v>
      </c>
      <c r="BS240" s="1002">
        <f>+BS32</f>
        <v>1820.17072644577</v>
      </c>
    </row>
    <row r="241" spans="2:72">
      <c r="B241" s="102"/>
      <c r="BK241" s="2665"/>
      <c r="BL241" s="2665"/>
      <c r="BM241" s="2665"/>
      <c r="BN241" s="1002"/>
      <c r="BO241" s="1002"/>
    </row>
    <row r="242" spans="2:72" s="105" customFormat="1">
      <c r="B242" s="1017" t="s">
        <v>988</v>
      </c>
      <c r="AM242" s="2664"/>
      <c r="BA242" s="1070"/>
      <c r="BK242" s="2667">
        <v>-2168.6179999999999</v>
      </c>
      <c r="BL242" s="2667">
        <v>-2668.3470000000002</v>
      </c>
      <c r="BM242" s="2676">
        <v>1050.1769999999999</v>
      </c>
      <c r="BN242" s="2676">
        <v>549.04999999999995</v>
      </c>
      <c r="BO242" s="2667">
        <f>+BO240</f>
        <v>1031.6003016572531</v>
      </c>
      <c r="BP242" s="2667">
        <f t="shared" ref="BP242:BS242" si="1376">+BP240</f>
        <v>1268.985438871468</v>
      </c>
      <c r="BQ242" s="2667">
        <f t="shared" si="1376"/>
        <v>1416.0287887738746</v>
      </c>
      <c r="BR242" s="2667">
        <f t="shared" si="1376"/>
        <v>1639.770669176208</v>
      </c>
      <c r="BS242" s="2667">
        <f t="shared" si="1376"/>
        <v>1820.17072644577</v>
      </c>
    </row>
    <row r="243" spans="2:72">
      <c r="B243" s="104">
        <v>0.34</v>
      </c>
      <c r="AS243">
        <f>+AS240*-$B$243</f>
        <v>69.937999999999988</v>
      </c>
      <c r="BK243" s="303">
        <f>+BK242*-$B$243</f>
        <v>737.33012000000008</v>
      </c>
      <c r="BL243" s="303">
        <f>+BL242*-$B$243</f>
        <v>907.23798000000011</v>
      </c>
      <c r="BM243" s="303">
        <f>+BM242*-$B$243</f>
        <v>-357.06018</v>
      </c>
      <c r="BN243" s="303">
        <f>+BN242*-$B$243</f>
        <v>-186.67699999999999</v>
      </c>
      <c r="BO243" s="695">
        <f>+BO242*-$B$243</f>
        <v>-350.74410256346607</v>
      </c>
      <c r="BP243" s="695">
        <f t="shared" ref="BP243:BS243" si="1377">+BP242*-$B$243</f>
        <v>-431.45504921629913</v>
      </c>
      <c r="BQ243" s="695">
        <f t="shared" si="1377"/>
        <v>-481.44978818311739</v>
      </c>
      <c r="BR243" s="695">
        <f t="shared" si="1377"/>
        <v>-557.52202751991081</v>
      </c>
      <c r="BS243" s="695">
        <f t="shared" si="1377"/>
        <v>-618.85804699156188</v>
      </c>
    </row>
    <row r="244" spans="2:72">
      <c r="B244" s="104"/>
      <c r="BK244" s="2666"/>
      <c r="BL244" s="2666"/>
      <c r="BM244" s="2666"/>
      <c r="BN244" s="70"/>
      <c r="BO244" s="688"/>
      <c r="BP244" s="688"/>
      <c r="BQ244" s="688"/>
      <c r="BR244" s="688"/>
      <c r="BS244" s="688"/>
    </row>
    <row r="245" spans="2:72">
      <c r="B245" s="102" t="s">
        <v>989</v>
      </c>
      <c r="BK245" s="2675">
        <v>207.608</v>
      </c>
      <c r="BL245" s="2675">
        <v>427.89699999999999</v>
      </c>
      <c r="BM245" s="2675">
        <v>216.88300000000001</v>
      </c>
      <c r="BN245" s="2675">
        <v>206.78200000000001</v>
      </c>
      <c r="BO245" s="695">
        <f>+BO260*0.34</f>
        <v>201.84439844861956</v>
      </c>
      <c r="BP245" s="695">
        <f t="shared" ref="BP245:BS245" si="1378">+BP260*0.34</f>
        <v>210.87863002325611</v>
      </c>
      <c r="BQ245" s="695">
        <f t="shared" si="1378"/>
        <v>219.04810716485096</v>
      </c>
      <c r="BR245" s="695">
        <f t="shared" si="1378"/>
        <v>227.46161162853812</v>
      </c>
      <c r="BS245" s="695">
        <f t="shared" si="1378"/>
        <v>235.57078647706618</v>
      </c>
    </row>
    <row r="246" spans="2:72">
      <c r="B246" t="s">
        <v>990</v>
      </c>
      <c r="BK246" s="2675">
        <v>-103.447</v>
      </c>
      <c r="BL246" s="2675">
        <v>-147.26499999999999</v>
      </c>
      <c r="BM246" s="2675">
        <v>12.157999999999999</v>
      </c>
      <c r="BN246" s="2675">
        <v>-159.06299999999999</v>
      </c>
      <c r="BO246" s="303"/>
      <c r="BP246" s="303"/>
      <c r="BQ246" s="303"/>
      <c r="BR246" s="303"/>
      <c r="BS246" s="303"/>
    </row>
    <row r="247" spans="2:72">
      <c r="B247" t="s">
        <v>991</v>
      </c>
      <c r="BK247" s="2675">
        <v>56.125999999999998</v>
      </c>
      <c r="BL247" s="2675">
        <v>-49.264000000000003</v>
      </c>
      <c r="BM247" s="2675">
        <v>-7.6520000000000001</v>
      </c>
      <c r="BN247" s="2675">
        <v>-37.387</v>
      </c>
      <c r="BO247" s="303"/>
      <c r="BP247" s="303"/>
      <c r="BQ247" s="303"/>
      <c r="BR247" s="303"/>
      <c r="BS247" s="303"/>
    </row>
    <row r="248" spans="2:72">
      <c r="B248" t="s">
        <v>1003</v>
      </c>
      <c r="BK248" s="2675">
        <v>-762.36199999999997</v>
      </c>
      <c r="BL248" s="2675">
        <v>-642.60799999999995</v>
      </c>
      <c r="BM248" s="2675">
        <v>0</v>
      </c>
      <c r="BN248" s="2675">
        <v>0</v>
      </c>
      <c r="BO248" s="303"/>
      <c r="BP248" s="303"/>
      <c r="BQ248" s="303"/>
      <c r="BR248" s="303"/>
      <c r="BS248" s="303"/>
    </row>
    <row r="249" spans="2:72">
      <c r="B249" t="s">
        <v>992</v>
      </c>
      <c r="BK249" s="2675">
        <v>5.1999999999999998E-2</v>
      </c>
      <c r="BL249" s="2675">
        <v>0</v>
      </c>
      <c r="BM249" s="2675">
        <v>-107.703</v>
      </c>
      <c r="BN249" s="2675">
        <v>148.36199999999999</v>
      </c>
      <c r="BO249" s="303"/>
      <c r="BP249" s="303"/>
      <c r="BQ249" s="303"/>
      <c r="BR249" s="303"/>
      <c r="BS249" s="303"/>
    </row>
    <row r="250" spans="2:72">
      <c r="B250" t="s">
        <v>993</v>
      </c>
      <c r="BK250" s="2675">
        <v>0</v>
      </c>
      <c r="BL250" s="2675">
        <v>0</v>
      </c>
      <c r="BM250" s="2675">
        <v>110.081</v>
      </c>
      <c r="BN250" s="2675">
        <v>-69.686000000000007</v>
      </c>
      <c r="BO250" s="303"/>
      <c r="BP250" s="303"/>
      <c r="BQ250" s="303"/>
      <c r="BR250" s="303"/>
      <c r="BS250" s="303"/>
    </row>
    <row r="251" spans="2:72">
      <c r="B251" t="s">
        <v>994</v>
      </c>
      <c r="BK251" s="2675">
        <v>0</v>
      </c>
      <c r="BL251" s="2675">
        <v>0</v>
      </c>
      <c r="BM251" s="2675">
        <v>138.33199999999999</v>
      </c>
      <c r="BN251" s="2675">
        <v>0</v>
      </c>
      <c r="BO251" s="695">
        <f>+BO224*0.34</f>
        <v>0</v>
      </c>
      <c r="BP251" s="695">
        <f t="shared" ref="BP251:BS251" si="1379">+BP224*0.34</f>
        <v>108.93956226174825</v>
      </c>
      <c r="BQ251" s="695">
        <f t="shared" si="1379"/>
        <v>119.6380515385431</v>
      </c>
      <c r="BR251" s="695">
        <f t="shared" si="1379"/>
        <v>134.90915504112627</v>
      </c>
      <c r="BS251" s="695">
        <f t="shared" si="1379"/>
        <v>147.35887241075397</v>
      </c>
    </row>
    <row r="252" spans="2:72">
      <c r="B252" t="s">
        <v>995</v>
      </c>
      <c r="BK252" s="2675">
        <v>-35.616</v>
      </c>
      <c r="BL252" s="2675">
        <v>-27.135999999999999</v>
      </c>
      <c r="BM252" s="2675">
        <v>-31.003</v>
      </c>
      <c r="BN252" s="2675">
        <v>-27.341999999999999</v>
      </c>
      <c r="BO252" s="303"/>
      <c r="BP252" s="303"/>
      <c r="BQ252" s="303"/>
      <c r="BR252" s="303"/>
      <c r="BS252" s="303"/>
    </row>
    <row r="253" spans="2:72">
      <c r="B253" t="s">
        <v>996</v>
      </c>
      <c r="BK253" s="2675">
        <v>-70.73</v>
      </c>
      <c r="BL253" s="2675">
        <v>-225.72300000000001</v>
      </c>
      <c r="BM253" s="2675">
        <v>0</v>
      </c>
      <c r="BN253" s="2675">
        <v>140.02600000000001</v>
      </c>
      <c r="BO253" s="2668">
        <f>+BO266*0.34</f>
        <v>140.02600000000001</v>
      </c>
      <c r="BP253" s="2668">
        <f t="shared" ref="BP253:BR253" si="1380">+BP266*0.34</f>
        <v>140.02600000000001</v>
      </c>
      <c r="BQ253" s="2668">
        <f t="shared" si="1380"/>
        <v>140.02600000000001</v>
      </c>
      <c r="BR253" s="2668">
        <f t="shared" si="1380"/>
        <v>140.02600000000001</v>
      </c>
      <c r="BS253" s="2668">
        <v>0</v>
      </c>
      <c r="BT253" t="s">
        <v>1001</v>
      </c>
    </row>
    <row r="254" spans="2:72">
      <c r="B254" t="s">
        <v>997</v>
      </c>
      <c r="BK254" s="2675">
        <f>-61.193-60.121</f>
        <v>-121.31399999999999</v>
      </c>
      <c r="BL254" s="2675">
        <f>-113.976-42.763</f>
        <v>-156.739</v>
      </c>
      <c r="BM254" s="2675">
        <v>5.0949999999999998</v>
      </c>
      <c r="BN254" s="2675">
        <v>-35.085000000000001</v>
      </c>
      <c r="BO254" s="303"/>
      <c r="BP254" s="303"/>
      <c r="BQ254" s="303"/>
      <c r="BR254" s="303"/>
      <c r="BS254" s="303"/>
    </row>
    <row r="255" spans="2:72">
      <c r="B255"/>
      <c r="BM255"/>
    </row>
    <row r="256" spans="2:72" s="105" customFormat="1">
      <c r="B256" s="105" t="s">
        <v>998</v>
      </c>
      <c r="AM256" s="2664"/>
      <c r="BA256" s="1070"/>
      <c r="BK256" s="2667">
        <f>+BK243+BK245+BK246+BK247+BK249+BK250+BK251+BK252+BK253+BK254+BK248</f>
        <v>-92.352879999999914</v>
      </c>
      <c r="BL256" s="2667">
        <f>+BL243+BL245+BL246+BL247+BL249+BL250+BL251+BL252+BL253+BL254+BL248</f>
        <v>86.399980000000141</v>
      </c>
      <c r="BM256" s="2667">
        <f t="shared" ref="BM256:BS256" si="1381">+BM243+BM245+BM246+BM247+BM249+BM250+BM251+BM252+BM253+BM254+BM248</f>
        <v>-20.869180000000014</v>
      </c>
      <c r="BN256" s="2667">
        <f t="shared" si="1381"/>
        <v>-20.069999999999972</v>
      </c>
      <c r="BO256" s="2667">
        <f t="shared" si="1381"/>
        <v>-8.8737041148465039</v>
      </c>
      <c r="BP256" s="2667">
        <f t="shared" si="1381"/>
        <v>28.389143068705238</v>
      </c>
      <c r="BQ256" s="2667">
        <f t="shared" si="1381"/>
        <v>-2.7376294797233527</v>
      </c>
      <c r="BR256" s="2667">
        <f t="shared" si="1381"/>
        <v>-55.125260850246434</v>
      </c>
      <c r="BS256" s="2667">
        <f t="shared" si="1381"/>
        <v>-235.92838810374172</v>
      </c>
    </row>
    <row r="257" spans="2:71">
      <c r="B257" t="s">
        <v>999</v>
      </c>
      <c r="BK257" s="2627">
        <f>+BK256/BK242</f>
        <v>4.258605249979476E-2</v>
      </c>
      <c r="BL257" s="2627">
        <f>+BL256/BL242</f>
        <v>-3.2379589311285276E-2</v>
      </c>
      <c r="BM257" s="2627">
        <f>+BM256/BM242</f>
        <v>-1.9872059662323603E-2</v>
      </c>
      <c r="BN257" s="2627">
        <f>+BN256/BN242</f>
        <v>-3.655404790091972E-2</v>
      </c>
      <c r="BO257" s="2627">
        <f>+BO256/BO242</f>
        <v>-8.6018820473307417E-3</v>
      </c>
      <c r="BP257" s="2627">
        <f t="shared" ref="BP257:BS257" si="1382">+BP256/BP242</f>
        <v>2.2371527835616634E-2</v>
      </c>
      <c r="BQ257" s="2627">
        <f t="shared" si="1382"/>
        <v>-1.9333148460165413E-3</v>
      </c>
      <c r="BR257" s="2627">
        <f t="shared" si="1382"/>
        <v>-3.3617664888432479E-2</v>
      </c>
      <c r="BS257" s="2627">
        <f t="shared" si="1382"/>
        <v>-0.12961882348500178</v>
      </c>
    </row>
    <row r="258" spans="2:71">
      <c r="B258" s="102"/>
      <c r="BM258"/>
    </row>
    <row r="259" spans="2:71">
      <c r="B259" s="102"/>
      <c r="BM259"/>
      <c r="BO259" s="688"/>
    </row>
    <row r="260" spans="2:71">
      <c r="B260" s="102" t="s">
        <v>1000</v>
      </c>
      <c r="BK260" s="303">
        <f>+BK245/0.34</f>
        <v>610.61176470588236</v>
      </c>
      <c r="BL260" s="303">
        <f>+BL245/0.34</f>
        <v>1258.5205882352941</v>
      </c>
      <c r="BM260" s="303">
        <f>+BM245/0.34</f>
        <v>637.89117647058822</v>
      </c>
      <c r="BN260" s="303">
        <f>+BN245/0.34</f>
        <v>608.18235294117642</v>
      </c>
      <c r="BO260" s="695">
        <f>+BO261*BO5</f>
        <v>593.65999543711632</v>
      </c>
      <c r="BP260" s="695">
        <f>+BP261*BP5</f>
        <v>620.23126477428264</v>
      </c>
      <c r="BQ260" s="695">
        <f>+BQ261*BQ5</f>
        <v>644.25913872014985</v>
      </c>
      <c r="BR260" s="695">
        <f>+BR261*BR5</f>
        <v>669.00474008393564</v>
      </c>
      <c r="BS260" s="695">
        <f>+BS261*BS5</f>
        <v>692.85525434431224</v>
      </c>
    </row>
    <row r="261" spans="2:71">
      <c r="B261" s="102" t="s">
        <v>474</v>
      </c>
      <c r="BK261" s="2627">
        <f>+BK260/BK5</f>
        <v>1.6798492530946552E-2</v>
      </c>
      <c r="BL261" s="2627">
        <f>+BL260/BL5</f>
        <v>4.3064041319621146E-2</v>
      </c>
      <c r="BM261" s="2627">
        <f>+BM260/BM5</f>
        <v>2.7222057488513744E-2</v>
      </c>
      <c r="BN261" s="2627">
        <f>+BN260/BN5</f>
        <v>2.7374089215215874E-2</v>
      </c>
      <c r="BO261" s="154">
        <f>+BN261</f>
        <v>2.7374089215215874E-2</v>
      </c>
      <c r="BP261" s="154">
        <f t="shared" ref="BP261:BS261" si="1383">+BO261</f>
        <v>2.7374089215215874E-2</v>
      </c>
      <c r="BQ261" s="154">
        <f t="shared" si="1383"/>
        <v>2.7374089215215874E-2</v>
      </c>
      <c r="BR261" s="154">
        <f t="shared" si="1383"/>
        <v>2.7374089215215874E-2</v>
      </c>
      <c r="BS261" s="154">
        <f t="shared" si="1383"/>
        <v>2.7374089215215874E-2</v>
      </c>
    </row>
    <row r="262" spans="2:71">
      <c r="B262" s="102"/>
      <c r="BM262"/>
    </row>
    <row r="263" spans="2:71">
      <c r="B263" s="102"/>
      <c r="BM263"/>
    </row>
    <row r="264" spans="2:71">
      <c r="B264" s="102"/>
      <c r="BM264"/>
    </row>
    <row r="265" spans="2:71">
      <c r="B265" s="102" t="s">
        <v>1002</v>
      </c>
      <c r="BM265"/>
      <c r="BN265" s="70">
        <v>4442.5439999999999</v>
      </c>
      <c r="BO265" s="70">
        <f>+BN265-BN266</f>
        <v>4030.7028235294115</v>
      </c>
      <c r="BP265" s="70">
        <f t="shared" ref="BP265:BS265" si="1384">+BO265-BO266</f>
        <v>3618.8616470588231</v>
      </c>
      <c r="BQ265" s="70">
        <f t="shared" si="1384"/>
        <v>3207.0204705882347</v>
      </c>
      <c r="BR265" s="70">
        <f t="shared" si="1384"/>
        <v>2795.1792941176464</v>
      </c>
      <c r="BS265" s="70">
        <f t="shared" si="1384"/>
        <v>2383.338117647058</v>
      </c>
    </row>
    <row r="266" spans="2:71">
      <c r="B266" s="102"/>
      <c r="BM266"/>
      <c r="BN266" s="70">
        <f>+BN253/0.34</f>
        <v>411.84117647058821</v>
      </c>
      <c r="BO266" s="2283">
        <f>+BN266</f>
        <v>411.84117647058821</v>
      </c>
      <c r="BP266" s="2283">
        <f t="shared" ref="BP266:BS266" si="1385">+BO266</f>
        <v>411.84117647058821</v>
      </c>
      <c r="BQ266" s="2283">
        <f t="shared" si="1385"/>
        <v>411.84117647058821</v>
      </c>
      <c r="BR266" s="2283">
        <f t="shared" si="1385"/>
        <v>411.84117647058821</v>
      </c>
      <c r="BS266" s="2283">
        <f t="shared" si="1385"/>
        <v>411.84117647058821</v>
      </c>
    </row>
    <row r="267" spans="2:71">
      <c r="B267" s="102"/>
      <c r="BM267"/>
      <c r="BN267" s="140">
        <f>+BN266/BN265</f>
        <v>9.270390489561571E-2</v>
      </c>
      <c r="BO267" s="140">
        <f t="shared" ref="BO267:BS267" si="1386">+BO266/BO265</f>
        <v>0.1021760210319765</v>
      </c>
      <c r="BP267" s="140">
        <f t="shared" si="1386"/>
        <v>0.11380406786352446</v>
      </c>
      <c r="BQ267" s="140">
        <f t="shared" si="1386"/>
        <v>0.12841863039154469</v>
      </c>
      <c r="BR267" s="140">
        <f t="shared" si="1386"/>
        <v>0.1473398065509762</v>
      </c>
      <c r="BS267" s="140">
        <f t="shared" si="1386"/>
        <v>0.17280014674425503</v>
      </c>
    </row>
    <row r="268" spans="2:71">
      <c r="B268" s="102"/>
      <c r="BM268"/>
    </row>
    <row r="269" spans="2:71">
      <c r="B269" s="294" t="s">
        <v>588</v>
      </c>
      <c r="C269" s="282" t="s">
        <v>418</v>
      </c>
      <c r="D269" s="282" t="s">
        <v>419</v>
      </c>
      <c r="E269" s="282" t="s">
        <v>420</v>
      </c>
      <c r="F269" s="282" t="s">
        <v>421</v>
      </c>
      <c r="G269" s="282" t="s">
        <v>422</v>
      </c>
      <c r="H269" s="282" t="s">
        <v>423</v>
      </c>
      <c r="I269" s="282" t="s">
        <v>424</v>
      </c>
      <c r="J269" s="282" t="s">
        <v>425</v>
      </c>
      <c r="K269" s="282" t="s">
        <v>426</v>
      </c>
      <c r="L269" s="282" t="s">
        <v>427</v>
      </c>
      <c r="M269" s="282" t="s">
        <v>428</v>
      </c>
      <c r="N269" s="282" t="s">
        <v>429</v>
      </c>
      <c r="O269" s="282" t="s">
        <v>430</v>
      </c>
      <c r="P269" s="282" t="s">
        <v>431</v>
      </c>
      <c r="Q269" s="282" t="s">
        <v>432</v>
      </c>
      <c r="R269" s="282" t="s">
        <v>433</v>
      </c>
      <c r="S269" s="282" t="s">
        <v>434</v>
      </c>
      <c r="T269" s="282" t="s">
        <v>435</v>
      </c>
      <c r="U269" s="282" t="s">
        <v>436</v>
      </c>
      <c r="V269" s="282" t="s">
        <v>437</v>
      </c>
      <c r="W269" s="282" t="s">
        <v>438</v>
      </c>
      <c r="X269" s="282" t="s">
        <v>439</v>
      </c>
      <c r="Y269" s="282" t="s">
        <v>440</v>
      </c>
      <c r="Z269" s="282" t="s">
        <v>441</v>
      </c>
      <c r="AA269" s="282" t="s">
        <v>442</v>
      </c>
      <c r="AB269" s="282" t="s">
        <v>443</v>
      </c>
      <c r="AC269" s="282" t="s">
        <v>444</v>
      </c>
      <c r="AD269" s="282" t="s">
        <v>445</v>
      </c>
      <c r="AE269" s="282" t="s">
        <v>446</v>
      </c>
      <c r="AF269" s="282" t="s">
        <v>447</v>
      </c>
      <c r="AG269" s="282" t="s">
        <v>448</v>
      </c>
      <c r="AH269" s="282" t="s">
        <v>449</v>
      </c>
      <c r="AI269" s="282" t="s">
        <v>450</v>
      </c>
      <c r="AJ269" s="282" t="s">
        <v>451</v>
      </c>
      <c r="AK269" s="282" t="s">
        <v>452</v>
      </c>
      <c r="AL269" s="282" t="s">
        <v>453</v>
      </c>
      <c r="AM269" s="2508" t="s">
        <v>454</v>
      </c>
      <c r="AN269" s="282" t="s">
        <v>455</v>
      </c>
      <c r="AO269" s="282" t="s">
        <v>456</v>
      </c>
      <c r="AP269" s="282" t="s">
        <v>457</v>
      </c>
      <c r="AQ269" s="282" t="s">
        <v>457</v>
      </c>
      <c r="AR269" s="282" t="s">
        <v>457</v>
      </c>
      <c r="AS269" s="282" t="s">
        <v>457</v>
      </c>
      <c r="AT269" s="282" t="s">
        <v>457</v>
      </c>
      <c r="AU269" s="282" t="s">
        <v>457</v>
      </c>
      <c r="AV269" s="282" t="s">
        <v>457</v>
      </c>
      <c r="AW269" s="282" t="s">
        <v>457</v>
      </c>
      <c r="AX269" s="282" t="s">
        <v>457</v>
      </c>
      <c r="AZ269" s="282" t="s">
        <v>457</v>
      </c>
      <c r="BD269" s="160">
        <f>+BD$2</f>
        <v>2015</v>
      </c>
      <c r="BE269" s="160">
        <f t="shared" ref="BE269:BS269" si="1387">+BE$2</f>
        <v>2016</v>
      </c>
      <c r="BF269" s="160">
        <f t="shared" si="1387"/>
        <v>2017</v>
      </c>
      <c r="BG269" s="160">
        <f t="shared" si="1387"/>
        <v>2018</v>
      </c>
      <c r="BH269" s="160">
        <f t="shared" si="1387"/>
        <v>2019</v>
      </c>
      <c r="BI269" s="160">
        <f t="shared" si="1387"/>
        <v>2020</v>
      </c>
      <c r="BJ269" s="160">
        <f t="shared" si="1387"/>
        <v>2021</v>
      </c>
      <c r="BK269" s="160">
        <f t="shared" si="1387"/>
        <v>2022</v>
      </c>
      <c r="BL269" s="160">
        <f t="shared" si="1387"/>
        <v>2023</v>
      </c>
      <c r="BM269" s="2607">
        <f t="shared" si="1387"/>
        <v>2024</v>
      </c>
      <c r="BN269" s="160">
        <f t="shared" si="1387"/>
        <v>2025</v>
      </c>
      <c r="BO269" s="160">
        <f t="shared" si="1387"/>
        <v>2026</v>
      </c>
      <c r="BP269" s="160">
        <f t="shared" si="1387"/>
        <v>2027</v>
      </c>
      <c r="BQ269" s="160">
        <f t="shared" si="1387"/>
        <v>2028</v>
      </c>
      <c r="BR269" s="160">
        <f t="shared" si="1387"/>
        <v>2029</v>
      </c>
      <c r="BS269" s="160">
        <f t="shared" si="1387"/>
        <v>2030</v>
      </c>
    </row>
    <row r="270" spans="2:71">
      <c r="B270" s="296"/>
      <c r="BD270" s="275"/>
      <c r="BE270" s="275"/>
      <c r="BF270" s="275"/>
      <c r="BG270" s="275"/>
      <c r="BH270" s="275"/>
      <c r="BI270" s="275"/>
      <c r="BJ270" s="275"/>
      <c r="BK270" s="275"/>
      <c r="BL270" s="275"/>
      <c r="BM270" s="2612"/>
      <c r="BN270" s="275"/>
      <c r="BO270" s="275"/>
      <c r="BP270" s="275"/>
      <c r="BQ270" s="275"/>
      <c r="BR270" s="275"/>
      <c r="BS270" s="275"/>
    </row>
    <row r="271" spans="2:71">
      <c r="B271" s="113" t="s">
        <v>160</v>
      </c>
      <c r="C271" s="263" t="e">
        <f>+C42/AVERAGE(B140:C140)*4</f>
        <v>#REF!</v>
      </c>
      <c r="D271" s="263" t="e">
        <f>+D42/AVERAGE(C140:D140)*4</f>
        <v>#REF!</v>
      </c>
      <c r="E271" s="263" t="e">
        <f>+E42/AVERAGE(D140:E140)*4</f>
        <v>#REF!</v>
      </c>
      <c r="F271" s="263" t="e">
        <f>+F42/AVERAGE(E140:F140)*4</f>
        <v>#REF!</v>
      </c>
      <c r="G271" s="263" t="e">
        <f>+G42/AVERAGE(F140:G140)*4</f>
        <v>#REF!</v>
      </c>
      <c r="H271" s="263" t="e">
        <f>+H42/AVERAGE(G140:H140)*4</f>
        <v>#REF!</v>
      </c>
      <c r="I271" s="263" t="e">
        <f>+I42/AVERAGE(H140:I140)*4</f>
        <v>#REF!</v>
      </c>
      <c r="J271" s="263" t="e">
        <f>+J42/AVERAGE(I140:J140)*4</f>
        <v>#REF!</v>
      </c>
      <c r="K271" s="263" t="e">
        <f>+K42/AVERAGE(J140:K140)*4</f>
        <v>#REF!</v>
      </c>
      <c r="L271" s="263" t="e">
        <f>+L42/AVERAGE(K140:L140)*4</f>
        <v>#REF!</v>
      </c>
      <c r="M271" s="263" t="e">
        <f>+M42/AVERAGE(L140:M140)*4</f>
        <v>#REF!</v>
      </c>
      <c r="N271" s="263" t="e">
        <f>+N42/AVERAGE(M140:N140)*4</f>
        <v>#REF!</v>
      </c>
      <c r="O271" s="263" t="e">
        <f>+O42/AVERAGE(N140:O140)*4</f>
        <v>#REF!</v>
      </c>
      <c r="P271" s="263" t="e">
        <f>+P42/AVERAGE(O140:P140)*4</f>
        <v>#REF!</v>
      </c>
      <c r="Q271" s="263" t="e">
        <f>+Q42/AVERAGE(P140:Q140)*4</f>
        <v>#REF!</v>
      </c>
      <c r="R271" s="263" t="e">
        <f>+R42/AVERAGE(Q140:R140)*4</f>
        <v>#REF!</v>
      </c>
      <c r="S271" s="263" t="e">
        <f>+S42/AVERAGE(R140:S140)*4</f>
        <v>#REF!</v>
      </c>
      <c r="T271" s="263" t="e">
        <f>+T42/AVERAGE(S140:T140)*4</f>
        <v>#REF!</v>
      </c>
      <c r="U271" s="263">
        <f>+U42/AVERAGE(T140:U140)*4</f>
        <v>8.8656686188855055E-2</v>
      </c>
      <c r="V271" s="263">
        <f>+V42/AVERAGE(U140:V140)*4</f>
        <v>3.5716821282826077</v>
      </c>
      <c r="W271" s="263">
        <f>+W42/AVERAGE(V140:W140)*4</f>
        <v>-0.2807130402397115</v>
      </c>
      <c r="X271" s="263">
        <f>+X42/AVERAGE(W140:X140)*4</f>
        <v>-7.2771231645741272E-2</v>
      </c>
      <c r="Y271" s="263">
        <f>+Y42/AVERAGE(X140:Y140)*4</f>
        <v>6.2517112157521884E-2</v>
      </c>
      <c r="Z271" s="263">
        <f>+Z42/AVERAGE(Y140:Z140)*4</f>
        <v>2.6802758790566029E-2</v>
      </c>
      <c r="AA271" s="263">
        <f>+AA42/AVERAGE(Z140:AA140)*4</f>
        <v>-2.2549040595408951E-2</v>
      </c>
      <c r="AB271" s="263">
        <f>+AB42/AVERAGE(AA140:AB140)*4</f>
        <v>3.3365877426943906E-2</v>
      </c>
      <c r="AC271" s="263" t="e">
        <f>+AC42/AVERAGE(AB140:AC140)*4</f>
        <v>#REF!</v>
      </c>
      <c r="AD271" s="263">
        <f>+AD42/AVERAGE(AC140:AD140)*4</f>
        <v>9.8660226436506571E-2</v>
      </c>
      <c r="AE271" s="263">
        <f>+AE42/AVERAGE(AD140:AE140)*4</f>
        <v>-9.7969160261612814E-2</v>
      </c>
      <c r="AF271" s="263">
        <f>+AF42/AVERAGE(AE140:AF140)*4</f>
        <v>-0.12770898799242514</v>
      </c>
      <c r="AG271" s="263">
        <f>+AG42/AVERAGE(AF140:AG140)*4</f>
        <v>-9.4764285910949861E-2</v>
      </c>
      <c r="AH271" s="263">
        <f>+AH42/AVERAGE(AG140:AH140)*4</f>
        <v>-0.15721892329045808</v>
      </c>
      <c r="AI271" s="263">
        <f>+AI42/AVERAGE(AH140:AI140)*4</f>
        <v>-0.11761734219808595</v>
      </c>
      <c r="AJ271" s="263">
        <f>+AJ42/AVERAGE(AI140:AJ140)*4</f>
        <v>-0.13758867598597449</v>
      </c>
      <c r="AK271" s="263">
        <f>+AK42/AVERAGE(AJ140:AK140)*4</f>
        <v>1.1567842216869453</v>
      </c>
      <c r="AL271" s="263">
        <f>+AL42/AVERAGE(AK140:AL140)*4</f>
        <v>-0.41630045978764879</v>
      </c>
      <c r="AM271" s="1994">
        <f>+AM42/AVERAGE(AL140:AM140)*4</f>
        <v>-0.23089120012897815</v>
      </c>
      <c r="AN271" s="263">
        <f>+AN42/AVERAGE(AM140:AN140)*4</f>
        <v>-0.37208039385579567</v>
      </c>
      <c r="AO271" s="263">
        <f>+AO42/AVERAGE(AN140:AO140)*4</f>
        <v>-2.9237762683992137</v>
      </c>
      <c r="AP271" s="263">
        <f>+AP42/AVERAGE(AO140:AP140)*4</f>
        <v>-0.19004597919767266</v>
      </c>
      <c r="AQ271" s="263">
        <f>+AQ42/AVERAGE(AP140:AQ140)*4</f>
        <v>-6.5655174018981077E-2</v>
      </c>
      <c r="AR271" s="263">
        <f>+AR42/AVERAGE(AQ140:AR140)*4</f>
        <v>8.3891765654670325E-2</v>
      </c>
      <c r="AS271" s="263">
        <f>+AS42/AVERAGE(AR140:AS140)*4</f>
        <v>-0.68484131290465178</v>
      </c>
      <c r="AT271" s="263">
        <f>+AT42/AVERAGE(AS140:AT140)*4</f>
        <v>-9.8702663415269745E-2</v>
      </c>
      <c r="AU271" s="263">
        <f>+AU42/AVERAGE(AT140:AU140)*4</f>
        <v>7.4447472381357335E-2</v>
      </c>
      <c r="AV271" s="263">
        <f>+AV42/AVERAGE(AU140:AV140)*4</f>
        <v>5.7095135083792443E-2</v>
      </c>
      <c r="AW271" s="263">
        <f>+AW42/AVERAGE(AV140:AW140)*4</f>
        <v>4.919146430905337E-2</v>
      </c>
      <c r="AX271" s="263">
        <f>+AX42/AVERAGE(AW140:AX140)*4</f>
        <v>0.12269606194477697</v>
      </c>
      <c r="AZ271" s="263">
        <v>2.6471672768083977E-2</v>
      </c>
      <c r="BD271" s="263" t="e">
        <f>+BD42/AVERAGE(BD140:BD140)</f>
        <v>#REF!</v>
      </c>
      <c r="BE271" s="263" t="e">
        <f>+BE42/AVERAGE(BD140:BE140)</f>
        <v>#REF!</v>
      </c>
      <c r="BF271" s="263" t="e">
        <f>+BF42/AVERAGE(BE140:BF140)</f>
        <v>#REF!</v>
      </c>
      <c r="BG271" s="263" t="e">
        <f>+BG42/AVERAGE(BF140:BG140)</f>
        <v>#REF!</v>
      </c>
      <c r="BH271" s="263" t="e">
        <f>+BH42/AVERAGE(BG140:BH140)</f>
        <v>#REF!</v>
      </c>
      <c r="BI271" s="263">
        <f>+BI42/AVERAGE(BH140:BI140)</f>
        <v>-4.4059544498903105E-2</v>
      </c>
      <c r="BJ271" s="263" t="e">
        <f>+BJ42/AVERAGE(BI140:BJ140)</f>
        <v>#REF!</v>
      </c>
      <c r="BK271" s="263">
        <f>+BK42/AVERAGE(BJ140:BK140)</f>
        <v>-0.11235831385875709</v>
      </c>
      <c r="BL271" s="263">
        <f>+BL42/AVERAGE(BK140:BL140)</f>
        <v>0.13113122935231386</v>
      </c>
      <c r="BM271" s="1994">
        <f>+BM42/AVERAGE(BL140:BM140)</f>
        <v>-0.55275215977691916</v>
      </c>
      <c r="BN271" s="263">
        <f>+BN42/AVERAGE(BM140:BN140)</f>
        <v>-0.19856226658102802</v>
      </c>
      <c r="BO271" s="263">
        <f>+BO42/AVERAGE(BN140:BO140)</f>
        <v>7.5824513619419567E-2</v>
      </c>
      <c r="BP271" s="263">
        <f>+BP42/AVERAGE(BO140:BP140)</f>
        <v>8.9548720785357222E-2</v>
      </c>
      <c r="BQ271" s="263">
        <f>+BQ42/AVERAGE(BP140:BQ140)</f>
        <v>9.1138280713277009E-2</v>
      </c>
      <c r="BR271" s="263">
        <f>+BR42/AVERAGE(BQ140:BR140)</f>
        <v>9.5278377706794828E-2</v>
      </c>
      <c r="BS271" s="263">
        <f>+BS42/AVERAGE(BR140:BS140)</f>
        <v>8.89969489434142E-2</v>
      </c>
    </row>
    <row r="272" spans="2:71">
      <c r="B272" s="129" t="s">
        <v>81</v>
      </c>
      <c r="C272" s="262" t="e">
        <f>+C62/AVERAGE(B145:C145)*4</f>
        <v>#REF!</v>
      </c>
      <c r="D272" s="262" t="e">
        <f>+D62/AVERAGE(C145:D145)*4</f>
        <v>#REF!</v>
      </c>
      <c r="E272" s="262" t="e">
        <f>+E62/AVERAGE(D145:E145)*4</f>
        <v>#REF!</v>
      </c>
      <c r="F272" s="262" t="e">
        <f>+F62/AVERAGE(E145:F145)*4</f>
        <v>#REF!</v>
      </c>
      <c r="G272" s="262" t="e">
        <f>+G62/AVERAGE(F145:G145)*4</f>
        <v>#REF!</v>
      </c>
      <c r="H272" s="262" t="e">
        <f>+H62/AVERAGE(G145:H145)*4</f>
        <v>#REF!</v>
      </c>
      <c r="I272" s="262" t="e">
        <f>+I62/AVERAGE(H145:I145)*4</f>
        <v>#REF!</v>
      </c>
      <c r="J272" s="262" t="e">
        <f>+J62/AVERAGE(I145:J145)*4</f>
        <v>#REF!</v>
      </c>
      <c r="K272" s="262" t="e">
        <f>+K62/AVERAGE(J145:K145)*4</f>
        <v>#REF!</v>
      </c>
      <c r="L272" s="262" t="e">
        <f>+L62/AVERAGE(K145:L145)*4</f>
        <v>#REF!</v>
      </c>
      <c r="M272" s="262" t="e">
        <f>+M62/AVERAGE(L145:M145)*4</f>
        <v>#REF!</v>
      </c>
      <c r="N272" s="262" t="e">
        <f>+N62/AVERAGE(M145:N145)*4</f>
        <v>#REF!</v>
      </c>
      <c r="O272" s="262" t="e">
        <f>+O62/AVERAGE(N145:O145)*4</f>
        <v>#REF!</v>
      </c>
      <c r="P272" s="262" t="e">
        <f>+P62/AVERAGE(O145:P145)*4</f>
        <v>#REF!</v>
      </c>
      <c r="Q272" s="262" t="e">
        <f>+Q62/AVERAGE(P145:Q145)*4</f>
        <v>#REF!</v>
      </c>
      <c r="R272" s="262" t="e">
        <f>+R62/AVERAGE(Q145:R145)*4</f>
        <v>#REF!</v>
      </c>
      <c r="S272" s="262" t="e">
        <f>+S62/AVERAGE(R145:S145)*4</f>
        <v>#REF!</v>
      </c>
      <c r="T272" s="262" t="e">
        <f>+T62/AVERAGE(S145:T145)*4</f>
        <v>#REF!</v>
      </c>
      <c r="U272" s="262" t="e">
        <f>+U62/AVERAGE(T145:U145)*4</f>
        <v>#REF!</v>
      </c>
      <c r="V272" s="262" t="e">
        <f>+V62/AVERAGE(U145:V145)*4</f>
        <v>#REF!</v>
      </c>
      <c r="W272" s="262" t="e">
        <f>+W62/AVERAGE(V145:W145)*4</f>
        <v>#REF!</v>
      </c>
      <c r="X272" s="262" t="e">
        <f>+X62/AVERAGE(W145:X145)*4</f>
        <v>#REF!</v>
      </c>
      <c r="Y272" s="262" t="e">
        <f>+Y62/AVERAGE(X145:Y145)*4</f>
        <v>#REF!</v>
      </c>
      <c r="Z272" s="262" t="e">
        <f>+Z62/AVERAGE(Y145:Z145)*4</f>
        <v>#REF!</v>
      </c>
      <c r="AA272" s="262" t="e">
        <f>+AA62/AVERAGE(Z145:AA145)*4</f>
        <v>#REF!</v>
      </c>
      <c r="AB272" s="262" t="e">
        <f>+AB62/AVERAGE(AA145:AB145)*4</f>
        <v>#REF!</v>
      </c>
      <c r="AC272" s="262" t="e">
        <f>+AC62/AVERAGE(AB145:AC145)*4</f>
        <v>#REF!</v>
      </c>
      <c r="AD272" s="262" t="e">
        <f>+AD62/AVERAGE(AC145:AD145)*4</f>
        <v>#REF!</v>
      </c>
      <c r="AE272" s="262" t="e">
        <f>+AE62/AVERAGE(AD145:AE145)*4</f>
        <v>#REF!</v>
      </c>
      <c r="AF272" s="262" t="e">
        <f>+AF62/AVERAGE(AE145:AF145)*4</f>
        <v>#REF!</v>
      </c>
      <c r="AG272" s="262" t="e">
        <f>+AG62/AVERAGE(AF145:AG145)*4</f>
        <v>#REF!</v>
      </c>
      <c r="AH272" s="262" t="e">
        <f>+AH62/AVERAGE(AG145:AH145)*4</f>
        <v>#REF!</v>
      </c>
      <c r="AI272" s="262" t="e">
        <f>+AI62/AVERAGE(AH145:AI145)*4</f>
        <v>#REF!</v>
      </c>
      <c r="AJ272" s="262" t="e">
        <f>+AJ62/AVERAGE(AI145:AJ145)*4</f>
        <v>#REF!</v>
      </c>
      <c r="AK272" s="262" t="e">
        <f>+AK62/AVERAGE(AJ145:AK145)*4</f>
        <v>#REF!</v>
      </c>
      <c r="AL272" s="262" t="e">
        <f>+AL62/AVERAGE(AK145:AL145)*4</f>
        <v>#REF!</v>
      </c>
      <c r="AM272" s="2574">
        <f>+AM62/AVERAGE(AL145:AM145)*4</f>
        <v>9.1721858023097014E-2</v>
      </c>
      <c r="AN272" s="262">
        <f>+AN62/AVERAGE(AM145:AN145)*4</f>
        <v>0.29844517937356008</v>
      </c>
      <c r="AO272" s="262">
        <f>+AO62/AVERAGE(AN145:AO145)*4</f>
        <v>0.23725232471490507</v>
      </c>
      <c r="AP272" s="262">
        <f>+AP62/AVERAGE(AO145:AP145)*4</f>
        <v>-0.25020021529551761</v>
      </c>
      <c r="AQ272" s="262">
        <f>+AQ62/AVERAGE(AP145:AQ145)*4</f>
        <v>0.22338908035489269</v>
      </c>
      <c r="AR272" s="262">
        <f>+AR62/AVERAGE(AQ145:AR145)*4</f>
        <v>0.22933574377641505</v>
      </c>
      <c r="AS272" s="262">
        <f>+AS62/AVERAGE(AR145:AS145)*4</f>
        <v>4.9249071471348597E-2</v>
      </c>
      <c r="AT272" s="262">
        <f>+AT62/AVERAGE(AS145:AT145)*4</f>
        <v>2.9739096876157133E-2</v>
      </c>
      <c r="AU272" s="262">
        <f>+AU62/AVERAGE(AT145:AU145)*4</f>
        <v>6.9059455774002493E-2</v>
      </c>
      <c r="AV272" s="262">
        <f>+AV62/AVERAGE(AU145:AV145)*4</f>
        <v>5.7942652867526416E-2</v>
      </c>
      <c r="AW272" s="262">
        <f>+AW62/AVERAGE(AV145:AW145)*4</f>
        <v>5.2267036958190669E-2</v>
      </c>
      <c r="AX272" s="262">
        <f>+AX62/AVERAGE(AW145:AX145)*4</f>
        <v>9.4829940640185337E-2</v>
      </c>
      <c r="AZ272" s="262">
        <v>5.3939178421001599E-2</v>
      </c>
      <c r="BD272" s="262" t="e">
        <f>+BD62/AVERAGE(BD145:BD145)</f>
        <v>#REF!</v>
      </c>
      <c r="BE272" s="262" t="e">
        <f>+BE62/AVERAGE(BD145:BE145)</f>
        <v>#REF!</v>
      </c>
      <c r="BF272" s="262" t="e">
        <f>+BF62/AVERAGE(BE145:BF145)</f>
        <v>#REF!</v>
      </c>
      <c r="BG272" s="262" t="e">
        <f>+BG62/AVERAGE(BF145:BG145)</f>
        <v>#REF!</v>
      </c>
      <c r="BH272" s="262" t="e">
        <f>+BH62/AVERAGE(BG145:BH145)</f>
        <v>#REF!</v>
      </c>
      <c r="BI272" s="262" t="e">
        <f>+BI62/AVERAGE(BH145:BI145)</f>
        <v>#REF!</v>
      </c>
      <c r="BJ272" s="262" t="e">
        <f>+BJ62/AVERAGE(BI145:BJ145)</f>
        <v>#REF!</v>
      </c>
      <c r="BK272" s="262" t="e">
        <f>+BK62/AVERAGE(BJ145:BK145)</f>
        <v>#REF!</v>
      </c>
      <c r="BL272" s="262" t="e">
        <f>+BL62/AVERAGE(BK145:BL145)</f>
        <v>#REF!</v>
      </c>
      <c r="BM272" s="2574">
        <f>+BM62/AVERAGE(BL145:BM145)</f>
        <v>4.3738662722969168E-2</v>
      </c>
      <c r="BN272" s="262">
        <f>+BN62/AVERAGE(BM145:BN145)</f>
        <v>7.6702247179934055E-2</v>
      </c>
      <c r="BO272" s="262">
        <f>+BO62/AVERAGE(BN145:BO145)</f>
        <v>6.7200610041556405E-2</v>
      </c>
      <c r="BP272" s="262">
        <f>+BP62/AVERAGE(BO145:BP145)</f>
        <v>7.5251672629615809E-2</v>
      </c>
      <c r="BQ272" s="262">
        <f>+BQ62/AVERAGE(BP145:BQ145)</f>
        <v>7.8198415711480826E-2</v>
      </c>
      <c r="BR272" s="262">
        <f>+BR62/AVERAGE(BQ145:BR145)</f>
        <v>8.2040398980818663E-2</v>
      </c>
      <c r="BS272" s="262">
        <f>+BS62/AVERAGE(BR145:BS145)</f>
        <v>8.5650762472810588E-2</v>
      </c>
    </row>
    <row r="273" spans="1:71">
      <c r="B273" s="113"/>
    </row>
    <row r="274" spans="1:71">
      <c r="B274" s="128" t="s">
        <v>589</v>
      </c>
      <c r="C274" s="69" t="e">
        <f>+C153/+SUM(#REF!)</f>
        <v>#REF!</v>
      </c>
      <c r="D274" s="69">
        <f>+D153/+SUM(A52:D52)</f>
        <v>4.0824350800808586</v>
      </c>
      <c r="E274" s="69">
        <f>+E153/+SUM(B52:E52)</f>
        <v>2.8995597966816922</v>
      </c>
      <c r="F274" s="69">
        <f>+F153/+SUM(C52:F52)</f>
        <v>1.8398295340597632</v>
      </c>
      <c r="G274" s="69">
        <f>+G153/+SUM(D52:G52)</f>
        <v>1.9348625671287105</v>
      </c>
      <c r="H274" s="69">
        <f>+H153/+SUM(E52:H52)</f>
        <v>1.741156134019612</v>
      </c>
      <c r="I274" s="69">
        <f>+I153/+SUM(F52:I52)</f>
        <v>1.6533213415325898</v>
      </c>
      <c r="J274" s="69">
        <f>+J153/+SUM(G52:J52)</f>
        <v>1.5233456210969234</v>
      </c>
      <c r="K274" s="69">
        <f>+K153/+SUM(H52:K52)</f>
        <v>1.3912359290951495</v>
      </c>
      <c r="L274" s="69">
        <f>+L153/+SUM(I52:L52)</f>
        <v>1.344585284839753</v>
      </c>
      <c r="M274" s="69">
        <f>+M153/+SUM(J52:M52)</f>
        <v>3.7503214260762143</v>
      </c>
      <c r="N274" s="69">
        <f>+N153/+SUM(K52:N52)</f>
        <v>3.2500454303261317</v>
      </c>
      <c r="O274" s="69">
        <f>+O153/+SUM(L52:O52)</f>
        <v>3.6380408790028129</v>
      </c>
      <c r="P274" s="69">
        <f>+P153/+SUM(M52:P52)</f>
        <v>3.8093683552066975</v>
      </c>
      <c r="Q274" s="69">
        <f>+Q153/+SUM(N52:Q52)</f>
        <v>3.9239665728416209</v>
      </c>
      <c r="R274" s="69">
        <f>+R153/+SUM(O52:R52)</f>
        <v>3.0059288645347859</v>
      </c>
      <c r="S274" s="69">
        <f>+S153/+SUM(P52:S52)</f>
        <v>3.0438178927187312</v>
      </c>
      <c r="T274" s="69">
        <f>+T153/+SUM(Q52:T52)</f>
        <v>2.7234978285236462</v>
      </c>
      <c r="U274" s="69">
        <f>+U153/+SUM(R52:U52)</f>
        <v>2.7992458155920139</v>
      </c>
      <c r="V274" s="69">
        <f>+V153/+SUM(V52)</f>
        <v>1.3962585486574948</v>
      </c>
      <c r="W274" s="69">
        <f>+W153/+SUM(T52:W52)</f>
        <v>2.9480606130541416</v>
      </c>
      <c r="X274" s="69">
        <f>+X153/+SUM(U52:X52)</f>
        <v>2.6014147708345572</v>
      </c>
      <c r="Y274" s="69">
        <f>+Y153/+SUM(V52:Y52)</f>
        <v>2.0903012258611793</v>
      </c>
      <c r="Z274" s="69">
        <f>+Z153/+SUM(W52:Z52)</f>
        <v>1.5620475403294751</v>
      </c>
      <c r="AA274" s="69">
        <f>+AA153/+SUM(X52:AA52)</f>
        <v>1.7733148881362402</v>
      </c>
      <c r="AB274" s="69">
        <f>+AB153/+SUM(Y52:AB52)</f>
        <v>1.4753386884066655</v>
      </c>
      <c r="AC274" s="69">
        <f>+AC153/+SUM(Z52:AC52)</f>
        <v>2.000027267273818</v>
      </c>
      <c r="AD274" s="69">
        <f>+AD153/+SUM(AA52:AD52)</f>
        <v>1.7215018286912702</v>
      </c>
      <c r="AE274" s="69">
        <f>+AE153/+SUM(AB52:AE52)</f>
        <v>2.0381760044487689</v>
      </c>
      <c r="AF274" s="69">
        <f>+AF153/+SUM(AC52:AF52)</f>
        <v>2.5347505422993488</v>
      </c>
      <c r="AG274" s="69">
        <f>+AG153/+SUM(AD52:AG52)</f>
        <v>2.9353660113812734</v>
      </c>
      <c r="AH274" s="69">
        <f>+AH153/+SUM(AE52:AH52)</f>
        <v>3.5604405905788625</v>
      </c>
      <c r="AI274" s="69">
        <f>+AI153/+SUM(AF52:AI52)</f>
        <v>4.1994574401850064</v>
      </c>
      <c r="AJ274" s="69">
        <f>+AJ153/+SUM(AG52:AJ52)</f>
        <v>4.4875730537970879</v>
      </c>
      <c r="AK274" s="69">
        <f>+AK153/+SUM(AH52:AK52)</f>
        <v>-0.26598818122541279</v>
      </c>
      <c r="AL274" s="69">
        <f>+AL153/+SUM(AI52:AL52)</f>
        <v>-1.0932293933891806</v>
      </c>
      <c r="AM274" s="2541">
        <f>+AM153/+SUM(AJ52:AM52)</f>
        <v>-1.4356263525608455</v>
      </c>
      <c r="AN274" s="69">
        <f>+AN153/+SUM(AK52:AN52)</f>
        <v>-0.51152205922205751</v>
      </c>
      <c r="AO274" s="69">
        <f>+AO153/+SUM(AL52:AO52)</f>
        <v>-0.41275983429211127</v>
      </c>
      <c r="AP274" s="69">
        <f>+AP153/+SUM(AM52:AP52)</f>
        <v>-0.55041416236807228</v>
      </c>
      <c r="AQ274" s="69">
        <f>+AQ153/+SUM(AN52:AQ52)</f>
        <v>-0.2866407651444649</v>
      </c>
      <c r="AR274" s="69">
        <f>+AR153/+SUM(AO52:AR52)</f>
        <v>9.2940910975662608E-2</v>
      </c>
      <c r="AS274" s="69">
        <f>+AS153/+SUM(AP52:AS52)</f>
        <v>2.5489016953054286</v>
      </c>
      <c r="AT274" s="69">
        <f>+AT153/+SUM(AQ52:AT52)</f>
        <v>1.5813664835449988</v>
      </c>
      <c r="AU274" s="69">
        <f>+AU153/+SUM(AR52:AU52)</f>
        <v>1.2784260958567821</v>
      </c>
      <c r="AV274" s="69">
        <f>+AV153/+SUM(AS52:AV52)</f>
        <v>1.2902328718950951</v>
      </c>
      <c r="AW274" s="69">
        <f>+AW153/+SUM(AT52:AW52)</f>
        <v>1.2074697844208391</v>
      </c>
      <c r="AX274" s="69">
        <f>+AX153/+SUM(AU52:AX52)</f>
        <v>0.96819701667917824</v>
      </c>
      <c r="AZ274" s="69">
        <v>1.4851551865695738</v>
      </c>
      <c r="BD274" s="69">
        <f>+BD153/+SUM(BD52)</f>
        <v>1.8398295340597635</v>
      </c>
      <c r="BE274" s="69">
        <f>+BE153/+SUM(BE52)</f>
        <v>1.5233049642690724</v>
      </c>
      <c r="BF274" s="69">
        <f>+BF153/+SUM(BF52)</f>
        <v>3.2499728484603483</v>
      </c>
      <c r="BG274" s="69">
        <f>+BG153/+SUM(BG52)</f>
        <v>3.0058575342304024</v>
      </c>
      <c r="BH274" s="69">
        <f>+BH153/+SUM(BH52)</f>
        <v>0.98759818857451387</v>
      </c>
      <c r="BI274" s="69">
        <f>+BI153/+SUM(BI52)</f>
        <v>1.5620147576465531</v>
      </c>
      <c r="BJ274" s="69">
        <f>+BJ153/+SUM(BJ52)</f>
        <v>1.7214712271104613</v>
      </c>
      <c r="BK274" s="69">
        <f>+BK153/+SUM(BK52)</f>
        <v>3.5603215979754919</v>
      </c>
      <c r="BL274" s="69">
        <f>+BL153/+SUM(BL52)</f>
        <v>-1.0931778887457746</v>
      </c>
      <c r="BM274" s="2541">
        <f>+BM153/+SUM(BM52)</f>
        <v>-0.5504021170193073</v>
      </c>
      <c r="BN274" s="69">
        <f>+BN153/+SUM(BN52)</f>
        <v>1.5813372763394147</v>
      </c>
      <c r="BO274" s="69">
        <f>+BO153/+SUM(BO52)</f>
        <v>0.96818178637068908</v>
      </c>
      <c r="BP274" s="69">
        <f>+BP153/+SUM(BP52)</f>
        <v>0.57071915222620395</v>
      </c>
      <c r="BQ274" s="69">
        <f>+BQ153/+SUM(BQ52)</f>
        <v>0.1907368938547461</v>
      </c>
      <c r="BR274" s="69">
        <f>+BR153/+SUM(BR52)</f>
        <v>-0.20974099340819577</v>
      </c>
      <c r="BS274" s="69">
        <f>+BS153/+SUM(BS52)</f>
        <v>-0.56303969023196609</v>
      </c>
    </row>
    <row r="276" spans="1:71">
      <c r="B276" s="294" t="s">
        <v>590</v>
      </c>
      <c r="C276" s="282" t="s">
        <v>418</v>
      </c>
      <c r="D276" s="282" t="s">
        <v>419</v>
      </c>
      <c r="E276" s="282" t="s">
        <v>420</v>
      </c>
      <c r="F276" s="282" t="s">
        <v>421</v>
      </c>
      <c r="G276" s="282" t="s">
        <v>422</v>
      </c>
      <c r="H276" s="282" t="s">
        <v>423</v>
      </c>
      <c r="I276" s="282" t="s">
        <v>424</v>
      </c>
      <c r="J276" s="282" t="s">
        <v>425</v>
      </c>
      <c r="K276" s="282" t="s">
        <v>426</v>
      </c>
      <c r="L276" s="282" t="s">
        <v>427</v>
      </c>
      <c r="M276" s="282" t="s">
        <v>428</v>
      </c>
      <c r="N276" s="282" t="s">
        <v>429</v>
      </c>
      <c r="O276" s="282" t="s">
        <v>430</v>
      </c>
      <c r="P276" s="282" t="s">
        <v>431</v>
      </c>
      <c r="Q276" s="282" t="s">
        <v>432</v>
      </c>
      <c r="R276" s="282" t="s">
        <v>433</v>
      </c>
      <c r="S276" s="282" t="s">
        <v>434</v>
      </c>
      <c r="T276" s="282" t="s">
        <v>435</v>
      </c>
      <c r="U276" s="282" t="s">
        <v>436</v>
      </c>
      <c r="V276" s="282" t="s">
        <v>437</v>
      </c>
      <c r="W276" s="282" t="s">
        <v>438</v>
      </c>
      <c r="X276" s="282" t="s">
        <v>439</v>
      </c>
      <c r="Y276" s="282" t="s">
        <v>440</v>
      </c>
      <c r="Z276" s="282" t="s">
        <v>441</v>
      </c>
      <c r="AA276" s="282" t="s">
        <v>442</v>
      </c>
      <c r="AB276" s="282" t="s">
        <v>443</v>
      </c>
      <c r="AC276" s="282" t="s">
        <v>444</v>
      </c>
      <c r="AD276" s="282" t="s">
        <v>445</v>
      </c>
      <c r="AE276" s="282" t="s">
        <v>446</v>
      </c>
      <c r="AF276" s="282" t="s">
        <v>447</v>
      </c>
      <c r="AG276" s="282" t="s">
        <v>448</v>
      </c>
      <c r="AH276" s="282" t="s">
        <v>449</v>
      </c>
      <c r="AI276" s="282" t="s">
        <v>450</v>
      </c>
      <c r="AJ276" s="282" t="s">
        <v>451</v>
      </c>
      <c r="AK276" s="282" t="s">
        <v>452</v>
      </c>
      <c r="AL276" s="282" t="s">
        <v>453</v>
      </c>
      <c r="AM276" s="2508" t="str">
        <f>+AM$2</f>
        <v>1T24</v>
      </c>
      <c r="AN276" s="2508" t="str">
        <f t="shared" ref="AN276:AX276" si="1388">+AN$2</f>
        <v>2T24</v>
      </c>
      <c r="AO276" s="2508" t="str">
        <f t="shared" si="1388"/>
        <v>3T24</v>
      </c>
      <c r="AP276" s="2508" t="str">
        <f t="shared" si="1388"/>
        <v>4T24</v>
      </c>
      <c r="AQ276" s="2508" t="str">
        <f t="shared" si="1388"/>
        <v>1T25</v>
      </c>
      <c r="AR276" s="2508" t="str">
        <f t="shared" si="1388"/>
        <v>2T25</v>
      </c>
      <c r="AS276" s="2508" t="str">
        <f t="shared" si="1388"/>
        <v>3T25</v>
      </c>
      <c r="AT276" s="2508" t="str">
        <f t="shared" si="1388"/>
        <v>4T25</v>
      </c>
      <c r="AU276" s="2508" t="str">
        <f t="shared" si="1388"/>
        <v>1T26</v>
      </c>
      <c r="AV276" s="2508" t="str">
        <f t="shared" si="1388"/>
        <v>2T26</v>
      </c>
      <c r="AW276" s="2508" t="str">
        <f t="shared" si="1388"/>
        <v>3T26</v>
      </c>
      <c r="AX276" s="2508" t="str">
        <f t="shared" si="1388"/>
        <v>4T26</v>
      </c>
      <c r="AZ276" s="282" t="s">
        <v>461</v>
      </c>
      <c r="BD276" s="160">
        <f>+BD$2</f>
        <v>2015</v>
      </c>
      <c r="BE276" s="160">
        <f t="shared" ref="BE276:BS276" si="1389">+BE$2</f>
        <v>2016</v>
      </c>
      <c r="BF276" s="160">
        <f t="shared" si="1389"/>
        <v>2017</v>
      </c>
      <c r="BG276" s="160">
        <f t="shared" si="1389"/>
        <v>2018</v>
      </c>
      <c r="BH276" s="160">
        <f t="shared" si="1389"/>
        <v>2019</v>
      </c>
      <c r="BI276" s="160">
        <f t="shared" si="1389"/>
        <v>2020</v>
      </c>
      <c r="BJ276" s="160">
        <f t="shared" si="1389"/>
        <v>2021</v>
      </c>
      <c r="BK276" s="160">
        <f t="shared" si="1389"/>
        <v>2022</v>
      </c>
      <c r="BL276" s="160">
        <f t="shared" si="1389"/>
        <v>2023</v>
      </c>
      <c r="BM276" s="2607">
        <f t="shared" si="1389"/>
        <v>2024</v>
      </c>
      <c r="BN276" s="160">
        <f t="shared" si="1389"/>
        <v>2025</v>
      </c>
      <c r="BO276" s="160">
        <f t="shared" si="1389"/>
        <v>2026</v>
      </c>
      <c r="BP276" s="160">
        <f t="shared" si="1389"/>
        <v>2027</v>
      </c>
      <c r="BQ276" s="160">
        <f t="shared" si="1389"/>
        <v>2028</v>
      </c>
      <c r="BR276" s="160">
        <f t="shared" si="1389"/>
        <v>2029</v>
      </c>
      <c r="BS276" s="160">
        <f t="shared" si="1389"/>
        <v>2030</v>
      </c>
    </row>
    <row r="277" spans="1:71">
      <c r="B277" s="114"/>
    </row>
    <row r="278" spans="1:71">
      <c r="B278" s="114"/>
    </row>
    <row r="279" spans="1:71" s="1155" customFormat="1">
      <c r="A279"/>
      <c r="B279" s="1201" t="s">
        <v>591</v>
      </c>
      <c r="K279" s="1200" t="e">
        <f>+K280-K27</f>
        <v>#REF!</v>
      </c>
      <c r="L279" s="1200" t="e">
        <f>+L280-L27</f>
        <v>#REF!</v>
      </c>
      <c r="M279" s="1200" t="e">
        <f>+M280-M27</f>
        <v>#REF!</v>
      </c>
      <c r="N279" s="1200" t="e">
        <f>+N280-N27</f>
        <v>#REF!</v>
      </c>
      <c r="O279" s="1200" t="e">
        <f>+O280-O27</f>
        <v>#REF!</v>
      </c>
      <c r="P279" s="1200" t="e">
        <f>+P280-P27</f>
        <v>#REF!</v>
      </c>
      <c r="Q279" s="1200" t="e">
        <f>+Q280-Q27</f>
        <v>#REF!</v>
      </c>
      <c r="R279" s="1200" t="e">
        <f>+R280-R27</f>
        <v>#REF!</v>
      </c>
      <c r="S279" s="1200" t="e">
        <f>+S280-S27</f>
        <v>#REF!</v>
      </c>
      <c r="T279" s="1704" t="e">
        <f>+T280+T300-T26</f>
        <v>#REF!</v>
      </c>
      <c r="U279" s="1704" t="e">
        <f>+U280+U300-U26</f>
        <v>#REF!</v>
      </c>
      <c r="V279" s="1704" t="e">
        <f>+V280+V300-V26</f>
        <v>#REF!</v>
      </c>
      <c r="W279" s="1704" t="e">
        <f>+W280+W300-W26</f>
        <v>#REF!</v>
      </c>
      <c r="X279" s="1704" t="e">
        <f>+X280+X300-X26</f>
        <v>#REF!</v>
      </c>
      <c r="Y279" s="1704" t="e">
        <f>+Y280+Y300-Y26</f>
        <v>#REF!</v>
      </c>
      <c r="Z279" s="1704" t="e">
        <f>+Z280+Z300-Z26</f>
        <v>#REF!</v>
      </c>
      <c r="AA279" s="1704" t="e">
        <f>+AA280+AA300-AA26</f>
        <v>#REF!</v>
      </c>
      <c r="AB279" s="1704" t="e">
        <f>+AB280+AB300-AB26</f>
        <v>#REF!</v>
      </c>
      <c r="AC279" s="1704" t="e">
        <f>+AC280+AC300-AC26</f>
        <v>#REF!</v>
      </c>
      <c r="AD279" s="1704" t="e">
        <f>+AD280+AD300-AD26</f>
        <v>#REF!</v>
      </c>
      <c r="AE279" s="1704" t="e">
        <f>+AE280+AE300-AE26</f>
        <v>#REF!</v>
      </c>
      <c r="AF279" s="1704" t="e">
        <f>+AF280+AF300-AF26</f>
        <v>#REF!</v>
      </c>
      <c r="AG279" s="1704" t="e">
        <f>+AG280+AG300-AG26</f>
        <v>#REF!</v>
      </c>
      <c r="AH279" s="1704" t="e">
        <f>+AH280+AH300-AH26</f>
        <v>#REF!</v>
      </c>
      <c r="AI279" s="1704" t="e">
        <f>+AI280+AI300-AI26</f>
        <v>#REF!</v>
      </c>
      <c r="AJ279" s="1704" t="e">
        <f>+AJ280+AJ300-AJ26</f>
        <v>#REF!</v>
      </c>
      <c r="AK279" s="1704" t="e">
        <f>+AK280+AK300-AK26</f>
        <v>#REF!</v>
      </c>
      <c r="AL279" s="1704" t="e">
        <f>+AL280+AL300-AL26</f>
        <v>#REF!</v>
      </c>
      <c r="AM279" s="2575">
        <f>+AM280+AM300-AM26</f>
        <v>116.53</v>
      </c>
      <c r="AN279" s="1704">
        <f>+AN280+AN300-AN26</f>
        <v>231.25500000000002</v>
      </c>
      <c r="AO279" s="1704">
        <f>+AO280+AO300-AO26</f>
        <v>117.816</v>
      </c>
      <c r="BF279" s="1154" t="e">
        <f t="shared" ref="BF279:BL279" si="1390">+BF280+BF300</f>
        <v>#REF!</v>
      </c>
      <c r="BG279" s="1154" t="e">
        <f t="shared" si="1390"/>
        <v>#REF!</v>
      </c>
      <c r="BH279" s="1154" t="e">
        <f t="shared" si="1390"/>
        <v>#REF!</v>
      </c>
      <c r="BI279" s="1154" t="e">
        <f t="shared" si="1390"/>
        <v>#REF!</v>
      </c>
      <c r="BJ279" s="1154" t="e">
        <f t="shared" si="1390"/>
        <v>#REF!</v>
      </c>
      <c r="BK279" s="1154" t="e">
        <f t="shared" si="1390"/>
        <v>#REF!</v>
      </c>
      <c r="BL279" s="1154" t="e">
        <f t="shared" si="1390"/>
        <v>#REF!</v>
      </c>
      <c r="BM279" s="2616"/>
      <c r="BN279" s="1154"/>
      <c r="BO279" s="1154"/>
      <c r="BP279" s="1154"/>
      <c r="BQ279" s="1154"/>
      <c r="BR279" s="1154"/>
      <c r="BS279" s="1154"/>
    </row>
    <row r="280" spans="1:71" s="299" customFormat="1">
      <c r="A280"/>
      <c r="B280" s="300" t="s">
        <v>592</v>
      </c>
      <c r="C280" s="301" t="e">
        <f>+#REF!+#REF!+#REF!+#REF!+#REF!+#REF!+#REF!</f>
        <v>#REF!</v>
      </c>
      <c r="D280" s="301" t="e">
        <f>+#REF!+#REF!+#REF!+#REF!+#REF!+#REF!+#REF!</f>
        <v>#REF!</v>
      </c>
      <c r="E280" s="301" t="e">
        <f>+#REF!+#REF!+#REF!+#REF!+#REF!+#REF!+#REF!</f>
        <v>#REF!</v>
      </c>
      <c r="F280" s="301" t="e">
        <f>+#REF!+#REF!+#REF!+#REF!+#REF!+#REF!+#REF!</f>
        <v>#REF!</v>
      </c>
      <c r="G280" s="301" t="e">
        <f>+#REF!+#REF!+#REF!+#REF!+#REF!+#REF!+#REF!</f>
        <v>#REF!</v>
      </c>
      <c r="H280" s="301" t="e">
        <f>+#REF!+#REF!+#REF!+#REF!+#REF!+#REF!+#REF!</f>
        <v>#REF!</v>
      </c>
      <c r="I280" s="301" t="e">
        <f>+#REF!+#REF!+#REF!+#REF!+#REF!+#REF!+#REF!</f>
        <v>#REF!</v>
      </c>
      <c r="J280" s="301" t="e">
        <f>+#REF!+#REF!+#REF!+#REF!+#REF!+#REF!+#REF!</f>
        <v>#REF!</v>
      </c>
      <c r="K280" s="308" t="e">
        <f>+#REF!+#REF!+#REF!+#REF!+#REF!+#REF!+#REF!</f>
        <v>#REF!</v>
      </c>
      <c r="L280" s="308" t="e">
        <f>+#REF!+#REF!+#REF!+#REF!+#REF!+#REF!+#REF!</f>
        <v>#REF!</v>
      </c>
      <c r="M280" s="308" t="e">
        <f>+#REF!+#REF!+#REF!+#REF!+#REF!+#REF!+#REF!</f>
        <v>#REF!</v>
      </c>
      <c r="N280" s="308" t="e">
        <f>+#REF!+#REF!+#REF!+#REF!+#REF!+#REF!+#REF!</f>
        <v>#REF!</v>
      </c>
      <c r="O280" s="308" t="e">
        <f>+#REF!+#REF!+#REF!+#REF!+#REF!+#REF!+#REF!</f>
        <v>#REF!</v>
      </c>
      <c r="P280" s="308" t="e">
        <f>+#REF!+#REF!+#REF!+#REF!+#REF!+#REF!+#REF!</f>
        <v>#REF!</v>
      </c>
      <c r="Q280" s="308" t="e">
        <f>+#REF!+#REF!+#REF!+#REF!+#REF!+#REF!+#REF!</f>
        <v>#REF!</v>
      </c>
      <c r="R280" s="308" t="e">
        <f>+#REF!+#REF!+#REF!+#REF!+#REF!+#REF!+#REF!</f>
        <v>#REF!</v>
      </c>
      <c r="S280" s="308" t="e">
        <f>+#REF!+#REF!+#REF!+#REF!+#REF!+#REF!+#REF!</f>
        <v>#REF!</v>
      </c>
      <c r="T280" s="308" t="e">
        <f>+#REF!+#REF!+#REF!+#REF!+#REF!+#REF!+#REF!</f>
        <v>#REF!</v>
      </c>
      <c r="U280" s="308" t="e">
        <f>+#REF!+#REF!+#REF!+#REF!+#REF!+#REF!+#REF!</f>
        <v>#REF!</v>
      </c>
      <c r="V280" s="308" t="e">
        <f>+#REF!+#REF!+#REF!+#REF!+#REF!+#REF!+#REF!</f>
        <v>#REF!</v>
      </c>
      <c r="W280" s="308" t="e">
        <f>+#REF!+#REF!+#REF!+#REF!+#REF!+#REF!+#REF!</f>
        <v>#REF!</v>
      </c>
      <c r="X280" s="308" t="e">
        <f>+#REF!+#REF!+#REF!+#REF!+#REF!+#REF!+#REF!</f>
        <v>#REF!</v>
      </c>
      <c r="Y280" s="308" t="e">
        <f>+#REF!+#REF!+#REF!+#REF!+#REF!+#REF!+#REF!</f>
        <v>#REF!</v>
      </c>
      <c r="Z280" s="308" t="e">
        <f>+#REF!+#REF!+#REF!+#REF!+#REF!+#REF!+#REF!</f>
        <v>#REF!</v>
      </c>
      <c r="AA280" s="308" t="e">
        <f>+#REF!+#REF!+#REF!+#REF!+#REF!+#REF!+#REF!</f>
        <v>#REF!</v>
      </c>
      <c r="AB280" s="308" t="e">
        <f>+#REF!+#REF!+#REF!+#REF!+#REF!+#REF!+#REF!</f>
        <v>#REF!</v>
      </c>
      <c r="AC280" s="308" t="e">
        <f>+#REF!+#REF!+#REF!+#REF!+#REF!+#REF!+#REF!</f>
        <v>#REF!</v>
      </c>
      <c r="AD280" s="308" t="e">
        <f>+#REF!+#REF!+#REF!+#REF!+#REF!+#REF!+#REF!</f>
        <v>#REF!</v>
      </c>
      <c r="AE280" s="308" t="e">
        <f>+#REF!+#REF!+#REF!+#REF!+#REF!+#REF!+#REF!</f>
        <v>#REF!</v>
      </c>
      <c r="AF280" s="308" t="e">
        <f>+#REF!+#REF!+#REF!+#REF!+#REF!+#REF!+#REF!</f>
        <v>#REF!</v>
      </c>
      <c r="AG280" s="308" t="e">
        <f>+#REF!+#REF!+#REF!+#REF!+#REF!+#REF!+#REF!</f>
        <v>#REF!</v>
      </c>
      <c r="AH280" s="308" t="e">
        <f>+#REF!+#REF!+#REF!+#REF!+#REF!+#REF!+#REF!</f>
        <v>#REF!</v>
      </c>
      <c r="AI280" s="308" t="e">
        <f>+#REF!+#REF!+#REF!+#REF!+#REF!+#REF!+#REF!</f>
        <v>#REF!</v>
      </c>
      <c r="AJ280" s="308" t="e">
        <f>+#REF!+#REF!+#REF!+#REF!+#REF!+#REF!+#REF!</f>
        <v>#REF!</v>
      </c>
      <c r="AK280" s="308" t="e">
        <f>+#REF!+#REF!+#REF!+#REF!+#REF!+#REF!+#REF!</f>
        <v>#REF!</v>
      </c>
      <c r="AL280" s="308" t="e">
        <f>+#REF!+#REF!+#REF!+#REF!+#REF!+#REF!+#REF!</f>
        <v>#REF!</v>
      </c>
      <c r="AM280" s="2576">
        <f>+AM27</f>
        <v>129.38</v>
      </c>
      <c r="AN280" s="308">
        <f>+AN27</f>
        <v>88.578000000000003</v>
      </c>
      <c r="AO280" s="308">
        <f>+AO27</f>
        <v>54.929000000000002</v>
      </c>
      <c r="AP280" s="308">
        <f>+AP27</f>
        <v>68.599999999999994</v>
      </c>
      <c r="AQ280" s="308">
        <f>+AQ27</f>
        <v>41.4</v>
      </c>
      <c r="AR280" s="308">
        <f>+AR27</f>
        <v>22.5</v>
      </c>
      <c r="AS280" s="308">
        <f>+AS27</f>
        <v>37.327999999999996</v>
      </c>
      <c r="AT280" s="2629">
        <f>+AT292</f>
        <v>50.369090692751605</v>
      </c>
      <c r="AU280" s="2629">
        <f t="shared" ref="AU280:AX280" si="1391">+AU292</f>
        <v>64.766194421146196</v>
      </c>
      <c r="AV280" s="2629">
        <f t="shared" si="1391"/>
        <v>64.67590062871804</v>
      </c>
      <c r="AW280" s="2629">
        <f t="shared" si="1391"/>
        <v>59.970723527193051</v>
      </c>
      <c r="AX280" s="2629">
        <f t="shared" si="1391"/>
        <v>57.127810352395457</v>
      </c>
      <c r="AY280"/>
      <c r="AZ280" s="308">
        <v>46.013331076221199</v>
      </c>
      <c r="BA280" s="1067"/>
      <c r="BB280"/>
      <c r="BC280"/>
      <c r="BD280" s="308" t="e">
        <f>+#REF!+#REF!+#REF!+#REF!+#REF!+#REF!+#REF!</f>
        <v>#REF!</v>
      </c>
      <c r="BE280" s="308" t="e">
        <f>+#REF!+#REF!+#REF!+#REF!+#REF!+#REF!+#REF!</f>
        <v>#REF!</v>
      </c>
      <c r="BF280" s="308" t="e">
        <f>+#REF!+#REF!+#REF!+#REF!+#REF!+#REF!+#REF!</f>
        <v>#REF!</v>
      </c>
      <c r="BG280" s="308" t="e">
        <f>+#REF!+#REF!+#REF!+#REF!+#REF!+#REF!+#REF!</f>
        <v>#REF!</v>
      </c>
      <c r="BH280" s="308" t="e">
        <f>+#REF!+#REF!+#REF!+#REF!+#REF!+#REF!+#REF!</f>
        <v>#REF!</v>
      </c>
      <c r="BI280" s="308" t="e">
        <f>+#REF!+#REF!+#REF!+#REF!+#REF!+#REF!+#REF!</f>
        <v>#REF!</v>
      </c>
      <c r="BJ280" s="308" t="e">
        <f>+#REF!+#REF!+#REF!+#REF!+#REF!+#REF!+#REF!</f>
        <v>#REF!</v>
      </c>
      <c r="BK280" s="308" t="e">
        <f>+#REF!+#REF!+#REF!+#REF!+#REF!+#REF!+#REF!</f>
        <v>#REF!</v>
      </c>
      <c r="BL280" s="308" t="e">
        <f>+#REF!+#REF!+#REF!+#REF!+#REF!+#REF!+#REF!</f>
        <v>#REF!</v>
      </c>
      <c r="BM280" s="2576">
        <f>+BM27</f>
        <v>341.48699999999997</v>
      </c>
      <c r="BN280" s="308">
        <f>+BN27</f>
        <v>133.52199999999999</v>
      </c>
      <c r="BO280" s="308">
        <f>+BO27</f>
        <v>246.54062892945274</v>
      </c>
      <c r="BP280" s="2629">
        <f t="shared" ref="BP280:BS280" si="1392">+BP292</f>
        <v>218.49549765161308</v>
      </c>
      <c r="BQ280" s="2629">
        <f t="shared" si="1392"/>
        <v>188.86807852562626</v>
      </c>
      <c r="BR280" s="2629">
        <f t="shared" si="1392"/>
        <v>182.00865851225012</v>
      </c>
      <c r="BS280" s="2629">
        <f t="shared" si="1392"/>
        <v>212.26237203848726</v>
      </c>
    </row>
    <row r="281" spans="1:71">
      <c r="B281" s="114"/>
    </row>
    <row r="282" spans="1:71">
      <c r="B282" s="114" t="s">
        <v>593</v>
      </c>
      <c r="C282" s="69"/>
      <c r="D282" s="69">
        <f t="shared" ref="D282:S282" si="1393">+C284</f>
        <v>1965.722</v>
      </c>
      <c r="E282" s="69">
        <f t="shared" si="1393"/>
        <v>1812.961</v>
      </c>
      <c r="F282" s="69">
        <f t="shared" si="1393"/>
        <v>1623.2639999999999</v>
      </c>
      <c r="G282" s="69">
        <f t="shared" si="1393"/>
        <v>1591.8430000000001</v>
      </c>
      <c r="H282" s="69">
        <f t="shared" si="1393"/>
        <v>1352.0219999999999</v>
      </c>
      <c r="I282" s="69">
        <f t="shared" si="1393"/>
        <v>1196.8150000000001</v>
      </c>
      <c r="J282" s="69">
        <f t="shared" si="1393"/>
        <v>785.01199999999994</v>
      </c>
      <c r="K282" s="69">
        <f t="shared" si="1393"/>
        <v>1091.47</v>
      </c>
      <c r="L282" s="69">
        <f t="shared" si="1393"/>
        <v>617.36699999999996</v>
      </c>
      <c r="M282" s="69">
        <f t="shared" si="1393"/>
        <v>649.81700000000001</v>
      </c>
      <c r="N282" s="69">
        <f t="shared" si="1393"/>
        <v>2210.4119999999998</v>
      </c>
      <c r="O282" s="69">
        <f t="shared" si="1393"/>
        <v>1693.1310000000001</v>
      </c>
      <c r="P282" s="69">
        <f t="shared" si="1393"/>
        <v>798.62800000000004</v>
      </c>
      <c r="Q282" s="69">
        <f t="shared" si="1393"/>
        <v>643.56299999999999</v>
      </c>
      <c r="R282" s="69">
        <f t="shared" si="1393"/>
        <v>586.75199999999995</v>
      </c>
      <c r="S282" s="69">
        <f t="shared" si="1393"/>
        <v>1215.048</v>
      </c>
      <c r="T282" s="69">
        <f>+S284</f>
        <v>866.90599999999995</v>
      </c>
      <c r="U282" s="69">
        <f t="shared" ref="U282:Z282" si="1394">+T284</f>
        <v>882.67499999999995</v>
      </c>
      <c r="V282" s="69">
        <f t="shared" si="1394"/>
        <v>910.7</v>
      </c>
      <c r="W282" s="69">
        <f t="shared" si="1394"/>
        <v>4513.6000000000004</v>
      </c>
      <c r="X282" s="69">
        <f t="shared" si="1394"/>
        <v>3150.1</v>
      </c>
      <c r="Y282" s="69">
        <f t="shared" si="1394"/>
        <v>4820.1000000000004</v>
      </c>
      <c r="Z282" s="69">
        <f t="shared" si="1394"/>
        <v>5059.8999999999996</v>
      </c>
      <c r="AA282" s="69">
        <f>+Z284</f>
        <v>5821.7</v>
      </c>
      <c r="AB282" s="69">
        <f>+AA284</f>
        <v>4326.3999999999996</v>
      </c>
      <c r="AC282" s="69">
        <f>+AB284</f>
        <v>4504.8</v>
      </c>
      <c r="AD282" s="69">
        <f>+AC284</f>
        <v>3054.4</v>
      </c>
      <c r="AE282" s="69">
        <f>+AD284</f>
        <v>4007.3</v>
      </c>
      <c r="AF282" s="69">
        <f t="shared" ref="AF282:AH282" si="1395">+AE284</f>
        <v>3038.5</v>
      </c>
      <c r="AG282" s="69">
        <f t="shared" si="1395"/>
        <v>3043.8</v>
      </c>
      <c r="AH282" s="69">
        <f t="shared" si="1395"/>
        <v>3252.3</v>
      </c>
      <c r="AI282" s="69">
        <f t="shared" ref="AI282" si="1396">+AH284</f>
        <v>4195.7</v>
      </c>
      <c r="AJ282" s="69">
        <f t="shared" ref="AJ282:AK282" si="1397">+AI284</f>
        <v>2224.5</v>
      </c>
      <c r="AK282" s="69">
        <f t="shared" si="1397"/>
        <v>2275.1</v>
      </c>
      <c r="AL282" s="69">
        <f t="shared" ref="AL282" si="1398">+AK284</f>
        <v>3292.5</v>
      </c>
      <c r="AM282" s="2541">
        <f t="shared" ref="AM282" si="1399">+AL284</f>
        <v>3750.9</v>
      </c>
      <c r="AN282" s="69">
        <f t="shared" ref="AN282" si="1400">+AM284</f>
        <v>3146.9259999999999</v>
      </c>
      <c r="AO282" s="69">
        <f t="shared" ref="AO282" si="1401">+AN284</f>
        <v>643.20000000000005</v>
      </c>
      <c r="AP282" s="69">
        <f t="shared" ref="AP282" si="1402">+AO284</f>
        <v>1159.17</v>
      </c>
      <c r="AQ282" s="69">
        <f t="shared" ref="AQ282" si="1403">+AP284</f>
        <v>1741.1869999999999</v>
      </c>
      <c r="AR282" s="69">
        <f t="shared" ref="AR282" si="1404">+AQ284</f>
        <v>1563.367</v>
      </c>
      <c r="AS282" s="69">
        <f t="shared" ref="AS282" si="1405">+AR284</f>
        <v>1259.4490000000001</v>
      </c>
      <c r="AT282" s="69">
        <f t="shared" ref="AT282" si="1406">+AS284</f>
        <v>1315.03</v>
      </c>
      <c r="AU282" s="69">
        <f t="shared" ref="AU282" si="1407">+AT284</f>
        <v>1490.7059999999999</v>
      </c>
      <c r="AV282" s="69">
        <f t="shared" ref="AV282" si="1408">+AU284</f>
        <v>2355.0114675750933</v>
      </c>
      <c r="AW282" s="69">
        <f t="shared" ref="AW282" si="1409">+AV284</f>
        <v>2485.4548559858372</v>
      </c>
      <c r="AX282" s="69">
        <f t="shared" ref="AX282" si="1410">+AW284</f>
        <v>2441.7343781385521</v>
      </c>
      <c r="AZ282" s="69">
        <v>1315.03</v>
      </c>
      <c r="BD282" s="69"/>
      <c r="BE282" s="69">
        <f t="shared" ref="BE282:BO282" si="1411">+BD284</f>
        <v>1591.8430000000001</v>
      </c>
      <c r="BF282" s="69">
        <f t="shared" si="1411"/>
        <v>1091.47</v>
      </c>
      <c r="BG282" s="69">
        <f t="shared" si="1411"/>
        <v>1693.1310000000001</v>
      </c>
      <c r="BH282" s="69">
        <f t="shared" si="1411"/>
        <v>1215.048</v>
      </c>
      <c r="BI282" s="69">
        <f t="shared" si="1411"/>
        <v>4513.6000000000004</v>
      </c>
      <c r="BJ282" s="69">
        <f t="shared" si="1411"/>
        <v>5821.7</v>
      </c>
      <c r="BK282" s="69">
        <f t="shared" si="1411"/>
        <v>4007.3</v>
      </c>
      <c r="BL282" s="69">
        <f t="shared" si="1411"/>
        <v>4195.7</v>
      </c>
      <c r="BM282" s="2541">
        <f t="shared" si="1411"/>
        <v>3750.9</v>
      </c>
      <c r="BN282" s="69">
        <f t="shared" si="1411"/>
        <v>1741.1869999999999</v>
      </c>
      <c r="BO282" s="69">
        <f t="shared" si="1411"/>
        <v>1490.7059999999999</v>
      </c>
      <c r="BP282" s="69">
        <f t="shared" ref="BP282" si="1412">+BO284</f>
        <v>2654.1154966839144</v>
      </c>
      <c r="BQ282" s="69">
        <f t="shared" ref="BQ282" si="1413">+BP284</f>
        <v>3693.3524478068698</v>
      </c>
      <c r="BR282" s="69">
        <f t="shared" ref="BR282" si="1414">+BQ284</f>
        <v>3246.1275646634981</v>
      </c>
      <c r="BS282" s="69">
        <f t="shared" ref="BS282" si="1415">+BR284</f>
        <v>4344.9794197250667</v>
      </c>
    </row>
    <row r="283" spans="1:71" s="909" customFormat="1">
      <c r="B283" s="1010" t="s">
        <v>594</v>
      </c>
      <c r="C283" s="911">
        <v>1965.722</v>
      </c>
      <c r="D283" s="911">
        <v>1812.961</v>
      </c>
      <c r="E283" s="911">
        <v>1623.2639999999999</v>
      </c>
      <c r="F283" s="911">
        <v>1591.8430000000001</v>
      </c>
      <c r="G283" s="911">
        <v>1352.0219999999999</v>
      </c>
      <c r="H283" s="911">
        <v>1196.8150000000001</v>
      </c>
      <c r="I283" s="911">
        <v>785.01199999999994</v>
      </c>
      <c r="J283" s="911">
        <v>1091.47</v>
      </c>
      <c r="K283" s="911">
        <v>617.36699999999996</v>
      </c>
      <c r="L283" s="911">
        <v>649.81700000000001</v>
      </c>
      <c r="M283" s="911">
        <v>2210.4119999999998</v>
      </c>
      <c r="N283" s="911">
        <v>1693.1310000000001</v>
      </c>
      <c r="O283" s="911">
        <v>798.62800000000004</v>
      </c>
      <c r="P283" s="911">
        <v>643.56299999999999</v>
      </c>
      <c r="Q283" s="911">
        <v>586.75199999999995</v>
      </c>
      <c r="R283" s="911">
        <v>1215.048</v>
      </c>
      <c r="S283" s="911">
        <v>866.90599999999995</v>
      </c>
      <c r="T283" s="911">
        <v>882.67499999999995</v>
      </c>
      <c r="U283" s="911">
        <v>910.7</v>
      </c>
      <c r="V283" s="911">
        <v>4513.6000000000004</v>
      </c>
      <c r="W283" s="911">
        <v>3150.1</v>
      </c>
      <c r="X283" s="911">
        <v>4820.1000000000004</v>
      </c>
      <c r="Y283" s="911">
        <v>5059.8999999999996</v>
      </c>
      <c r="Z283" s="911">
        <v>5821.7</v>
      </c>
      <c r="AA283" s="911">
        <v>4326.3999999999996</v>
      </c>
      <c r="AB283" s="911">
        <v>4504.8</v>
      </c>
      <c r="AC283" s="911">
        <v>3054.4</v>
      </c>
      <c r="AD283" s="911">
        <v>4007.3</v>
      </c>
      <c r="AE283" s="911">
        <v>3038.5</v>
      </c>
      <c r="AF283" s="911">
        <v>3043.8</v>
      </c>
      <c r="AG283" s="911">
        <v>3252.3</v>
      </c>
      <c r="AH283" s="911">
        <v>4195.7</v>
      </c>
      <c r="AI283" s="911">
        <v>2224.5</v>
      </c>
      <c r="AJ283" s="911">
        <v>2275.1</v>
      </c>
      <c r="AK283" s="911">
        <v>3292.5</v>
      </c>
      <c r="AL283" s="911">
        <v>3750.9</v>
      </c>
      <c r="AM283" s="2577">
        <v>3146.9259999999999</v>
      </c>
      <c r="AN283" s="911">
        <v>643.20000000000005</v>
      </c>
      <c r="AO283" s="911">
        <v>1159.17</v>
      </c>
      <c r="AP283" s="911">
        <v>1741.1869999999999</v>
      </c>
      <c r="AQ283" s="911">
        <v>1563.367</v>
      </c>
      <c r="AR283" s="911">
        <v>1259.4490000000001</v>
      </c>
      <c r="AS283" s="911">
        <v>1315.03</v>
      </c>
      <c r="AT283" s="911">
        <v>2232.1139913420011</v>
      </c>
      <c r="AU283" s="911">
        <v>2809.7397791215908</v>
      </c>
      <c r="AV283" s="911">
        <v>2732.7321894972474</v>
      </c>
      <c r="AW283" s="911">
        <v>2637.8508508166051</v>
      </c>
      <c r="AX283" s="911">
        <v>2647.7729433180539</v>
      </c>
      <c r="AZ283" s="911">
        <v>2019.9918577218566</v>
      </c>
      <c r="BA283" s="1081"/>
      <c r="BD283" s="911">
        <v>1591.8430000000001</v>
      </c>
      <c r="BE283" s="911">
        <v>1091.47</v>
      </c>
      <c r="BF283" s="911">
        <v>1693.1310000000001</v>
      </c>
      <c r="BG283" s="911">
        <v>1215.048</v>
      </c>
      <c r="BH283" s="1011">
        <v>4513.6000000000004</v>
      </c>
      <c r="BI283" s="1011">
        <v>5821.7</v>
      </c>
      <c r="BJ283" s="1011">
        <v>4007.3</v>
      </c>
      <c r="BK283" s="1011">
        <v>4195.7</v>
      </c>
      <c r="BL283" s="1011">
        <v>3750.9</v>
      </c>
      <c r="BM283" s="2617">
        <v>1741.1869999999999</v>
      </c>
      <c r="BN283" s="1011">
        <v>2232.1139913420011</v>
      </c>
      <c r="BO283" s="1011">
        <v>2647.7729433180539</v>
      </c>
      <c r="BP283" s="1011">
        <v>2571.5234532597924</v>
      </c>
      <c r="BQ283" s="1011">
        <v>1896.4066749447995</v>
      </c>
      <c r="BR283" s="1011">
        <v>2983.9396655452051</v>
      </c>
      <c r="BS283" s="1011">
        <v>4049.9435361653386</v>
      </c>
    </row>
    <row r="284" spans="1:71">
      <c r="B284" s="114" t="s">
        <v>595</v>
      </c>
      <c r="C284" s="69">
        <f t="shared" ref="C284:AX284" si="1416">+C98</f>
        <v>1965.722</v>
      </c>
      <c r="D284" s="69">
        <f t="shared" si="1416"/>
        <v>1812.961</v>
      </c>
      <c r="E284" s="69">
        <f t="shared" si="1416"/>
        <v>1623.2639999999999</v>
      </c>
      <c r="F284" s="69">
        <f t="shared" si="1416"/>
        <v>1591.8430000000001</v>
      </c>
      <c r="G284" s="69">
        <f t="shared" si="1416"/>
        <v>1352.0219999999999</v>
      </c>
      <c r="H284" s="69">
        <f t="shared" si="1416"/>
        <v>1196.8150000000001</v>
      </c>
      <c r="I284" s="69">
        <f t="shared" si="1416"/>
        <v>785.01199999999994</v>
      </c>
      <c r="J284" s="69">
        <f t="shared" si="1416"/>
        <v>1091.47</v>
      </c>
      <c r="K284" s="69">
        <f t="shared" si="1416"/>
        <v>617.36699999999996</v>
      </c>
      <c r="L284" s="69">
        <f t="shared" si="1416"/>
        <v>649.81700000000001</v>
      </c>
      <c r="M284" s="69">
        <f t="shared" si="1416"/>
        <v>2210.4119999999998</v>
      </c>
      <c r="N284" s="69">
        <f t="shared" si="1416"/>
        <v>1693.1310000000001</v>
      </c>
      <c r="O284" s="69">
        <f t="shared" si="1416"/>
        <v>798.62800000000004</v>
      </c>
      <c r="P284" s="69">
        <f t="shared" si="1416"/>
        <v>643.56299999999999</v>
      </c>
      <c r="Q284" s="69">
        <f t="shared" si="1416"/>
        <v>586.75199999999995</v>
      </c>
      <c r="R284" s="69">
        <f t="shared" si="1416"/>
        <v>1215.048</v>
      </c>
      <c r="S284" s="69">
        <f t="shared" si="1416"/>
        <v>866.90599999999995</v>
      </c>
      <c r="T284" s="69">
        <f t="shared" si="1416"/>
        <v>882.67499999999995</v>
      </c>
      <c r="U284" s="69">
        <f t="shared" si="1416"/>
        <v>910.7</v>
      </c>
      <c r="V284" s="69">
        <f t="shared" si="1416"/>
        <v>4513.6000000000004</v>
      </c>
      <c r="W284" s="69">
        <f t="shared" si="1416"/>
        <v>3150.1</v>
      </c>
      <c r="X284" s="69">
        <f t="shared" si="1416"/>
        <v>4820.1000000000004</v>
      </c>
      <c r="Y284" s="69">
        <f t="shared" si="1416"/>
        <v>5059.8999999999996</v>
      </c>
      <c r="Z284" s="69">
        <f t="shared" si="1416"/>
        <v>5821.7</v>
      </c>
      <c r="AA284" s="69">
        <f t="shared" si="1416"/>
        <v>4326.3999999999996</v>
      </c>
      <c r="AB284" s="69">
        <f t="shared" si="1416"/>
        <v>4504.8</v>
      </c>
      <c r="AC284" s="69">
        <f t="shared" si="1416"/>
        <v>3054.4</v>
      </c>
      <c r="AD284" s="69">
        <f t="shared" si="1416"/>
        <v>4007.3</v>
      </c>
      <c r="AE284" s="69">
        <f t="shared" si="1416"/>
        <v>3038.5</v>
      </c>
      <c r="AF284" s="69">
        <f t="shared" si="1416"/>
        <v>3043.8</v>
      </c>
      <c r="AG284" s="69">
        <f t="shared" si="1416"/>
        <v>3252.3</v>
      </c>
      <c r="AH284" s="69">
        <f t="shared" si="1416"/>
        <v>4195.7</v>
      </c>
      <c r="AI284" s="69">
        <f t="shared" si="1416"/>
        <v>2224.5</v>
      </c>
      <c r="AJ284" s="69">
        <f t="shared" si="1416"/>
        <v>2275.1</v>
      </c>
      <c r="AK284" s="69">
        <f t="shared" si="1416"/>
        <v>3292.5</v>
      </c>
      <c r="AL284" s="69">
        <f t="shared" si="1416"/>
        <v>3750.9</v>
      </c>
      <c r="AM284" s="2541">
        <f t="shared" si="1416"/>
        <v>3146.9259999999999</v>
      </c>
      <c r="AN284" s="69">
        <f t="shared" si="1416"/>
        <v>643.20000000000005</v>
      </c>
      <c r="AO284" s="69">
        <f t="shared" si="1416"/>
        <v>1159.17</v>
      </c>
      <c r="AP284" s="69">
        <f t="shared" si="1416"/>
        <v>1741.1869999999999</v>
      </c>
      <c r="AQ284" s="69">
        <f t="shared" si="1416"/>
        <v>1563.367</v>
      </c>
      <c r="AR284" s="69">
        <f t="shared" si="1416"/>
        <v>1259.4490000000001</v>
      </c>
      <c r="AS284" s="69">
        <f t="shared" si="1416"/>
        <v>1315.03</v>
      </c>
      <c r="AT284" s="69">
        <f t="shared" si="1416"/>
        <v>1490.7059999999999</v>
      </c>
      <c r="AU284" s="69">
        <f t="shared" si="1416"/>
        <v>2355.0114675750933</v>
      </c>
      <c r="AV284" s="69">
        <f t="shared" si="1416"/>
        <v>2485.4548559858372</v>
      </c>
      <c r="AW284" s="69">
        <f t="shared" si="1416"/>
        <v>2441.7343781385521</v>
      </c>
      <c r="AX284" s="69">
        <f t="shared" si="1416"/>
        <v>2654.1154966839144</v>
      </c>
      <c r="AZ284" s="69">
        <v>2019.9918577218566</v>
      </c>
      <c r="BD284" s="69">
        <f t="shared" ref="BD284:BS284" si="1417">+BD98</f>
        <v>1591.8430000000001</v>
      </c>
      <c r="BE284" s="69">
        <f t="shared" si="1417"/>
        <v>1091.47</v>
      </c>
      <c r="BF284" s="69">
        <f t="shared" si="1417"/>
        <v>1693.1310000000001</v>
      </c>
      <c r="BG284" s="69">
        <f t="shared" si="1417"/>
        <v>1215.048</v>
      </c>
      <c r="BH284" s="388">
        <f t="shared" si="1417"/>
        <v>4513.6000000000004</v>
      </c>
      <c r="BI284" s="388">
        <f t="shared" si="1417"/>
        <v>5821.7</v>
      </c>
      <c r="BJ284" s="388">
        <f t="shared" si="1417"/>
        <v>4007.3</v>
      </c>
      <c r="BK284" s="388">
        <f t="shared" si="1417"/>
        <v>4195.7</v>
      </c>
      <c r="BL284" s="388">
        <f t="shared" si="1417"/>
        <v>3750.9</v>
      </c>
      <c r="BM284" s="2615">
        <f t="shared" si="1417"/>
        <v>1741.1869999999999</v>
      </c>
      <c r="BN284" s="388">
        <f t="shared" si="1417"/>
        <v>1490.7059999999999</v>
      </c>
      <c r="BO284" s="388">
        <f t="shared" si="1417"/>
        <v>2654.1154966839144</v>
      </c>
      <c r="BP284" s="388">
        <f t="shared" si="1417"/>
        <v>3693.3524478068698</v>
      </c>
      <c r="BQ284" s="388">
        <f t="shared" si="1417"/>
        <v>3246.1275646634981</v>
      </c>
      <c r="BR284" s="388">
        <f t="shared" si="1417"/>
        <v>4344.9794197250667</v>
      </c>
      <c r="BS284" s="388">
        <f t="shared" si="1417"/>
        <v>5379.8911442728986</v>
      </c>
    </row>
    <row r="285" spans="1:71">
      <c r="B285" s="114" t="s">
        <v>335</v>
      </c>
      <c r="C285" s="69">
        <f>+C284-C283</f>
        <v>0</v>
      </c>
      <c r="D285" s="69">
        <f t="shared" ref="D285:T285" si="1418">+D284-D283</f>
        <v>0</v>
      </c>
      <c r="E285" s="69">
        <f t="shared" si="1418"/>
        <v>0</v>
      </c>
      <c r="F285" s="69">
        <f t="shared" si="1418"/>
        <v>0</v>
      </c>
      <c r="G285" s="69">
        <f t="shared" si="1418"/>
        <v>0</v>
      </c>
      <c r="H285" s="69">
        <f t="shared" si="1418"/>
        <v>0</v>
      </c>
      <c r="I285" s="69">
        <f t="shared" si="1418"/>
        <v>0</v>
      </c>
      <c r="J285" s="69">
        <f t="shared" si="1418"/>
        <v>0</v>
      </c>
      <c r="K285" s="69">
        <f t="shared" si="1418"/>
        <v>0</v>
      </c>
      <c r="L285" s="69">
        <f t="shared" si="1418"/>
        <v>0</v>
      </c>
      <c r="M285" s="69">
        <f t="shared" si="1418"/>
        <v>0</v>
      </c>
      <c r="N285" s="69">
        <f t="shared" si="1418"/>
        <v>0</v>
      </c>
      <c r="O285" s="69">
        <f t="shared" si="1418"/>
        <v>0</v>
      </c>
      <c r="P285" s="69">
        <f t="shared" si="1418"/>
        <v>0</v>
      </c>
      <c r="Q285" s="69">
        <f t="shared" si="1418"/>
        <v>0</v>
      </c>
      <c r="R285" s="309">
        <f t="shared" si="1418"/>
        <v>0</v>
      </c>
      <c r="S285" s="309">
        <f t="shared" si="1418"/>
        <v>0</v>
      </c>
      <c r="T285" s="309">
        <f t="shared" si="1418"/>
        <v>0</v>
      </c>
      <c r="U285" s="309">
        <f t="shared" ref="U285:Y285" si="1419">+U284-U283</f>
        <v>0</v>
      </c>
      <c r="V285" s="309">
        <f t="shared" si="1419"/>
        <v>0</v>
      </c>
      <c r="W285" s="309">
        <f t="shared" si="1419"/>
        <v>0</v>
      </c>
      <c r="X285" s="309">
        <f t="shared" si="1419"/>
        <v>0</v>
      </c>
      <c r="Y285" s="309">
        <f t="shared" si="1419"/>
        <v>0</v>
      </c>
      <c r="Z285" s="309">
        <f t="shared" ref="Z285" si="1420">+Z284-Z283</f>
        <v>0</v>
      </c>
      <c r="AA285" s="309">
        <f>+AA284-AA283</f>
        <v>0</v>
      </c>
      <c r="AB285" s="309">
        <f>+AB284-AB283</f>
        <v>0</v>
      </c>
      <c r="AC285" s="309">
        <f>+AC284-AC283</f>
        <v>0</v>
      </c>
      <c r="AD285" s="309">
        <f>+AD284-AD283</f>
        <v>0</v>
      </c>
      <c r="AE285" s="309">
        <f>+AE284-AE283</f>
        <v>0</v>
      </c>
      <c r="AF285" s="309">
        <f t="shared" ref="AF285" si="1421">+AF284-AF283</f>
        <v>0</v>
      </c>
      <c r="AG285" s="309">
        <f t="shared" ref="AG285:AH285" si="1422">+AG284-AG283</f>
        <v>0</v>
      </c>
      <c r="AH285" s="309">
        <f t="shared" si="1422"/>
        <v>0</v>
      </c>
      <c r="AI285" s="309">
        <f t="shared" ref="AI285:AL285" si="1423">+AI284-AI283</f>
        <v>0</v>
      </c>
      <c r="AJ285" s="309">
        <f t="shared" si="1423"/>
        <v>0</v>
      </c>
      <c r="AK285" s="309">
        <f t="shared" ref="AK285" si="1424">+AK284-AK283</f>
        <v>0</v>
      </c>
      <c r="AL285" s="309">
        <f t="shared" si="1423"/>
        <v>0</v>
      </c>
      <c r="AM285" s="2578">
        <f t="shared" ref="AM285:AP285" si="1425">+AM284-AM283</f>
        <v>0</v>
      </c>
      <c r="AN285" s="309">
        <f t="shared" si="1425"/>
        <v>0</v>
      </c>
      <c r="AO285" s="309">
        <f t="shared" si="1425"/>
        <v>0</v>
      </c>
      <c r="AP285" s="309">
        <f t="shared" si="1425"/>
        <v>0</v>
      </c>
      <c r="AQ285" s="309">
        <f t="shared" ref="AQ285:AT285" si="1426">+AQ284-AQ283</f>
        <v>0</v>
      </c>
      <c r="AR285" s="309">
        <f t="shared" si="1426"/>
        <v>0</v>
      </c>
      <c r="AS285" s="309">
        <f t="shared" si="1426"/>
        <v>0</v>
      </c>
      <c r="AT285" s="309">
        <f t="shared" si="1426"/>
        <v>-741.4079913420012</v>
      </c>
      <c r="AU285" s="309">
        <f t="shared" ref="AU285:AX285" si="1427">+AU284-AU283</f>
        <v>-454.72831154649748</v>
      </c>
      <c r="AV285" s="309">
        <f t="shared" si="1427"/>
        <v>-247.27733351141023</v>
      </c>
      <c r="AW285" s="309">
        <f t="shared" si="1427"/>
        <v>-196.11647267805301</v>
      </c>
      <c r="AX285" s="309">
        <f t="shared" si="1427"/>
        <v>6.3425533658605673</v>
      </c>
      <c r="AZ285" s="309">
        <v>35.749084491848862</v>
      </c>
      <c r="BD285" s="309">
        <f t="shared" ref="BD285:BP285" si="1428">+BD284-BD283</f>
        <v>0</v>
      </c>
      <c r="BE285" s="309">
        <f t="shared" si="1428"/>
        <v>0</v>
      </c>
      <c r="BF285" s="309">
        <f t="shared" si="1428"/>
        <v>0</v>
      </c>
      <c r="BG285" s="309">
        <f t="shared" si="1428"/>
        <v>0</v>
      </c>
      <c r="BH285" s="309">
        <f t="shared" si="1428"/>
        <v>0</v>
      </c>
      <c r="BI285" s="309">
        <f t="shared" si="1428"/>
        <v>0</v>
      </c>
      <c r="BJ285" s="309">
        <f t="shared" ref="BJ285:BO285" si="1429">+BJ284-BJ283</f>
        <v>0</v>
      </c>
      <c r="BK285" s="309">
        <f t="shared" si="1429"/>
        <v>0</v>
      </c>
      <c r="BL285" s="309">
        <f t="shared" si="1429"/>
        <v>0</v>
      </c>
      <c r="BM285" s="2578">
        <f t="shared" si="1429"/>
        <v>0</v>
      </c>
      <c r="BN285" s="309">
        <f t="shared" si="1429"/>
        <v>-741.4079913420012</v>
      </c>
      <c r="BO285" s="309">
        <f t="shared" si="1429"/>
        <v>6.3425533658605673</v>
      </c>
      <c r="BP285" s="309">
        <f t="shared" si="1428"/>
        <v>1121.8289945470774</v>
      </c>
      <c r="BQ285" s="309">
        <f t="shared" ref="BQ285:BS285" si="1430">+BQ284-BQ283</f>
        <v>1349.7208897186986</v>
      </c>
      <c r="BR285" s="309">
        <f t="shared" si="1430"/>
        <v>1361.0397541798616</v>
      </c>
      <c r="BS285" s="309">
        <f t="shared" si="1430"/>
        <v>1329.94760810756</v>
      </c>
    </row>
    <row r="286" spans="1:71">
      <c r="B286" s="114"/>
      <c r="C286" s="69"/>
      <c r="D286" s="69"/>
      <c r="E286" s="69"/>
      <c r="F286" s="69"/>
      <c r="G286" s="69"/>
      <c r="H286" s="69"/>
      <c r="I286" s="69"/>
      <c r="J286" s="69"/>
      <c r="K286" s="69"/>
      <c r="L286" s="69"/>
      <c r="M286" s="69"/>
      <c r="N286" s="69"/>
      <c r="O286" s="69"/>
      <c r="P286" s="69"/>
      <c r="Q286" s="69"/>
      <c r="R286" s="309"/>
      <c r="S286" s="309"/>
      <c r="T286" s="309"/>
      <c r="U286" s="309"/>
      <c r="V286" s="309"/>
      <c r="W286" s="309"/>
      <c r="X286" s="309"/>
      <c r="Y286" s="309"/>
      <c r="Z286" s="309"/>
      <c r="AA286" s="309"/>
      <c r="AB286" s="309"/>
      <c r="AC286" s="309"/>
      <c r="AD286" s="309"/>
      <c r="AE286" s="309"/>
      <c r="AF286" s="309"/>
      <c r="AG286" s="309"/>
      <c r="AH286" s="309"/>
      <c r="AI286" s="309"/>
      <c r="AJ286" s="309"/>
      <c r="AK286" s="309"/>
      <c r="AL286" s="309"/>
      <c r="AM286" s="2578"/>
      <c r="AN286" s="309"/>
      <c r="AO286" s="309"/>
      <c r="AP286" s="309"/>
      <c r="AQ286" s="309"/>
      <c r="AR286" s="309"/>
      <c r="AS286" s="309"/>
      <c r="AT286" s="309"/>
      <c r="AU286" s="309"/>
      <c r="AV286" s="309"/>
      <c r="AW286" s="309"/>
      <c r="AX286" s="309"/>
      <c r="AZ286" s="309"/>
      <c r="BD286" s="309"/>
      <c r="BE286" s="309"/>
      <c r="BF286" s="309"/>
      <c r="BG286" s="309"/>
      <c r="BH286" s="309"/>
      <c r="BI286" s="309"/>
      <c r="BJ286" s="309"/>
      <c r="BK286" s="309"/>
      <c r="BL286" s="309"/>
      <c r="BM286" s="2578"/>
      <c r="BN286" s="309"/>
      <c r="BO286" s="309"/>
      <c r="BP286" s="309"/>
      <c r="BQ286" s="309"/>
      <c r="BR286" s="309"/>
      <c r="BS286" s="309"/>
    </row>
    <row r="287" spans="1:71">
      <c r="B287" s="114" t="s">
        <v>596</v>
      </c>
      <c r="C287" s="146">
        <f t="shared" ref="C287:AX287" si="1431">+C99</f>
        <v>713.64200000000005</v>
      </c>
      <c r="D287" s="146">
        <f t="shared" si="1431"/>
        <v>824.22500000000002</v>
      </c>
      <c r="E287" s="146">
        <f t="shared" si="1431"/>
        <v>1284.607</v>
      </c>
      <c r="F287" s="146">
        <f t="shared" si="1431"/>
        <v>1191.836</v>
      </c>
      <c r="G287" s="146">
        <f t="shared" si="1431"/>
        <v>1072.098</v>
      </c>
      <c r="H287" s="146">
        <f t="shared" si="1431"/>
        <v>1075.3610000000001</v>
      </c>
      <c r="I287" s="146">
        <f t="shared" si="1431"/>
        <v>1034.9690000000001</v>
      </c>
      <c r="J287" s="146">
        <f t="shared" si="1431"/>
        <v>1207.4590000000001</v>
      </c>
      <c r="K287" s="146">
        <f t="shared" si="1431"/>
        <v>1171.066</v>
      </c>
      <c r="L287" s="146">
        <f t="shared" si="1431"/>
        <v>974.19299999999998</v>
      </c>
      <c r="M287" s="146">
        <f t="shared" si="1431"/>
        <v>1491.155</v>
      </c>
      <c r="N287" s="146">
        <f t="shared" si="1431"/>
        <v>1977.3050000000001</v>
      </c>
      <c r="O287" s="146">
        <f t="shared" si="1431"/>
        <v>1856.46</v>
      </c>
      <c r="P287" s="146">
        <f t="shared" si="1431"/>
        <v>1299.54</v>
      </c>
      <c r="Q287" s="146">
        <f t="shared" si="1431"/>
        <v>1179.3979999999999</v>
      </c>
      <c r="R287" s="146">
        <f t="shared" si="1431"/>
        <v>1215.377</v>
      </c>
      <c r="S287" s="146">
        <f t="shared" si="1431"/>
        <v>502.24099999999999</v>
      </c>
      <c r="T287" s="146">
        <f t="shared" si="1431"/>
        <v>717.78200000000004</v>
      </c>
      <c r="U287" s="146">
        <f t="shared" si="1431"/>
        <v>749.9</v>
      </c>
      <c r="V287" s="146">
        <f t="shared" si="1431"/>
        <v>1025.8</v>
      </c>
      <c r="W287" s="146">
        <f t="shared" si="1431"/>
        <v>1416.2</v>
      </c>
      <c r="X287" s="146">
        <f t="shared" si="1431"/>
        <v>2570.1999999999998</v>
      </c>
      <c r="Y287" s="146">
        <f t="shared" si="1431"/>
        <v>2891</v>
      </c>
      <c r="Z287" s="146">
        <f t="shared" si="1431"/>
        <v>2520.6</v>
      </c>
      <c r="AA287" s="146">
        <f t="shared" si="1431"/>
        <v>2249.6999999999998</v>
      </c>
      <c r="AB287" s="146">
        <f t="shared" si="1431"/>
        <v>3484.6</v>
      </c>
      <c r="AC287" s="146">
        <f t="shared" si="1431"/>
        <v>2304.5</v>
      </c>
      <c r="AD287" s="146">
        <f t="shared" si="1431"/>
        <v>1978.7</v>
      </c>
      <c r="AE287" s="146">
        <f t="shared" si="1431"/>
        <v>1498.2</v>
      </c>
      <c r="AF287" s="146">
        <f t="shared" si="1431"/>
        <v>1231.8</v>
      </c>
      <c r="AG287" s="146">
        <f t="shared" si="1431"/>
        <v>1377.2</v>
      </c>
      <c r="AH287" s="146">
        <f t="shared" si="1431"/>
        <v>1800.4</v>
      </c>
      <c r="AI287" s="146">
        <f t="shared" si="1431"/>
        <v>1587.5</v>
      </c>
      <c r="AJ287" s="146">
        <f t="shared" si="1431"/>
        <v>1180.4000000000001</v>
      </c>
      <c r="AK287" s="146">
        <f t="shared" si="1431"/>
        <v>3480.9</v>
      </c>
      <c r="AL287" s="146">
        <f t="shared" si="1431"/>
        <v>4024.1</v>
      </c>
      <c r="AM287" s="2532">
        <f t="shared" si="1431"/>
        <v>1510.2840000000001</v>
      </c>
      <c r="AN287" s="146">
        <f t="shared" si="1431"/>
        <v>1885.2840000000001</v>
      </c>
      <c r="AO287" s="146">
        <f t="shared" si="1431"/>
        <v>2078.7660000000001</v>
      </c>
      <c r="AP287" s="146">
        <f t="shared" si="1431"/>
        <v>1666.7819999999999</v>
      </c>
      <c r="AQ287" s="146">
        <f t="shared" si="1431"/>
        <v>1391.8320000000001</v>
      </c>
      <c r="AR287" s="146">
        <f t="shared" si="1431"/>
        <v>1007.323</v>
      </c>
      <c r="AS287" s="146">
        <f t="shared" si="1431"/>
        <v>938.43</v>
      </c>
      <c r="AT287" s="146">
        <f t="shared" si="1431"/>
        <v>1180.547</v>
      </c>
      <c r="AU287" s="146">
        <f t="shared" si="1431"/>
        <v>1180.547</v>
      </c>
      <c r="AV287" s="146">
        <f t="shared" si="1431"/>
        <v>1180.547</v>
      </c>
      <c r="AW287" s="146">
        <f t="shared" si="1431"/>
        <v>1180.547</v>
      </c>
      <c r="AX287" s="146">
        <f t="shared" si="1431"/>
        <v>1180.547</v>
      </c>
      <c r="AZ287" s="146">
        <v>938.43</v>
      </c>
      <c r="BD287" s="146">
        <f t="shared" ref="BD287:BS287" si="1432">+BD99</f>
        <v>1191.836</v>
      </c>
      <c r="BE287" s="146">
        <f t="shared" si="1432"/>
        <v>1207.4590000000001</v>
      </c>
      <c r="BF287" s="146">
        <f t="shared" si="1432"/>
        <v>1977.3050000000001</v>
      </c>
      <c r="BG287" s="146">
        <f t="shared" si="1432"/>
        <v>1215.377</v>
      </c>
      <c r="BH287" s="146">
        <f t="shared" si="1432"/>
        <v>1025.8</v>
      </c>
      <c r="BI287" s="146">
        <f t="shared" si="1432"/>
        <v>2520.6</v>
      </c>
      <c r="BJ287" s="146">
        <f t="shared" si="1432"/>
        <v>1978.7</v>
      </c>
      <c r="BK287" s="146">
        <f t="shared" si="1432"/>
        <v>1800.4</v>
      </c>
      <c r="BL287" s="146">
        <f t="shared" si="1432"/>
        <v>4024.1</v>
      </c>
      <c r="BM287" s="2532">
        <f t="shared" si="1432"/>
        <v>1666.7819999999999</v>
      </c>
      <c r="BN287" s="146">
        <f t="shared" si="1432"/>
        <v>1180.547</v>
      </c>
      <c r="BO287" s="146">
        <f t="shared" si="1432"/>
        <v>1180.547</v>
      </c>
      <c r="BP287" s="146">
        <f t="shared" si="1432"/>
        <v>1200</v>
      </c>
      <c r="BQ287" s="146">
        <f t="shared" si="1432"/>
        <v>1200</v>
      </c>
      <c r="BR287" s="146">
        <f t="shared" si="1432"/>
        <v>1200</v>
      </c>
      <c r="BS287" s="146">
        <f t="shared" si="1432"/>
        <v>1200</v>
      </c>
    </row>
    <row r="288" spans="1:71">
      <c r="B288" s="114" t="s">
        <v>340</v>
      </c>
      <c r="C288" s="108">
        <f t="shared" ref="C288:Y288" si="1433">+C287+C283</f>
        <v>2679.364</v>
      </c>
      <c r="D288" s="108">
        <f t="shared" si="1433"/>
        <v>2637.1860000000001</v>
      </c>
      <c r="E288" s="108">
        <f t="shared" si="1433"/>
        <v>2907.8710000000001</v>
      </c>
      <c r="F288" s="108">
        <f t="shared" si="1433"/>
        <v>2783.6790000000001</v>
      </c>
      <c r="G288" s="108">
        <f t="shared" si="1433"/>
        <v>2424.12</v>
      </c>
      <c r="H288" s="108">
        <f t="shared" si="1433"/>
        <v>2272.1760000000004</v>
      </c>
      <c r="I288" s="108">
        <f t="shared" si="1433"/>
        <v>1819.981</v>
      </c>
      <c r="J288" s="108">
        <f t="shared" si="1433"/>
        <v>2298.9290000000001</v>
      </c>
      <c r="K288" s="108">
        <f t="shared" si="1433"/>
        <v>1788.433</v>
      </c>
      <c r="L288" s="108">
        <f t="shared" si="1433"/>
        <v>1624.01</v>
      </c>
      <c r="M288" s="108">
        <f t="shared" si="1433"/>
        <v>3701.567</v>
      </c>
      <c r="N288" s="108">
        <f t="shared" si="1433"/>
        <v>3670.4360000000001</v>
      </c>
      <c r="O288" s="108">
        <f t="shared" si="1433"/>
        <v>2655.0880000000002</v>
      </c>
      <c r="P288" s="108">
        <f t="shared" si="1433"/>
        <v>1943.1030000000001</v>
      </c>
      <c r="Q288" s="108">
        <f t="shared" si="1433"/>
        <v>1766.1499999999999</v>
      </c>
      <c r="R288" s="108">
        <f t="shared" si="1433"/>
        <v>2430.4250000000002</v>
      </c>
      <c r="S288" s="108">
        <f t="shared" si="1433"/>
        <v>1369.1469999999999</v>
      </c>
      <c r="T288" s="108">
        <f t="shared" si="1433"/>
        <v>1600.4569999999999</v>
      </c>
      <c r="U288" s="108">
        <f t="shared" si="1433"/>
        <v>1660.6</v>
      </c>
      <c r="V288" s="108">
        <f t="shared" si="1433"/>
        <v>5539.4000000000005</v>
      </c>
      <c r="W288" s="108">
        <f t="shared" si="1433"/>
        <v>4566.3</v>
      </c>
      <c r="X288" s="108">
        <f t="shared" si="1433"/>
        <v>7390.3</v>
      </c>
      <c r="Y288" s="108">
        <f t="shared" si="1433"/>
        <v>7950.9</v>
      </c>
      <c r="Z288" s="108">
        <f t="shared" ref="Z288:AA288" si="1434">+Z287+Z283</f>
        <v>8342.2999999999993</v>
      </c>
      <c r="AA288" s="108">
        <f t="shared" si="1434"/>
        <v>6576.0999999999995</v>
      </c>
      <c r="AB288" s="108">
        <f t="shared" ref="AB288:AC288" si="1435">+AB287+AB283</f>
        <v>7989.4</v>
      </c>
      <c r="AC288" s="108">
        <f t="shared" si="1435"/>
        <v>5358.9</v>
      </c>
      <c r="AD288" s="108">
        <f t="shared" ref="AD288:AE288" si="1436">+AD287+AD283</f>
        <v>5986</v>
      </c>
      <c r="AE288" s="108">
        <f t="shared" si="1436"/>
        <v>4536.7</v>
      </c>
      <c r="AF288" s="108">
        <f t="shared" ref="AF288" si="1437">+AF287+AF283</f>
        <v>4275.6000000000004</v>
      </c>
      <c r="AG288" s="108">
        <f t="shared" ref="AG288:AH288" si="1438">+AG287+AG283</f>
        <v>4629.5</v>
      </c>
      <c r="AH288" s="108">
        <f t="shared" si="1438"/>
        <v>5996.1</v>
      </c>
      <c r="AI288" s="108">
        <f t="shared" ref="AI288" si="1439">+AI287+AI283</f>
        <v>3812</v>
      </c>
      <c r="AJ288" s="108">
        <f t="shared" ref="AJ288" si="1440">+AJ287+AJ283</f>
        <v>3455.5</v>
      </c>
      <c r="AK288" s="108">
        <f t="shared" ref="AK288:AL288" si="1441">+AK287+AK283</f>
        <v>6773.4</v>
      </c>
      <c r="AL288" s="108">
        <f t="shared" si="1441"/>
        <v>7775</v>
      </c>
      <c r="AM288" s="2579">
        <f t="shared" ref="AM288:AO288" si="1442">+AM287+AM283</f>
        <v>4657.21</v>
      </c>
      <c r="AN288" s="108">
        <f t="shared" si="1442"/>
        <v>2528.4840000000004</v>
      </c>
      <c r="AO288" s="108">
        <f t="shared" si="1442"/>
        <v>3237.9360000000001</v>
      </c>
      <c r="AP288" s="108">
        <f t="shared" ref="AP288:AQ288" si="1443">+AP287+AP283</f>
        <v>3407.9690000000001</v>
      </c>
      <c r="AQ288" s="108">
        <f t="shared" si="1443"/>
        <v>2955.1990000000001</v>
      </c>
      <c r="AR288" s="108">
        <f t="shared" ref="AR288:AT288" si="1444">+AR287+AR283</f>
        <v>2266.7719999999999</v>
      </c>
      <c r="AS288" s="108">
        <f t="shared" si="1444"/>
        <v>2253.46</v>
      </c>
      <c r="AT288" s="108">
        <f t="shared" si="1444"/>
        <v>3412.6609913420011</v>
      </c>
      <c r="AU288" s="108">
        <f t="shared" ref="AU288:AX288" si="1445">+AU287+AU283</f>
        <v>3990.2867791215908</v>
      </c>
      <c r="AV288" s="108">
        <f t="shared" si="1445"/>
        <v>3913.2791894972474</v>
      </c>
      <c r="AW288" s="108">
        <f t="shared" si="1445"/>
        <v>3818.3978508166051</v>
      </c>
      <c r="AX288" s="108">
        <f t="shared" si="1445"/>
        <v>3828.3199433180539</v>
      </c>
      <c r="AZ288" s="108">
        <v>2922.6727732300078</v>
      </c>
      <c r="BD288" s="108">
        <f>+BD287+BD283</f>
        <v>2783.6790000000001</v>
      </c>
      <c r="BE288" s="108">
        <f t="shared" ref="BE288:BP288" si="1446">+BE287+BE283</f>
        <v>2298.9290000000001</v>
      </c>
      <c r="BF288" s="108">
        <f t="shared" si="1446"/>
        <v>3670.4360000000001</v>
      </c>
      <c r="BG288" s="108">
        <f t="shared" si="1446"/>
        <v>2430.4250000000002</v>
      </c>
      <c r="BH288" s="108">
        <f t="shared" si="1446"/>
        <v>5539.4000000000005</v>
      </c>
      <c r="BI288" s="108">
        <f t="shared" si="1446"/>
        <v>8342.2999999999993</v>
      </c>
      <c r="BJ288" s="108">
        <f t="shared" ref="BJ288:BO288" si="1447">+BJ287+BJ283</f>
        <v>5986</v>
      </c>
      <c r="BK288" s="108">
        <f t="shared" si="1447"/>
        <v>5996.1</v>
      </c>
      <c r="BL288" s="108">
        <f t="shared" si="1447"/>
        <v>7775</v>
      </c>
      <c r="BM288" s="2579">
        <f t="shared" si="1447"/>
        <v>3407.9690000000001</v>
      </c>
      <c r="BN288" s="108">
        <f t="shared" si="1447"/>
        <v>3412.6609913420011</v>
      </c>
      <c r="BO288" s="108">
        <f t="shared" si="1447"/>
        <v>3828.3199433180539</v>
      </c>
      <c r="BP288" s="108">
        <f t="shared" si="1446"/>
        <v>3771.5234532597924</v>
      </c>
      <c r="BQ288" s="108">
        <f t="shared" ref="BQ288:BS288" si="1448">+BQ287+BQ283</f>
        <v>3096.4066749447993</v>
      </c>
      <c r="BR288" s="108">
        <f t="shared" si="1448"/>
        <v>4183.9396655452056</v>
      </c>
      <c r="BS288" s="108">
        <f t="shared" si="1448"/>
        <v>5249.9435361653386</v>
      </c>
    </row>
    <row r="289" spans="2:71">
      <c r="B289" s="114" t="s">
        <v>597</v>
      </c>
      <c r="C289" s="307">
        <f>+AVERAGE(B288:C288)</f>
        <v>2679.364</v>
      </c>
      <c r="D289" s="307">
        <f t="shared" ref="D289:AE289" si="1449">+AVERAGE(C288:D288)</f>
        <v>2658.2750000000001</v>
      </c>
      <c r="E289" s="307">
        <f t="shared" si="1449"/>
        <v>2772.5285000000003</v>
      </c>
      <c r="F289" s="307">
        <f t="shared" si="1449"/>
        <v>2845.7750000000001</v>
      </c>
      <c r="G289" s="307">
        <f t="shared" si="1449"/>
        <v>2603.8995</v>
      </c>
      <c r="H289" s="307">
        <f t="shared" si="1449"/>
        <v>2348.1480000000001</v>
      </c>
      <c r="I289" s="307">
        <f t="shared" si="1449"/>
        <v>2046.0785000000001</v>
      </c>
      <c r="J289" s="307">
        <f t="shared" si="1449"/>
        <v>2059.4549999999999</v>
      </c>
      <c r="K289" s="307">
        <f t="shared" si="1449"/>
        <v>2043.681</v>
      </c>
      <c r="L289" s="307">
        <f t="shared" si="1449"/>
        <v>1706.2215000000001</v>
      </c>
      <c r="M289" s="307">
        <f t="shared" si="1449"/>
        <v>2662.7885000000001</v>
      </c>
      <c r="N289" s="307">
        <f t="shared" si="1449"/>
        <v>3686.0015000000003</v>
      </c>
      <c r="O289" s="307">
        <f t="shared" si="1449"/>
        <v>3162.7620000000002</v>
      </c>
      <c r="P289" s="307">
        <f t="shared" si="1449"/>
        <v>2299.0955000000004</v>
      </c>
      <c r="Q289" s="307">
        <f t="shared" si="1449"/>
        <v>1854.6264999999999</v>
      </c>
      <c r="R289" s="307">
        <f t="shared" si="1449"/>
        <v>2098.2874999999999</v>
      </c>
      <c r="S289" s="307">
        <f t="shared" si="1449"/>
        <v>1899.7860000000001</v>
      </c>
      <c r="T289" s="307">
        <f>+AVERAGE(S288:T288)</f>
        <v>1484.8019999999999</v>
      </c>
      <c r="U289" s="307">
        <f t="shared" si="1449"/>
        <v>1630.5284999999999</v>
      </c>
      <c r="V289" s="307">
        <f t="shared" si="1449"/>
        <v>3600</v>
      </c>
      <c r="W289" s="307">
        <f t="shared" si="1449"/>
        <v>5052.8500000000004</v>
      </c>
      <c r="X289" s="307">
        <f t="shared" si="1449"/>
        <v>5978.3</v>
      </c>
      <c r="Y289" s="307">
        <f t="shared" si="1449"/>
        <v>7670.6</v>
      </c>
      <c r="Z289" s="307">
        <f t="shared" si="1449"/>
        <v>8146.5999999999995</v>
      </c>
      <c r="AA289" s="307">
        <f t="shared" si="1449"/>
        <v>7459.1999999999989</v>
      </c>
      <c r="AB289" s="307">
        <f t="shared" si="1449"/>
        <v>7282.75</v>
      </c>
      <c r="AC289" s="307">
        <f t="shared" si="1449"/>
        <v>6674.15</v>
      </c>
      <c r="AD289" s="307">
        <f t="shared" si="1449"/>
        <v>5672.45</v>
      </c>
      <c r="AE289" s="307">
        <f t="shared" si="1449"/>
        <v>5261.35</v>
      </c>
      <c r="AF289" s="307">
        <f t="shared" ref="AF289:AI289" si="1450">+AVERAGE(AE288:AF288)</f>
        <v>4406.1499999999996</v>
      </c>
      <c r="AG289" s="307">
        <f t="shared" si="1450"/>
        <v>4452.55</v>
      </c>
      <c r="AH289" s="307">
        <f t="shared" si="1450"/>
        <v>5312.8</v>
      </c>
      <c r="AI289" s="307">
        <f t="shared" si="1450"/>
        <v>4904.05</v>
      </c>
      <c r="AJ289" s="307">
        <f t="shared" ref="AJ289:AL289" si="1451">+AVERAGE(AI288:AJ288)</f>
        <v>3633.75</v>
      </c>
      <c r="AK289" s="307">
        <f t="shared" si="1451"/>
        <v>5114.45</v>
      </c>
      <c r="AL289" s="307">
        <f t="shared" si="1451"/>
        <v>7274.2</v>
      </c>
      <c r="AM289" s="2580">
        <f>+AVERAGE(AM288)</f>
        <v>4657.21</v>
      </c>
      <c r="AN289" s="307">
        <f t="shared" ref="AN289" si="1452">+AVERAGE(AM288:AN288)</f>
        <v>3592.8470000000002</v>
      </c>
      <c r="AO289" s="307">
        <f t="shared" ref="AO289" si="1453">+AVERAGE(AN288:AO288)</f>
        <v>2883.21</v>
      </c>
      <c r="AP289" s="307">
        <f t="shared" ref="AP289" si="1454">+AVERAGE(AO288:AP288)</f>
        <v>3322.9525000000003</v>
      </c>
      <c r="AQ289" s="307">
        <f t="shared" ref="AQ289" si="1455">+AVERAGE(AP288:AQ288)</f>
        <v>3181.5839999999998</v>
      </c>
      <c r="AR289" s="307">
        <f t="shared" ref="AR289" si="1456">+AVERAGE(AQ288:AR288)</f>
        <v>2610.9854999999998</v>
      </c>
      <c r="AS289" s="307">
        <f t="shared" ref="AS289" si="1457">+AVERAGE(AR288:AS288)</f>
        <v>2260.116</v>
      </c>
      <c r="AT289" s="307">
        <f t="shared" ref="AT289" si="1458">+AVERAGE(AS288:AT288)</f>
        <v>2833.0604956710004</v>
      </c>
      <c r="AU289" s="307">
        <f t="shared" ref="AU289" si="1459">+AVERAGE(AT288:AU288)</f>
        <v>3701.473885231796</v>
      </c>
      <c r="AV289" s="307">
        <f t="shared" ref="AV289" si="1460">+AVERAGE(AU288:AV288)</f>
        <v>3951.7829843094191</v>
      </c>
      <c r="AW289" s="307">
        <f t="shared" ref="AW289" si="1461">+AVERAGE(AV288:AW288)</f>
        <v>3865.8385201569263</v>
      </c>
      <c r="AX289" s="307">
        <f t="shared" ref="AX289" si="1462">+AVERAGE(AW288:AX288)</f>
        <v>3823.3588970673295</v>
      </c>
      <c r="AZ289" s="307">
        <v>2588.0663866150039</v>
      </c>
      <c r="BD289" s="307">
        <f>+AVERAGE(BD288:BD288)</f>
        <v>2783.6790000000001</v>
      </c>
      <c r="BE289" s="307">
        <f t="shared" ref="BE289:BP289" si="1463">+AVERAGE(BD288:BE288)</f>
        <v>2541.3040000000001</v>
      </c>
      <c r="BF289" s="307">
        <f t="shared" si="1463"/>
        <v>2984.6824999999999</v>
      </c>
      <c r="BG289" s="307">
        <f t="shared" si="1463"/>
        <v>3050.4305000000004</v>
      </c>
      <c r="BH289" s="307">
        <f t="shared" si="1463"/>
        <v>3984.9125000000004</v>
      </c>
      <c r="BI289" s="307">
        <f t="shared" si="1463"/>
        <v>6940.85</v>
      </c>
      <c r="BJ289" s="307">
        <f t="shared" si="1463"/>
        <v>7164.15</v>
      </c>
      <c r="BK289" s="307">
        <f t="shared" si="1463"/>
        <v>5991.05</v>
      </c>
      <c r="BL289" s="307">
        <f t="shared" si="1463"/>
        <v>6885.55</v>
      </c>
      <c r="BM289" s="2580">
        <f t="shared" si="1463"/>
        <v>5591.4845000000005</v>
      </c>
      <c r="BN289" s="307">
        <f t="shared" si="1463"/>
        <v>3410.3149956710004</v>
      </c>
      <c r="BO289" s="307">
        <f t="shared" si="1463"/>
        <v>3620.4904673300275</v>
      </c>
      <c r="BP289" s="307">
        <f t="shared" si="1463"/>
        <v>3799.9216982889229</v>
      </c>
      <c r="BQ289" s="307">
        <f t="shared" ref="BQ289" si="1464">+AVERAGE(BP288:BQ288)</f>
        <v>3433.9650641022959</v>
      </c>
      <c r="BR289" s="307">
        <f t="shared" ref="BR289" si="1465">+AVERAGE(BQ288:BR288)</f>
        <v>3640.1731702450024</v>
      </c>
      <c r="BS289" s="307">
        <f t="shared" ref="BS289" si="1466">+AVERAGE(BR288:BS288)</f>
        <v>4716.9416008552726</v>
      </c>
    </row>
    <row r="290" spans="2:71">
      <c r="B290"/>
      <c r="C290" s="307"/>
      <c r="D290" s="307"/>
      <c r="E290" s="307"/>
      <c r="F290" s="307"/>
      <c r="G290" s="307"/>
      <c r="H290" s="307"/>
      <c r="I290" s="307"/>
      <c r="J290" s="307"/>
      <c r="K290" s="307"/>
      <c r="L290" s="307"/>
      <c r="M290" s="307"/>
      <c r="N290" s="307"/>
      <c r="O290" s="307"/>
      <c r="P290" s="307"/>
      <c r="Q290" s="307"/>
      <c r="R290" s="307"/>
      <c r="S290" s="307"/>
      <c r="T290" s="307"/>
      <c r="U290" s="307"/>
      <c r="V290" s="307"/>
      <c r="W290" s="307"/>
      <c r="X290" s="307"/>
      <c r="Y290" s="307"/>
      <c r="Z290" s="307"/>
      <c r="AA290" s="307"/>
      <c r="AB290" s="307"/>
      <c r="AC290" s="307"/>
      <c r="AD290" s="307"/>
      <c r="AE290" s="307"/>
      <c r="AF290" s="307"/>
      <c r="AG290" s="307"/>
      <c r="AH290" s="307"/>
      <c r="AI290" s="307"/>
      <c r="AJ290" s="307"/>
      <c r="AK290" s="307"/>
      <c r="AL290" s="307"/>
      <c r="AM290" s="2580"/>
      <c r="AN290" s="307"/>
      <c r="AO290" s="307"/>
      <c r="AP290" s="307"/>
      <c r="AQ290" s="307"/>
      <c r="AR290" s="307"/>
      <c r="AS290" s="307"/>
      <c r="AT290" s="307"/>
      <c r="AU290" s="307"/>
      <c r="AV290" s="307"/>
      <c r="AW290" s="307"/>
      <c r="AX290" s="307"/>
      <c r="AZ290" s="307"/>
      <c r="BD290" s="307"/>
      <c r="BE290" s="307"/>
      <c r="BF290" s="307"/>
      <c r="BG290" s="307"/>
      <c r="BH290" s="307"/>
      <c r="BI290" s="307"/>
      <c r="BJ290" s="307"/>
      <c r="BK290" s="307"/>
      <c r="BL290" s="307"/>
      <c r="BM290" s="2580"/>
      <c r="BN290" s="307"/>
      <c r="BO290" s="307"/>
      <c r="BP290" s="307"/>
      <c r="BQ290" s="307"/>
      <c r="BR290" s="307"/>
      <c r="BS290" s="307"/>
    </row>
    <row r="291" spans="2:71">
      <c r="B291" s="114"/>
    </row>
    <row r="292" spans="2:71">
      <c r="B292" s="114" t="s">
        <v>598</v>
      </c>
      <c r="K292" t="e">
        <f>+#REF!</f>
        <v>#REF!</v>
      </c>
      <c r="L292" t="e">
        <f>+#REF!</f>
        <v>#REF!</v>
      </c>
      <c r="M292" t="e">
        <f>+#REF!</f>
        <v>#REF!</v>
      </c>
      <c r="N292" t="e">
        <f>+#REF!</f>
        <v>#REF!</v>
      </c>
      <c r="O292" t="e">
        <f>+#REF!</f>
        <v>#REF!</v>
      </c>
      <c r="P292" t="e">
        <f>+#REF!</f>
        <v>#REF!</v>
      </c>
      <c r="Q292" t="e">
        <f>+#REF!</f>
        <v>#REF!</v>
      </c>
      <c r="R292" t="e">
        <f>+#REF!</f>
        <v>#REF!</v>
      </c>
      <c r="S292" t="e">
        <f>+#REF!</f>
        <v>#REF!</v>
      </c>
      <c r="T292" t="e">
        <f>+#REF!</f>
        <v>#REF!</v>
      </c>
      <c r="U292" t="e">
        <f>+#REF!</f>
        <v>#REF!</v>
      </c>
      <c r="V292" t="e">
        <f>+#REF!</f>
        <v>#REF!</v>
      </c>
      <c r="W292" t="e">
        <f>+#REF!</f>
        <v>#REF!</v>
      </c>
      <c r="X292" t="e">
        <f>+#REF!</f>
        <v>#REF!</v>
      </c>
      <c r="Y292" t="e">
        <f>+#REF!</f>
        <v>#REF!</v>
      </c>
      <c r="Z292" t="e">
        <f>+#REF!</f>
        <v>#REF!</v>
      </c>
      <c r="AA292" t="e">
        <f>+#REF!</f>
        <v>#REF!</v>
      </c>
      <c r="AB292" t="e">
        <f>+#REF!</f>
        <v>#REF!</v>
      </c>
      <c r="AC292" t="e">
        <f>+#REF!</f>
        <v>#REF!</v>
      </c>
      <c r="AD292" t="e">
        <f>+#REF!</f>
        <v>#REF!</v>
      </c>
      <c r="AE292" t="e">
        <f>+#REF!</f>
        <v>#REF!</v>
      </c>
      <c r="AF292" t="e">
        <f>+#REF!</f>
        <v>#REF!</v>
      </c>
      <c r="AG292" t="e">
        <f>+#REF!</f>
        <v>#REF!</v>
      </c>
      <c r="AH292" t="e">
        <f>+#REF!</f>
        <v>#REF!</v>
      </c>
      <c r="AI292" t="e">
        <f>+#REF!</f>
        <v>#REF!</v>
      </c>
      <c r="AJ292" t="e">
        <f>+#REF!</f>
        <v>#REF!</v>
      </c>
      <c r="AK292" t="e">
        <f>+#REF!</f>
        <v>#REF!</v>
      </c>
      <c r="AL292" t="e">
        <f>+#REF!</f>
        <v>#REF!</v>
      </c>
      <c r="AM292" s="307">
        <f>+AM280</f>
        <v>129.38</v>
      </c>
      <c r="AN292" s="307">
        <f t="shared" ref="AN292:AS292" si="1467">+AN280</f>
        <v>88.578000000000003</v>
      </c>
      <c r="AO292" s="307">
        <f t="shared" si="1467"/>
        <v>54.929000000000002</v>
      </c>
      <c r="AP292" s="307">
        <f t="shared" si="1467"/>
        <v>68.599999999999994</v>
      </c>
      <c r="AQ292" s="307">
        <f t="shared" si="1467"/>
        <v>41.4</v>
      </c>
      <c r="AR292" s="307">
        <f t="shared" si="1467"/>
        <v>22.5</v>
      </c>
      <c r="AS292" s="307">
        <f t="shared" si="1467"/>
        <v>37.327999999999996</v>
      </c>
      <c r="AT292" s="695">
        <f t="shared" ref="AT292" si="1468">+AT293*AT289</f>
        <v>50.369090692751605</v>
      </c>
      <c r="AU292" s="695">
        <f t="shared" ref="AU292:AX292" si="1469">+AU293*AU289</f>
        <v>64.766194421146196</v>
      </c>
      <c r="AV292" s="695">
        <f t="shared" si="1469"/>
        <v>64.67590062871804</v>
      </c>
      <c r="AW292" s="695">
        <f t="shared" si="1469"/>
        <v>59.970723527193051</v>
      </c>
      <c r="AX292" s="695">
        <f t="shared" si="1469"/>
        <v>57.127810352395457</v>
      </c>
      <c r="AZ292" s="695">
        <v>46.013331076221199</v>
      </c>
      <c r="BD292" s="69" t="e">
        <f>+#REF!</f>
        <v>#REF!</v>
      </c>
      <c r="BE292" s="69" t="e">
        <f>+#REF!</f>
        <v>#REF!</v>
      </c>
      <c r="BF292" s="69" t="e">
        <f>+#REF!</f>
        <v>#REF!</v>
      </c>
      <c r="BG292" s="69" t="e">
        <f>+#REF!</f>
        <v>#REF!</v>
      </c>
      <c r="BH292" s="69" t="e">
        <f>+#REF!</f>
        <v>#REF!</v>
      </c>
      <c r="BI292" s="69" t="e">
        <f>+#REF!</f>
        <v>#REF!</v>
      </c>
      <c r="BJ292" s="69" t="e">
        <f>+#REF!</f>
        <v>#REF!</v>
      </c>
      <c r="BK292" s="69" t="e">
        <f>+#REF!</f>
        <v>#REF!</v>
      </c>
      <c r="BL292" s="69" t="e">
        <f>+#REF!</f>
        <v>#REF!</v>
      </c>
      <c r="BM292" s="2541">
        <f t="shared" ref="BM292:BO292" si="1470">+BM280</f>
        <v>341.48699999999997</v>
      </c>
      <c r="BN292" s="69">
        <f t="shared" si="1470"/>
        <v>133.52199999999999</v>
      </c>
      <c r="BO292" s="69">
        <f t="shared" si="1470"/>
        <v>246.54062892945274</v>
      </c>
      <c r="BP292" s="695">
        <f t="shared" ref="BP292" si="1471">+BP293*BP289</f>
        <v>218.49549765161308</v>
      </c>
      <c r="BQ292" s="695">
        <f t="shared" ref="BQ292:BS292" si="1472">+BQ293*BQ289</f>
        <v>188.86807852562626</v>
      </c>
      <c r="BR292" s="695">
        <f t="shared" si="1472"/>
        <v>182.00865851225012</v>
      </c>
      <c r="BS292" s="695">
        <f t="shared" si="1472"/>
        <v>212.26237203848726</v>
      </c>
    </row>
    <row r="293" spans="2:71">
      <c r="B293" s="114" t="s">
        <v>599</v>
      </c>
      <c r="K293" s="140" t="e">
        <f t="shared" ref="K293:S293" si="1473">+K292/K289</f>
        <v>#REF!</v>
      </c>
      <c r="L293" s="140" t="e">
        <f t="shared" si="1473"/>
        <v>#REF!</v>
      </c>
      <c r="M293" s="140" t="e">
        <f t="shared" si="1473"/>
        <v>#REF!</v>
      </c>
      <c r="N293" s="140" t="e">
        <f t="shared" si="1473"/>
        <v>#REF!</v>
      </c>
      <c r="O293" s="140" t="e">
        <f t="shared" si="1473"/>
        <v>#REF!</v>
      </c>
      <c r="P293" s="140" t="e">
        <f t="shared" si="1473"/>
        <v>#REF!</v>
      </c>
      <c r="Q293" s="140" t="e">
        <f t="shared" si="1473"/>
        <v>#REF!</v>
      </c>
      <c r="R293" s="140" t="e">
        <f t="shared" si="1473"/>
        <v>#REF!</v>
      </c>
      <c r="S293" s="140" t="e">
        <f t="shared" si="1473"/>
        <v>#REF!</v>
      </c>
      <c r="T293" s="140" t="e">
        <f t="shared" ref="T293:Y293" si="1474">+T292/T289</f>
        <v>#REF!</v>
      </c>
      <c r="U293" s="140" t="e">
        <f t="shared" si="1474"/>
        <v>#REF!</v>
      </c>
      <c r="V293" s="140" t="e">
        <f t="shared" si="1474"/>
        <v>#REF!</v>
      </c>
      <c r="W293" s="140" t="e">
        <f t="shared" si="1474"/>
        <v>#REF!</v>
      </c>
      <c r="X293" s="140" t="e">
        <f t="shared" si="1474"/>
        <v>#REF!</v>
      </c>
      <c r="Y293" s="140" t="e">
        <f t="shared" si="1474"/>
        <v>#REF!</v>
      </c>
      <c r="Z293" s="140" t="e">
        <f t="shared" ref="Z293:AA293" si="1475">+Z292/Z289</f>
        <v>#REF!</v>
      </c>
      <c r="AA293" s="140" t="e">
        <f t="shared" si="1475"/>
        <v>#REF!</v>
      </c>
      <c r="AB293" s="140" t="e">
        <f t="shared" ref="AB293:AC293" si="1476">+AB292/AB289</f>
        <v>#REF!</v>
      </c>
      <c r="AC293" s="140" t="e">
        <f t="shared" si="1476"/>
        <v>#REF!</v>
      </c>
      <c r="AD293" s="140" t="e">
        <f t="shared" ref="AD293:AE293" si="1477">+AD292/AD289</f>
        <v>#REF!</v>
      </c>
      <c r="AE293" s="140" t="e">
        <f t="shared" si="1477"/>
        <v>#REF!</v>
      </c>
      <c r="AF293" s="140" t="e">
        <f t="shared" ref="AF293:AG293" si="1478">+AF292/AF289</f>
        <v>#REF!</v>
      </c>
      <c r="AG293" s="140" t="e">
        <f t="shared" si="1478"/>
        <v>#REF!</v>
      </c>
      <c r="AH293" s="140" t="e">
        <f t="shared" ref="AH293:AI293" si="1479">+AH292/AH289</f>
        <v>#REF!</v>
      </c>
      <c r="AI293" s="140" t="e">
        <f t="shared" si="1479"/>
        <v>#REF!</v>
      </c>
      <c r="AJ293" s="140" t="e">
        <f t="shared" ref="AJ293:AK293" si="1480">+AJ292/AJ289</f>
        <v>#REF!</v>
      </c>
      <c r="AK293" s="140" t="e">
        <f t="shared" si="1480"/>
        <v>#REF!</v>
      </c>
      <c r="AL293" s="140" t="e">
        <f t="shared" ref="AL293:AM293" si="1481">+AL292/AL289</f>
        <v>#REF!</v>
      </c>
      <c r="AM293" s="2627">
        <f t="shared" si="1481"/>
        <v>2.7780581077512072E-2</v>
      </c>
      <c r="AN293" s="2627">
        <f t="shared" ref="AN293:AS293" si="1482">+AN292/AN289</f>
        <v>2.465398610071623E-2</v>
      </c>
      <c r="AO293" s="2627">
        <f t="shared" si="1482"/>
        <v>1.90513351438154E-2</v>
      </c>
      <c r="AP293" s="2627">
        <f t="shared" si="1482"/>
        <v>2.06442914847564E-2</v>
      </c>
      <c r="AQ293" s="2627">
        <f t="shared" si="1482"/>
        <v>1.3012386283059004E-2</v>
      </c>
      <c r="AR293" s="2627">
        <f t="shared" si="1482"/>
        <v>8.6174358302640915E-3</v>
      </c>
      <c r="AS293" s="2627">
        <f t="shared" si="1482"/>
        <v>1.6515966437120926E-2</v>
      </c>
      <c r="AT293" s="696">
        <f t="shared" ref="AT293" si="1483">+AT294*AT295</f>
        <v>1.7779038170811057E-2</v>
      </c>
      <c r="AU293" s="696">
        <f t="shared" ref="AU293:AX293" si="1484">+AU294*AU295</f>
        <v>1.7497406824765527E-2</v>
      </c>
      <c r="AV293" s="696">
        <f t="shared" si="1484"/>
        <v>1.6366258189155158E-2</v>
      </c>
      <c r="AW293" s="696">
        <f t="shared" si="1484"/>
        <v>1.5512992385610214E-2</v>
      </c>
      <c r="AX293" s="696">
        <f t="shared" si="1484"/>
        <v>1.494178597677942E-2</v>
      </c>
      <c r="AZ293" s="696">
        <v>1.7779038170811057E-2</v>
      </c>
      <c r="BD293" s="140" t="e">
        <f t="shared" ref="BD293:BI293" si="1485">+BD292/BD289</f>
        <v>#REF!</v>
      </c>
      <c r="BE293" s="140" t="e">
        <f t="shared" si="1485"/>
        <v>#REF!</v>
      </c>
      <c r="BF293" s="140" t="e">
        <f t="shared" si="1485"/>
        <v>#REF!</v>
      </c>
      <c r="BG293" s="140" t="e">
        <f t="shared" si="1485"/>
        <v>#REF!</v>
      </c>
      <c r="BH293" s="140" t="e">
        <f t="shared" si="1485"/>
        <v>#REF!</v>
      </c>
      <c r="BI293" s="140" t="e">
        <f t="shared" si="1485"/>
        <v>#REF!</v>
      </c>
      <c r="BJ293" s="140" t="e">
        <f t="shared" ref="BJ293:BO293" si="1486">+BJ292/BJ289</f>
        <v>#REF!</v>
      </c>
      <c r="BK293" s="140" t="e">
        <f t="shared" si="1486"/>
        <v>#REF!</v>
      </c>
      <c r="BL293" s="140" t="e">
        <f t="shared" si="1486"/>
        <v>#REF!</v>
      </c>
      <c r="BM293" s="2563">
        <f t="shared" si="1486"/>
        <v>6.1072690087936386E-2</v>
      </c>
      <c r="BN293" s="140">
        <f t="shared" si="1486"/>
        <v>3.915239506306329E-2</v>
      </c>
      <c r="BO293" s="140">
        <f t="shared" si="1486"/>
        <v>6.8095919918625542E-2</v>
      </c>
      <c r="BP293" s="696">
        <f t="shared" ref="BP293" si="1487">+BP294*BP295</f>
        <v>5.7500000000000002E-2</v>
      </c>
      <c r="BQ293" s="696">
        <f t="shared" ref="BQ293:BS293" si="1488">+BQ294*BQ295</f>
        <v>5.5E-2</v>
      </c>
      <c r="BR293" s="696">
        <f t="shared" si="1488"/>
        <v>0.05</v>
      </c>
      <c r="BS293" s="696">
        <f t="shared" si="1488"/>
        <v>4.4999999999999998E-2</v>
      </c>
    </row>
    <row r="294" spans="2:71" s="842" customFormat="1">
      <c r="B294" s="843" t="s">
        <v>600</v>
      </c>
      <c r="K294" s="844">
        <f>+MACRO!K$6</f>
        <v>3.0500946736911727E-2</v>
      </c>
      <c r="L294" s="844">
        <f>+MACRO!L$6</f>
        <v>2.6479559859692303E-2</v>
      </c>
      <c r="M294" s="844">
        <f>+MACRO!M$6</f>
        <v>2.2363559609957839E-2</v>
      </c>
      <c r="N294" s="844">
        <f>+MACRO!N$6</f>
        <v>1.8362980987926658E-2</v>
      </c>
      <c r="O294" s="844">
        <f>+MACRO!O$6</f>
        <v>1.6642416339083699E-2</v>
      </c>
      <c r="P294" s="844">
        <f>+MACRO!P$6</f>
        <v>1.586828478278357E-2</v>
      </c>
      <c r="Q294" s="844">
        <f>+MACRO!Q$6</f>
        <v>1.586828478278357E-2</v>
      </c>
      <c r="R294" s="844">
        <f>+MACRO!R$6</f>
        <v>1.586828478278357E-2</v>
      </c>
      <c r="S294" s="844">
        <f>+MACRO!S$6</f>
        <v>1.586828478278357E-2</v>
      </c>
      <c r="T294" s="844">
        <f>+MACRO!T$6</f>
        <v>1.586828478278357E-2</v>
      </c>
      <c r="U294" s="844">
        <f>+MACRO!U$6</f>
        <v>1.4913071423088509E-2</v>
      </c>
      <c r="V294" s="844">
        <f>+MACRO!V$6</f>
        <v>1.2392721514959071E-2</v>
      </c>
      <c r="W294" s="844">
        <f>+MACRO!W$6</f>
        <v>1.0508203112448822E-2</v>
      </c>
      <c r="X294" s="844">
        <f>+MACRO!X$6</f>
        <v>7.8324965478326902E-3</v>
      </c>
      <c r="Y294" s="844">
        <f>+MACRO!Y$6</f>
        <v>5.1845412595541429E-3</v>
      </c>
      <c r="Z294" s="844">
        <f>+MACRO!Z$6</f>
        <v>4.9629315732038215E-3</v>
      </c>
      <c r="AA294" s="844">
        <f>+MACRO!AA$6</f>
        <v>5.2829874231419272E-3</v>
      </c>
      <c r="AB294" s="844">
        <f>+MACRO!AB$6</f>
        <v>8.2717988664033903E-3</v>
      </c>
      <c r="AC294" s="844">
        <f>+MACRO!AC$6</f>
        <v>1.2248131848348498E-2</v>
      </c>
      <c r="AD294" s="844">
        <f>+MACRO!AD$6</f>
        <v>1.8670575645447718E-2</v>
      </c>
      <c r="AE294" s="844">
        <f>+MACRO!AE$6</f>
        <v>2.5089855568062536E-2</v>
      </c>
      <c r="AF294" s="844">
        <f>+MACRO!AF$6</f>
        <v>2.9860684889043698E-2</v>
      </c>
      <c r="AG294" s="844">
        <f>+MACRO!AG$6</f>
        <v>3.2391886619581145E-2</v>
      </c>
      <c r="AH294" s="844">
        <f>+MACRO!AH$6</f>
        <v>3.2732516378310317E-2</v>
      </c>
      <c r="AI294" s="844">
        <f>+MACRO!AI$6</f>
        <v>3.2732516378310317E-2</v>
      </c>
      <c r="AJ294" s="844">
        <f>+MACRO!AJ$6</f>
        <v>3.2732516378310317E-2</v>
      </c>
      <c r="AK294" s="844">
        <f>+MACRO!AK$6</f>
        <v>3.1846176683566041E-2</v>
      </c>
      <c r="AL294" s="844">
        <f>+MACRO!AL$6</f>
        <v>2.9494284160460849E-2</v>
      </c>
      <c r="AM294" s="2628">
        <f>+MACRO!AM$6</f>
        <v>2.7241497638393453E-2</v>
      </c>
      <c r="AN294" s="2628">
        <f>+MACRO!AN$6</f>
        <v>2.5507360290891512E-2</v>
      </c>
      <c r="AO294" s="2628">
        <f>+MACRO!AO$6</f>
        <v>2.5345057941852822E-2</v>
      </c>
      <c r="AP294" s="2628">
        <f>+MACRO!AP$6</f>
        <v>2.70569411275976E-2</v>
      </c>
      <c r="AQ294" s="2628">
        <f>+MACRO!AQ$6</f>
        <v>3.2354018049627786E-2</v>
      </c>
      <c r="AR294" s="2628">
        <f>+MACRO!AR$6</f>
        <v>3.4994813649531054E-2</v>
      </c>
      <c r="AS294" s="2628">
        <f>+MACRO!AS$6</f>
        <v>3.5558076341622114E-2</v>
      </c>
      <c r="AT294" s="845">
        <f>+MACRO!AT$6</f>
        <v>3.5558076341622114E-2</v>
      </c>
      <c r="AU294" s="845">
        <f>+MACRO!AU$6</f>
        <v>3.4994813649531054E-2</v>
      </c>
      <c r="AV294" s="845">
        <f>+MACRO!AV$6</f>
        <v>3.2732516378310317E-2</v>
      </c>
      <c r="AW294" s="845">
        <f>+MACRO!AW$6</f>
        <v>3.1025984771220427E-2</v>
      </c>
      <c r="AX294" s="845">
        <f>+MACRO!AX$6</f>
        <v>2.9883571953558841E-2</v>
      </c>
      <c r="AZ294" s="845">
        <v>3.5558076341622114E-2</v>
      </c>
      <c r="BA294" s="1082"/>
      <c r="BD294" s="845">
        <f>+MACRO!BD$6</f>
        <v>0.135075</v>
      </c>
      <c r="BE294" s="845">
        <f>+MACRO!BE$6</f>
        <v>0.14177499999999998</v>
      </c>
      <c r="BF294" s="845">
        <f>+MACRO!BF$6</f>
        <v>0.10147500000000001</v>
      </c>
      <c r="BG294" s="845">
        <f>+MACRO!BG$6</f>
        <v>6.5812499999999996E-2</v>
      </c>
      <c r="BH294" s="845">
        <f>+MACRO!BH$6</f>
        <v>6.0374999999999998E-2</v>
      </c>
      <c r="BI294" s="845">
        <f>+MACRO!BI$6</f>
        <v>2.8825E-2</v>
      </c>
      <c r="BJ294" s="845">
        <f>+MACRO!BJ$6</f>
        <v>4.5374999999999999E-2</v>
      </c>
      <c r="BK294" s="845">
        <f>+MACRO!BK$6</f>
        <v>0.12564999999999998</v>
      </c>
      <c r="BL294" s="845">
        <f>+MACRO!BL$6</f>
        <v>0.13297500000000001</v>
      </c>
      <c r="BM294" s="2618">
        <f>+MACRO!BM$6</f>
        <v>0.109375</v>
      </c>
      <c r="BN294" s="845">
        <f>+MACRO!BN$6</f>
        <v>0.14583333333333334</v>
      </c>
      <c r="BO294" s="845">
        <f>+MACRO!BO$6</f>
        <v>0.13500000000000001</v>
      </c>
      <c r="BP294" s="845">
        <f>+MACRO!BP$6</f>
        <v>0.115</v>
      </c>
      <c r="BQ294" s="845">
        <f>+MACRO!BQ$6</f>
        <v>0.11</v>
      </c>
      <c r="BR294" s="845">
        <f>+MACRO!BR$6</f>
        <v>0.1</v>
      </c>
      <c r="BS294" s="845">
        <f>+MACRO!BS$6</f>
        <v>0.09</v>
      </c>
    </row>
    <row r="295" spans="2:71">
      <c r="K295" s="140" t="e">
        <f t="shared" ref="K295:S295" si="1489">+K293/K294</f>
        <v>#REF!</v>
      </c>
      <c r="L295" s="140" t="e">
        <f t="shared" si="1489"/>
        <v>#REF!</v>
      </c>
      <c r="M295" s="140" t="e">
        <f t="shared" si="1489"/>
        <v>#REF!</v>
      </c>
      <c r="N295" s="140" t="e">
        <f t="shared" si="1489"/>
        <v>#REF!</v>
      </c>
      <c r="O295" s="140" t="e">
        <f t="shared" si="1489"/>
        <v>#REF!</v>
      </c>
      <c r="P295" s="140" t="e">
        <f t="shared" si="1489"/>
        <v>#REF!</v>
      </c>
      <c r="Q295" s="140" t="e">
        <f t="shared" si="1489"/>
        <v>#REF!</v>
      </c>
      <c r="R295" s="140" t="e">
        <f t="shared" si="1489"/>
        <v>#REF!</v>
      </c>
      <c r="S295" s="140" t="e">
        <f t="shared" si="1489"/>
        <v>#REF!</v>
      </c>
      <c r="T295" s="140" t="e">
        <f t="shared" ref="T295:Y295" si="1490">+T293/T294</f>
        <v>#REF!</v>
      </c>
      <c r="U295" s="140" t="e">
        <f t="shared" si="1490"/>
        <v>#REF!</v>
      </c>
      <c r="V295" s="140" t="e">
        <f t="shared" si="1490"/>
        <v>#REF!</v>
      </c>
      <c r="W295" s="140" t="e">
        <f t="shared" si="1490"/>
        <v>#REF!</v>
      </c>
      <c r="X295" s="140" t="e">
        <f t="shared" si="1490"/>
        <v>#REF!</v>
      </c>
      <c r="Y295" s="140" t="e">
        <f t="shared" si="1490"/>
        <v>#REF!</v>
      </c>
      <c r="Z295" s="140" t="e">
        <f t="shared" ref="Z295:AA295" si="1491">+Z293/Z294</f>
        <v>#REF!</v>
      </c>
      <c r="AA295" s="140" t="e">
        <f t="shared" si="1491"/>
        <v>#REF!</v>
      </c>
      <c r="AB295" s="140" t="e">
        <f t="shared" ref="AB295:AC295" si="1492">+AB293/AB294</f>
        <v>#REF!</v>
      </c>
      <c r="AC295" s="140" t="e">
        <f t="shared" si="1492"/>
        <v>#REF!</v>
      </c>
      <c r="AD295" s="140" t="e">
        <f t="shared" ref="AD295:AE295" si="1493">+AD293/AD294</f>
        <v>#REF!</v>
      </c>
      <c r="AE295" s="140" t="e">
        <f t="shared" si="1493"/>
        <v>#REF!</v>
      </c>
      <c r="AF295" s="140" t="e">
        <f t="shared" ref="AF295:AG295" si="1494">+AF293/AF294</f>
        <v>#REF!</v>
      </c>
      <c r="AG295" s="140" t="e">
        <f t="shared" si="1494"/>
        <v>#REF!</v>
      </c>
      <c r="AH295" s="140" t="e">
        <f t="shared" ref="AH295:AI295" si="1495">+AH293/AH294</f>
        <v>#REF!</v>
      </c>
      <c r="AI295" s="140" t="e">
        <f t="shared" si="1495"/>
        <v>#REF!</v>
      </c>
      <c r="AJ295" s="140" t="e">
        <f t="shared" ref="AJ295:AK295" si="1496">+AJ293/AJ294</f>
        <v>#REF!</v>
      </c>
      <c r="AK295" s="140" t="e">
        <f t="shared" si="1496"/>
        <v>#REF!</v>
      </c>
      <c r="AL295" s="140" t="e">
        <f t="shared" ref="AL295:AM295" si="1497">+AL293/AL294</f>
        <v>#REF!</v>
      </c>
      <c r="AM295" s="2627">
        <f t="shared" si="1497"/>
        <v>1.0197890529468854</v>
      </c>
      <c r="AN295" s="2627">
        <f t="shared" ref="AN295:AS295" si="1498">+AN293/AN294</f>
        <v>0.96654400218434144</v>
      </c>
      <c r="AO295" s="2627">
        <f t="shared" si="1498"/>
        <v>0.75167850030263816</v>
      </c>
      <c r="AP295" s="2627">
        <f t="shared" si="1498"/>
        <v>0.76299428628684074</v>
      </c>
      <c r="AQ295" s="2627">
        <f t="shared" si="1498"/>
        <v>0.40218764368306037</v>
      </c>
      <c r="AR295" s="2627">
        <f t="shared" si="1498"/>
        <v>0.24624894181654169</v>
      </c>
      <c r="AS295" s="2627">
        <f t="shared" si="1498"/>
        <v>0.46447862585266864</v>
      </c>
      <c r="AT295" s="306">
        <v>0.5</v>
      </c>
      <c r="AU295" s="306">
        <v>0.5</v>
      </c>
      <c r="AV295" s="306">
        <v>0.5</v>
      </c>
      <c r="AW295" s="306">
        <v>0.5</v>
      </c>
      <c r="AX295" s="306">
        <v>0.5</v>
      </c>
      <c r="AZ295" s="306">
        <v>0.5</v>
      </c>
      <c r="BD295" s="140" t="e">
        <f t="shared" ref="BD295:BI295" si="1499">+BD293/BD294</f>
        <v>#REF!</v>
      </c>
      <c r="BE295" s="140" t="e">
        <f t="shared" si="1499"/>
        <v>#REF!</v>
      </c>
      <c r="BF295" s="140" t="e">
        <f t="shared" si="1499"/>
        <v>#REF!</v>
      </c>
      <c r="BG295" s="140" t="e">
        <f t="shared" si="1499"/>
        <v>#REF!</v>
      </c>
      <c r="BH295" s="140" t="e">
        <f t="shared" si="1499"/>
        <v>#REF!</v>
      </c>
      <c r="BI295" s="140" t="e">
        <f t="shared" si="1499"/>
        <v>#REF!</v>
      </c>
      <c r="BJ295" s="140" t="e">
        <f t="shared" ref="BJ295:BO295" si="1500">+BJ293/BJ294</f>
        <v>#REF!</v>
      </c>
      <c r="BK295" s="140" t="e">
        <f t="shared" si="1500"/>
        <v>#REF!</v>
      </c>
      <c r="BL295" s="140" t="e">
        <f t="shared" si="1500"/>
        <v>#REF!</v>
      </c>
      <c r="BM295" s="2563">
        <f t="shared" si="1500"/>
        <v>0.55837888080398979</v>
      </c>
      <c r="BN295" s="140">
        <f t="shared" si="1500"/>
        <v>0.26847356614671969</v>
      </c>
      <c r="BO295" s="140">
        <f t="shared" si="1500"/>
        <v>0.50441422161944838</v>
      </c>
      <c r="BP295" s="306">
        <v>0.5</v>
      </c>
      <c r="BQ295" s="306">
        <v>0.5</v>
      </c>
      <c r="BR295" s="306">
        <v>0.5</v>
      </c>
      <c r="BS295" s="306">
        <v>0.5</v>
      </c>
    </row>
    <row r="296" spans="2:71">
      <c r="B296" s="115" t="s">
        <v>601</v>
      </c>
    </row>
    <row r="297" spans="2:71">
      <c r="B297" s="114"/>
    </row>
    <row r="298" spans="2:71">
      <c r="B298" s="114"/>
    </row>
    <row r="299" spans="2:71">
      <c r="B299" s="114"/>
      <c r="K299" s="302" t="e">
        <f>+K300-K28</f>
        <v>#REF!</v>
      </c>
      <c r="L299" s="302" t="e">
        <f>+L300-L28</f>
        <v>#REF!</v>
      </c>
      <c r="M299" s="302" t="e">
        <f>+M300-M28</f>
        <v>#REF!</v>
      </c>
      <c r="N299" s="302" t="e">
        <f>+N300-N28</f>
        <v>#REF!</v>
      </c>
      <c r="O299" s="302" t="e">
        <f>+O300-O28</f>
        <v>#REF!</v>
      </c>
      <c r="P299" s="302" t="e">
        <f>+P300-P28</f>
        <v>#REF!</v>
      </c>
      <c r="Q299" s="302" t="e">
        <f>+Q300-Q28</f>
        <v>#REF!</v>
      </c>
      <c r="R299" s="302" t="e">
        <f>+R300-R28</f>
        <v>#REF!</v>
      </c>
      <c r="S299" s="302" t="e">
        <f>+S300-S28</f>
        <v>#REF!</v>
      </c>
      <c r="T299" s="302" t="e">
        <f>+T300-T28</f>
        <v>#REF!</v>
      </c>
      <c r="AM299" s="2579"/>
      <c r="AN299" s="108"/>
      <c r="AO299" s="108"/>
      <c r="BL299" s="192" t="e">
        <f>+#REF!/BL305</f>
        <v>#REF!</v>
      </c>
      <c r="BM299" s="2584"/>
      <c r="BN299" s="192"/>
      <c r="BO299" s="192"/>
      <c r="BP299" s="192"/>
      <c r="BQ299" s="192"/>
      <c r="BR299" s="192"/>
      <c r="BS299" s="192"/>
    </row>
    <row r="300" spans="2:71" s="299" customFormat="1">
      <c r="B300" s="300" t="s">
        <v>602</v>
      </c>
      <c r="C300" s="304" t="e">
        <f>+SUM(#REF!)</f>
        <v>#REF!</v>
      </c>
      <c r="D300" s="304" t="e">
        <f>+SUM(#REF!)</f>
        <v>#REF!</v>
      </c>
      <c r="E300" s="304" t="e">
        <f>+SUM(#REF!)</f>
        <v>#REF!</v>
      </c>
      <c r="F300" s="304" t="e">
        <f>+SUM(#REF!)</f>
        <v>#REF!</v>
      </c>
      <c r="G300" s="304" t="e">
        <f>+SUM(#REF!)</f>
        <v>#REF!</v>
      </c>
      <c r="H300" s="304" t="e">
        <f>+SUM(#REF!)</f>
        <v>#REF!</v>
      </c>
      <c r="I300" s="304" t="e">
        <f>+SUM(#REF!)</f>
        <v>#REF!</v>
      </c>
      <c r="J300" s="304" t="e">
        <f>+SUM(#REF!)</f>
        <v>#REF!</v>
      </c>
      <c r="K300" s="304" t="e">
        <f>+SUM(#REF!)</f>
        <v>#REF!</v>
      </c>
      <c r="L300" s="304" t="e">
        <f>+SUM(#REF!)</f>
        <v>#REF!</v>
      </c>
      <c r="M300" s="304" t="e">
        <f>+SUM(#REF!)</f>
        <v>#REF!</v>
      </c>
      <c r="N300" s="304" t="e">
        <f>+SUM(#REF!)</f>
        <v>#REF!</v>
      </c>
      <c r="O300" s="304" t="e">
        <f>+SUM(#REF!)</f>
        <v>#REF!</v>
      </c>
      <c r="P300" s="304" t="e">
        <f>+SUM(#REF!)</f>
        <v>#REF!</v>
      </c>
      <c r="Q300" s="304" t="e">
        <f>+SUM(#REF!)</f>
        <v>#REF!</v>
      </c>
      <c r="R300" s="304" t="e">
        <f>+SUM(#REF!)</f>
        <v>#REF!</v>
      </c>
      <c r="S300" s="304" t="e">
        <f>+SUM(#REF!)</f>
        <v>#REF!</v>
      </c>
      <c r="T300" s="304" t="e">
        <f>+SUM(#REF!)</f>
        <v>#REF!</v>
      </c>
      <c r="U300" s="304" t="e">
        <f>+SUM(#REF!)</f>
        <v>#REF!</v>
      </c>
      <c r="V300" s="304" t="e">
        <f>+SUM(#REF!)</f>
        <v>#REF!</v>
      </c>
      <c r="W300" s="304" t="e">
        <f>+SUM(#REF!)</f>
        <v>#REF!</v>
      </c>
      <c r="X300" s="304" t="e">
        <f>+SUM(#REF!)</f>
        <v>#REF!</v>
      </c>
      <c r="Y300" s="304" t="e">
        <f>+SUM(#REF!)</f>
        <v>#REF!</v>
      </c>
      <c r="Z300" s="304" t="e">
        <f>+SUM(#REF!)</f>
        <v>#REF!</v>
      </c>
      <c r="AA300" s="304" t="e">
        <f>+SUM(#REF!)</f>
        <v>#REF!</v>
      </c>
      <c r="AB300" s="304" t="e">
        <f>+SUM(#REF!)</f>
        <v>#REF!</v>
      </c>
      <c r="AC300" s="304" t="e">
        <f>+SUM(#REF!)</f>
        <v>#REF!</v>
      </c>
      <c r="AD300" s="304" t="e">
        <f>+SUM(#REF!)</f>
        <v>#REF!</v>
      </c>
      <c r="AE300" s="304" t="e">
        <f>+SUM(#REF!)</f>
        <v>#REF!</v>
      </c>
      <c r="AF300" s="304" t="e">
        <f>+SUM(#REF!)</f>
        <v>#REF!</v>
      </c>
      <c r="AG300" s="304" t="e">
        <f>+SUM(#REF!)</f>
        <v>#REF!</v>
      </c>
      <c r="AH300" s="304" t="e">
        <f>+SUM(#REF!)</f>
        <v>#REF!</v>
      </c>
      <c r="AI300" s="304" t="e">
        <f>+SUM(#REF!)</f>
        <v>#REF!</v>
      </c>
      <c r="AJ300" s="304" t="e">
        <f>+SUM(#REF!)</f>
        <v>#REF!</v>
      </c>
      <c r="AK300" s="304" t="e">
        <f>+SUM(#REF!)</f>
        <v>#REF!</v>
      </c>
      <c r="AL300" s="304" t="e">
        <f>+SUM(#REF!)</f>
        <v>#REF!</v>
      </c>
      <c r="AM300" s="304">
        <f>+AM28</f>
        <v>-97.209000000000003</v>
      </c>
      <c r="AN300" s="304">
        <f>+AN28</f>
        <v>-248.101</v>
      </c>
      <c r="AO300" s="304">
        <f>+AO28</f>
        <v>-107.5</v>
      </c>
      <c r="AP300" s="304">
        <f>+AP28</f>
        <v>-128.4</v>
      </c>
      <c r="AQ300" s="304">
        <f>+AQ28</f>
        <v>-130</v>
      </c>
      <c r="AR300" s="304">
        <f>+AR28</f>
        <v>-137.19999999999999</v>
      </c>
      <c r="AS300" s="304">
        <f>+AS28</f>
        <v>-144.80600000000001</v>
      </c>
      <c r="AT300" s="2630">
        <f>+AT307</f>
        <v>-227.20571528910952</v>
      </c>
      <c r="AU300" s="2630">
        <f t="shared" ref="AU300:AX300" si="1501">+AU307</f>
        <v>-223.33380644531687</v>
      </c>
      <c r="AV300" s="2630">
        <f t="shared" si="1501"/>
        <v>-206.96800180766149</v>
      </c>
      <c r="AW300" s="2630">
        <f t="shared" si="1501"/>
        <v>-196.39163071938725</v>
      </c>
      <c r="AX300" s="2630">
        <f t="shared" si="1501"/>
        <v>-189.59833034272546</v>
      </c>
      <c r="AY300"/>
      <c r="AZ300" s="304">
        <v>-227.20571528910952</v>
      </c>
      <c r="BA300" s="1067"/>
      <c r="BB300"/>
      <c r="BC300"/>
      <c r="BD300" s="304" t="e">
        <f>+SUM(#REF!)</f>
        <v>#REF!</v>
      </c>
      <c r="BE300" s="304" t="e">
        <f>+SUM(#REF!)</f>
        <v>#REF!</v>
      </c>
      <c r="BF300" s="304" t="e">
        <f>+SUM(#REF!)</f>
        <v>#REF!</v>
      </c>
      <c r="BG300" s="304" t="e">
        <f>+SUM(#REF!)</f>
        <v>#REF!</v>
      </c>
      <c r="BH300" s="304" t="e">
        <f>+SUM(#REF!)</f>
        <v>#REF!</v>
      </c>
      <c r="BI300" s="304" t="e">
        <f>+SUM(#REF!)</f>
        <v>#REF!</v>
      </c>
      <c r="BJ300" s="304" t="e">
        <f>+SUM(#REF!)</f>
        <v>#REF!</v>
      </c>
      <c r="BK300" s="304" t="e">
        <f>+SUM(#REF!)</f>
        <v>#REF!</v>
      </c>
      <c r="BL300" s="304" t="e">
        <f>+SUM(#REF!)</f>
        <v>#REF!</v>
      </c>
      <c r="BM300" s="2581">
        <f>+BM28</f>
        <v>-581.21</v>
      </c>
      <c r="BN300" s="304">
        <f>+BN28</f>
        <v>-568.28499999999997</v>
      </c>
      <c r="BO300" s="304">
        <f>+BO28</f>
        <v>-816.29176931509107</v>
      </c>
      <c r="BP300" s="2630">
        <f>+BP307</f>
        <v>-735.00146652959415</v>
      </c>
      <c r="BQ300" s="2630">
        <f t="shared" ref="BQ300:BS300" si="1502">+BQ307</f>
        <v>-626.22638237734964</v>
      </c>
      <c r="BR300" s="2630">
        <f t="shared" si="1502"/>
        <v>-496.05210000000011</v>
      </c>
      <c r="BS300" s="2630">
        <f t="shared" si="1502"/>
        <v>-446.44689000000005</v>
      </c>
    </row>
    <row r="301" spans="2:71">
      <c r="B301" s="114"/>
    </row>
    <row r="302" spans="2:71">
      <c r="B302" s="114" t="s">
        <v>605</v>
      </c>
      <c r="C302" s="146">
        <f t="shared" ref="C302:AS302" si="1503">+C117</f>
        <v>1375.6289999999999</v>
      </c>
      <c r="D302" s="146">
        <f t="shared" si="1503"/>
        <v>1425.777</v>
      </c>
      <c r="E302" s="146">
        <f t="shared" si="1503"/>
        <v>1885.76</v>
      </c>
      <c r="F302" s="146">
        <f t="shared" si="1503"/>
        <v>2161.3829999999998</v>
      </c>
      <c r="G302" s="146">
        <f t="shared" si="1503"/>
        <v>2201.7669999999998</v>
      </c>
      <c r="H302" s="146">
        <f t="shared" si="1503"/>
        <v>2133.3560000000002</v>
      </c>
      <c r="I302" s="146">
        <f t="shared" si="1503"/>
        <v>1950.681</v>
      </c>
      <c r="J302" s="146">
        <f t="shared" si="1503"/>
        <v>1764.4880000000001</v>
      </c>
      <c r="K302" s="146">
        <f t="shared" si="1503"/>
        <v>1989.701</v>
      </c>
      <c r="L302" s="146">
        <f t="shared" si="1503"/>
        <v>2324.8330000000001</v>
      </c>
      <c r="M302" s="146">
        <f t="shared" si="1503"/>
        <v>1951.973</v>
      </c>
      <c r="N302" s="146">
        <f t="shared" si="1503"/>
        <v>4076.6689999999999</v>
      </c>
      <c r="O302" s="146">
        <f t="shared" si="1503"/>
        <v>1582.4159999999999</v>
      </c>
      <c r="P302" s="146">
        <f t="shared" si="1503"/>
        <v>1028.3150000000001</v>
      </c>
      <c r="Q302" s="146">
        <f t="shared" si="1503"/>
        <v>1273.279</v>
      </c>
      <c r="R302" s="146">
        <f t="shared" si="1503"/>
        <v>1113.095</v>
      </c>
      <c r="S302" s="146">
        <f t="shared" si="1503"/>
        <v>748.05499999999995</v>
      </c>
      <c r="T302" s="146">
        <f t="shared" si="1503"/>
        <v>815.44200000000001</v>
      </c>
      <c r="U302" s="146">
        <f t="shared" si="1503"/>
        <v>439.5</v>
      </c>
      <c r="V302" s="146">
        <f t="shared" si="1503"/>
        <v>3354.4</v>
      </c>
      <c r="W302" s="146">
        <f t="shared" si="1503"/>
        <v>1942.5</v>
      </c>
      <c r="X302" s="146">
        <f t="shared" si="1503"/>
        <v>2631.1</v>
      </c>
      <c r="Y302" s="146">
        <f t="shared" si="1503"/>
        <v>4535.6000000000004</v>
      </c>
      <c r="Z302" s="146">
        <f t="shared" si="1503"/>
        <v>3805.6</v>
      </c>
      <c r="AA302" s="146">
        <f t="shared" si="1503"/>
        <v>3234.5</v>
      </c>
      <c r="AB302" s="146">
        <f t="shared" si="1503"/>
        <v>3071.8</v>
      </c>
      <c r="AC302" s="146">
        <f t="shared" si="1503"/>
        <v>1155.7</v>
      </c>
      <c r="AD302" s="146">
        <f t="shared" si="1503"/>
        <v>945.1</v>
      </c>
      <c r="AE302" s="146">
        <f t="shared" si="1503"/>
        <v>3863.5</v>
      </c>
      <c r="AF302" s="146">
        <f t="shared" si="1503"/>
        <v>726</v>
      </c>
      <c r="AG302" s="146">
        <f t="shared" si="1503"/>
        <v>429.3</v>
      </c>
      <c r="AH302" s="146">
        <f t="shared" si="1503"/>
        <v>331.2</v>
      </c>
      <c r="AI302" s="146">
        <f t="shared" si="1503"/>
        <v>289.2</v>
      </c>
      <c r="AJ302" s="146">
        <f t="shared" si="1503"/>
        <v>362.7</v>
      </c>
      <c r="AK302" s="146">
        <f t="shared" si="1503"/>
        <v>141.1</v>
      </c>
      <c r="AL302" s="146">
        <f t="shared" si="1503"/>
        <v>163.80000000000001</v>
      </c>
      <c r="AM302" s="2532">
        <f t="shared" si="1503"/>
        <v>80.010999999999996</v>
      </c>
      <c r="AN302" s="146">
        <f t="shared" si="1503"/>
        <v>77.713999999999999</v>
      </c>
      <c r="AO302" s="146">
        <f t="shared" si="1503"/>
        <v>74.998000000000005</v>
      </c>
      <c r="AP302" s="146">
        <f t="shared" si="1503"/>
        <v>36.344999999999999</v>
      </c>
      <c r="AQ302" s="146">
        <f t="shared" si="1503"/>
        <v>72.100999999999999</v>
      </c>
      <c r="AR302" s="146">
        <f t="shared" si="1503"/>
        <v>77.433999999999997</v>
      </c>
      <c r="AS302" s="146">
        <f t="shared" si="1503"/>
        <v>176.69800000000001</v>
      </c>
      <c r="AT302" s="269">
        <f t="shared" ref="AT302:AX302" si="1504">+AS302</f>
        <v>176.69800000000001</v>
      </c>
      <c r="AU302" s="269">
        <f t="shared" si="1504"/>
        <v>176.69800000000001</v>
      </c>
      <c r="AV302" s="269">
        <f t="shared" si="1504"/>
        <v>176.69800000000001</v>
      </c>
      <c r="AW302" s="269">
        <f t="shared" si="1504"/>
        <v>176.69800000000001</v>
      </c>
      <c r="AX302" s="269">
        <f t="shared" si="1504"/>
        <v>176.69800000000001</v>
      </c>
      <c r="AZ302" s="146">
        <v>176.69800000000001</v>
      </c>
      <c r="BD302" s="146">
        <f t="shared" ref="BD302:BO302" si="1505">+BD117</f>
        <v>2161.3829999999998</v>
      </c>
      <c r="BE302" s="146">
        <f t="shared" si="1505"/>
        <v>1764.4880000000001</v>
      </c>
      <c r="BF302" s="146">
        <f t="shared" si="1505"/>
        <v>4076.6689999999999</v>
      </c>
      <c r="BG302" s="146">
        <f t="shared" si="1505"/>
        <v>1113.095</v>
      </c>
      <c r="BH302" s="146">
        <f t="shared" si="1505"/>
        <v>3354.4</v>
      </c>
      <c r="BI302" s="146">
        <f t="shared" si="1505"/>
        <v>3805.6</v>
      </c>
      <c r="BJ302" s="146">
        <f t="shared" si="1505"/>
        <v>945.1</v>
      </c>
      <c r="BK302" s="146">
        <f t="shared" si="1505"/>
        <v>331.2</v>
      </c>
      <c r="BL302" s="146">
        <f t="shared" si="1505"/>
        <v>163.80000000000001</v>
      </c>
      <c r="BM302" s="2532">
        <f t="shared" si="1505"/>
        <v>36.344999999999999</v>
      </c>
      <c r="BN302" s="146">
        <f t="shared" si="1505"/>
        <v>100.502</v>
      </c>
      <c r="BO302" s="146">
        <f t="shared" si="1505"/>
        <v>176.69800000000001</v>
      </c>
      <c r="BP302" s="269">
        <f>+BO302</f>
        <v>176.69800000000001</v>
      </c>
      <c r="BQ302" s="269">
        <f t="shared" ref="BQ302:BS302" si="1506">+BP302</f>
        <v>176.69800000000001</v>
      </c>
      <c r="BR302" s="269">
        <f t="shared" si="1506"/>
        <v>176.69800000000001</v>
      </c>
      <c r="BS302" s="269">
        <f t="shared" si="1506"/>
        <v>176.69800000000001</v>
      </c>
    </row>
    <row r="303" spans="2:71">
      <c r="B303" s="114" t="s">
        <v>606</v>
      </c>
      <c r="C303" s="146">
        <f t="shared" ref="C303:AS303" si="1507">+C130</f>
        <v>3915.866</v>
      </c>
      <c r="D303" s="146">
        <f t="shared" si="1507"/>
        <v>3836.8229999999999</v>
      </c>
      <c r="E303" s="146">
        <f t="shared" si="1507"/>
        <v>4045.482</v>
      </c>
      <c r="F303" s="146">
        <f t="shared" si="1507"/>
        <v>3374.4969999999998</v>
      </c>
      <c r="G303" s="146">
        <f t="shared" si="1507"/>
        <v>2983.3960000000002</v>
      </c>
      <c r="H303" s="146">
        <f t="shared" si="1507"/>
        <v>2601.7249999999999</v>
      </c>
      <c r="I303" s="146">
        <f t="shared" si="1507"/>
        <v>2124.2150000000001</v>
      </c>
      <c r="J303" s="146">
        <f t="shared" si="1507"/>
        <v>2625.683</v>
      </c>
      <c r="K303" s="146">
        <f t="shared" si="1507"/>
        <v>1913.9159999999999</v>
      </c>
      <c r="L303" s="146">
        <f t="shared" si="1507"/>
        <v>1281.453</v>
      </c>
      <c r="M303" s="146">
        <f t="shared" si="1507"/>
        <v>7658.9470000000001</v>
      </c>
      <c r="N303" s="146">
        <f t="shared" si="1507"/>
        <v>5255.2309999999998</v>
      </c>
      <c r="O303" s="146">
        <f t="shared" si="1507"/>
        <v>7243.723</v>
      </c>
      <c r="P303" s="146">
        <f t="shared" si="1507"/>
        <v>7512.8810000000003</v>
      </c>
      <c r="Q303" s="146">
        <f t="shared" si="1507"/>
        <v>7417.5159999999996</v>
      </c>
      <c r="R303" s="146">
        <f t="shared" si="1507"/>
        <v>6881.05</v>
      </c>
      <c r="S303" s="146">
        <f t="shared" si="1507"/>
        <v>6651.3109999999997</v>
      </c>
      <c r="T303" s="146">
        <f t="shared" si="1507"/>
        <v>6788.2820000000002</v>
      </c>
      <c r="U303" s="146">
        <f t="shared" si="1507"/>
        <v>7574.1</v>
      </c>
      <c r="V303" s="146">
        <f t="shared" si="1507"/>
        <v>7432</v>
      </c>
      <c r="W303" s="146">
        <f t="shared" si="1507"/>
        <v>17390.5</v>
      </c>
      <c r="X303" s="146">
        <f t="shared" si="1507"/>
        <v>18035</v>
      </c>
      <c r="Y303" s="146">
        <f t="shared" si="1507"/>
        <v>15982.4</v>
      </c>
      <c r="Z303" s="146">
        <f t="shared" si="1507"/>
        <v>10017.299999999999</v>
      </c>
      <c r="AA303" s="146">
        <f t="shared" si="1507"/>
        <v>10776.4</v>
      </c>
      <c r="AB303" s="146">
        <f t="shared" si="1507"/>
        <v>11070.5</v>
      </c>
      <c r="AC303" s="146">
        <f t="shared" si="1507"/>
        <v>11538.1</v>
      </c>
      <c r="AD303" s="146">
        <f t="shared" si="1507"/>
        <v>11771.8</v>
      </c>
      <c r="AE303" s="146">
        <f t="shared" si="1507"/>
        <v>8003.5</v>
      </c>
      <c r="AF303" s="146">
        <f t="shared" si="1507"/>
        <v>12313.5</v>
      </c>
      <c r="AG303" s="146">
        <f t="shared" si="1507"/>
        <v>13278.7</v>
      </c>
      <c r="AH303" s="146">
        <f t="shared" si="1507"/>
        <v>13261.1</v>
      </c>
      <c r="AI303" s="146">
        <f t="shared" si="1507"/>
        <v>12965.7</v>
      </c>
      <c r="AJ303" s="146">
        <f t="shared" si="1507"/>
        <v>13026.1</v>
      </c>
      <c r="AK303" s="146">
        <f t="shared" si="1507"/>
        <v>6069.8</v>
      </c>
      <c r="AL303" s="146">
        <f t="shared" si="1507"/>
        <v>5947.9</v>
      </c>
      <c r="AM303" s="2532">
        <f t="shared" si="1507"/>
        <v>2354.6260000000002</v>
      </c>
      <c r="AN303" s="146">
        <f t="shared" si="1507"/>
        <v>1531.2360000000001</v>
      </c>
      <c r="AO303" s="146">
        <f t="shared" si="1507"/>
        <v>2351.4720000000002</v>
      </c>
      <c r="AP303" s="146">
        <f t="shared" si="1507"/>
        <v>2353.0540000000001</v>
      </c>
      <c r="AQ303" s="146">
        <f t="shared" si="1507"/>
        <v>2354.636</v>
      </c>
      <c r="AR303" s="146">
        <f t="shared" si="1507"/>
        <v>2356.2170000000001</v>
      </c>
      <c r="AS303" s="146">
        <f t="shared" si="1507"/>
        <v>6157.01</v>
      </c>
      <c r="AT303" s="146">
        <f t="shared" ref="AT303:AX303" si="1508">+AT304-AT302</f>
        <v>6269.0094614127065</v>
      </c>
      <c r="AU303" s="146">
        <f t="shared" si="1508"/>
        <v>6141.4176971832312</v>
      </c>
      <c r="AV303" s="146">
        <f t="shared" si="1508"/>
        <v>6151.204678892831</v>
      </c>
      <c r="AW303" s="146">
        <f t="shared" si="1508"/>
        <v>6155.2154183263801</v>
      </c>
      <c r="AX303" s="146">
        <f t="shared" si="1508"/>
        <v>6180.5229754719603</v>
      </c>
      <c r="AZ303" s="146">
        <v>6269.0094614127065</v>
      </c>
      <c r="BD303" s="146">
        <f t="shared" ref="BD303:BO303" si="1509">+BD130</f>
        <v>3374.4969999999998</v>
      </c>
      <c r="BE303" s="146">
        <f t="shared" si="1509"/>
        <v>2625.683</v>
      </c>
      <c r="BF303" s="146">
        <f t="shared" si="1509"/>
        <v>5255.2309999999998</v>
      </c>
      <c r="BG303" s="146">
        <f t="shared" si="1509"/>
        <v>6881.05</v>
      </c>
      <c r="BH303" s="146">
        <f t="shared" si="1509"/>
        <v>7432</v>
      </c>
      <c r="BI303" s="146">
        <f t="shared" si="1509"/>
        <v>10017.299999999999</v>
      </c>
      <c r="BJ303" s="146">
        <f t="shared" si="1509"/>
        <v>11771.8</v>
      </c>
      <c r="BK303" s="146">
        <f t="shared" si="1509"/>
        <v>13261.1</v>
      </c>
      <c r="BL303" s="146">
        <f t="shared" si="1509"/>
        <v>5947.9</v>
      </c>
      <c r="BM303" s="2532">
        <f t="shared" si="1509"/>
        <v>2353.0540000000001</v>
      </c>
      <c r="BN303" s="146">
        <f t="shared" si="1509"/>
        <v>6074.88</v>
      </c>
      <c r="BO303" s="146">
        <f t="shared" si="1509"/>
        <v>6180.5229754719603</v>
      </c>
      <c r="BP303" s="146">
        <f>+BP304-BP302</f>
        <v>6248.7152250427189</v>
      </c>
      <c r="BQ303" s="146">
        <f t="shared" ref="BQ303:BS303" si="1510">+BQ304-BQ302</f>
        <v>4783.8230000000003</v>
      </c>
      <c r="BR303" s="146">
        <f t="shared" si="1510"/>
        <v>4783.8230000000003</v>
      </c>
      <c r="BS303" s="146">
        <f t="shared" si="1510"/>
        <v>4783.8230000000003</v>
      </c>
    </row>
    <row r="304" spans="2:71" s="105" customFormat="1">
      <c r="B304" s="1581" t="s">
        <v>607</v>
      </c>
      <c r="C304" s="264">
        <f t="shared" ref="C304:Q304" si="1511">+C303+C302</f>
        <v>5291.4949999999999</v>
      </c>
      <c r="D304" s="264">
        <f t="shared" si="1511"/>
        <v>5262.6</v>
      </c>
      <c r="E304" s="264">
        <f t="shared" si="1511"/>
        <v>5931.2420000000002</v>
      </c>
      <c r="F304" s="264">
        <f t="shared" si="1511"/>
        <v>5535.8799999999992</v>
      </c>
      <c r="G304" s="264">
        <f t="shared" si="1511"/>
        <v>5185.1630000000005</v>
      </c>
      <c r="H304" s="264">
        <f t="shared" si="1511"/>
        <v>4735.0810000000001</v>
      </c>
      <c r="I304" s="264">
        <f t="shared" si="1511"/>
        <v>4074.8960000000002</v>
      </c>
      <c r="J304" s="264">
        <f t="shared" si="1511"/>
        <v>4390.1710000000003</v>
      </c>
      <c r="K304" s="264">
        <f t="shared" si="1511"/>
        <v>3903.6170000000002</v>
      </c>
      <c r="L304" s="264">
        <f t="shared" si="1511"/>
        <v>3606.2860000000001</v>
      </c>
      <c r="M304" s="264">
        <f t="shared" si="1511"/>
        <v>9610.92</v>
      </c>
      <c r="N304" s="264">
        <f t="shared" si="1511"/>
        <v>9331.9</v>
      </c>
      <c r="O304" s="264">
        <f t="shared" si="1511"/>
        <v>8826.1389999999992</v>
      </c>
      <c r="P304" s="264">
        <f t="shared" si="1511"/>
        <v>8541.1959999999999</v>
      </c>
      <c r="Q304" s="264">
        <f t="shared" si="1511"/>
        <v>8690.7950000000001</v>
      </c>
      <c r="R304" s="264">
        <f t="shared" ref="R304:Z304" si="1512">+R303+R302</f>
        <v>7994.1450000000004</v>
      </c>
      <c r="S304" s="264">
        <f t="shared" si="1512"/>
        <v>7399.366</v>
      </c>
      <c r="T304" s="264">
        <f t="shared" si="1512"/>
        <v>7603.7240000000002</v>
      </c>
      <c r="U304" s="264">
        <f t="shared" si="1512"/>
        <v>8013.6</v>
      </c>
      <c r="V304" s="264">
        <f t="shared" si="1512"/>
        <v>10786.4</v>
      </c>
      <c r="W304" s="264">
        <f t="shared" si="1512"/>
        <v>19333</v>
      </c>
      <c r="X304" s="264">
        <f t="shared" si="1512"/>
        <v>20666.099999999999</v>
      </c>
      <c r="Y304" s="264">
        <f t="shared" si="1512"/>
        <v>20518</v>
      </c>
      <c r="Z304" s="264">
        <f t="shared" si="1512"/>
        <v>13822.9</v>
      </c>
      <c r="AA304" s="264">
        <f t="shared" ref="AA304:AB304" si="1513">+AA303+AA302</f>
        <v>14010.9</v>
      </c>
      <c r="AB304" s="264">
        <f t="shared" si="1513"/>
        <v>14142.3</v>
      </c>
      <c r="AC304" s="264">
        <f t="shared" ref="AC304:AD304" si="1514">+AC303+AC302</f>
        <v>12693.800000000001</v>
      </c>
      <c r="AD304" s="264">
        <f t="shared" si="1514"/>
        <v>12716.9</v>
      </c>
      <c r="AE304" s="264">
        <f t="shared" ref="AE304:AF304" si="1515">+AE303+AE302</f>
        <v>11867</v>
      </c>
      <c r="AF304" s="264">
        <f t="shared" si="1515"/>
        <v>13039.5</v>
      </c>
      <c r="AG304" s="264">
        <f t="shared" ref="AG304:AH304" si="1516">+AG303+AG302</f>
        <v>13708</v>
      </c>
      <c r="AH304" s="264">
        <f t="shared" si="1516"/>
        <v>13592.300000000001</v>
      </c>
      <c r="AI304" s="264">
        <f t="shared" ref="AI304:AK304" si="1517">+AI303+AI302</f>
        <v>13254.900000000001</v>
      </c>
      <c r="AJ304" s="264">
        <f t="shared" si="1517"/>
        <v>13388.800000000001</v>
      </c>
      <c r="AK304" s="264">
        <f t="shared" si="1517"/>
        <v>6210.9000000000005</v>
      </c>
      <c r="AL304" s="264">
        <f t="shared" ref="AL304" si="1518">+AL303+AL302</f>
        <v>6111.7</v>
      </c>
      <c r="AM304" s="2539">
        <f t="shared" ref="AM304:AP304" si="1519">+AM303+AM302</f>
        <v>2434.6370000000002</v>
      </c>
      <c r="AN304" s="264">
        <f t="shared" si="1519"/>
        <v>1608.95</v>
      </c>
      <c r="AO304" s="264">
        <f t="shared" si="1519"/>
        <v>2426.4700000000003</v>
      </c>
      <c r="AP304" s="264">
        <f t="shared" si="1519"/>
        <v>2389.3989999999999</v>
      </c>
      <c r="AQ304" s="264">
        <f t="shared" ref="AQ304:AS304" si="1520">+AQ303+AQ302</f>
        <v>2426.7370000000001</v>
      </c>
      <c r="AR304" s="264">
        <f t="shared" si="1520"/>
        <v>2433.6510000000003</v>
      </c>
      <c r="AS304" s="264">
        <f t="shared" si="1520"/>
        <v>6333.7080000000005</v>
      </c>
      <c r="AT304" s="838">
        <f t="shared" ref="AT304:AX304" si="1521">+AT348+AT352</f>
        <v>6445.7074614127068</v>
      </c>
      <c r="AU304" s="838">
        <f t="shared" si="1521"/>
        <v>6318.1156971832315</v>
      </c>
      <c r="AV304" s="838">
        <f t="shared" si="1521"/>
        <v>6327.9026788928313</v>
      </c>
      <c r="AW304" s="838">
        <f t="shared" si="1521"/>
        <v>6331.9134183263805</v>
      </c>
      <c r="AX304" s="838">
        <f t="shared" si="1521"/>
        <v>6357.2209754719606</v>
      </c>
      <c r="AZ304" s="264">
        <v>6445.7074614127068</v>
      </c>
      <c r="BA304" s="1070"/>
      <c r="BD304" s="264">
        <f t="shared" ref="BD304:BI304" si="1522">+BD303+BD302</f>
        <v>5535.8799999999992</v>
      </c>
      <c r="BE304" s="264">
        <f t="shared" si="1522"/>
        <v>4390.1710000000003</v>
      </c>
      <c r="BF304" s="264">
        <f t="shared" si="1522"/>
        <v>9331.9</v>
      </c>
      <c r="BG304" s="264">
        <f t="shared" si="1522"/>
        <v>7994.1450000000004</v>
      </c>
      <c r="BH304" s="264">
        <f t="shared" si="1522"/>
        <v>10786.4</v>
      </c>
      <c r="BI304" s="264">
        <f t="shared" si="1522"/>
        <v>13822.9</v>
      </c>
      <c r="BJ304" s="264">
        <f t="shared" ref="BJ304:BO304" si="1523">+BJ303+BJ302</f>
        <v>12716.9</v>
      </c>
      <c r="BK304" s="264">
        <f t="shared" si="1523"/>
        <v>13592.300000000001</v>
      </c>
      <c r="BL304" s="264">
        <f t="shared" si="1523"/>
        <v>6111.7</v>
      </c>
      <c r="BM304" s="2539">
        <f t="shared" si="1523"/>
        <v>2389.3989999999999</v>
      </c>
      <c r="BN304" s="264">
        <f t="shared" si="1523"/>
        <v>6175.3820000000005</v>
      </c>
      <c r="BO304" s="264">
        <f t="shared" si="1523"/>
        <v>6357.2209754719606</v>
      </c>
      <c r="BP304" s="838">
        <f>+BP348+BP352</f>
        <v>6425.4132250427192</v>
      </c>
      <c r="BQ304" s="838">
        <f t="shared" ref="BQ304:BS304" si="1524">+BQ348+BQ352</f>
        <v>4960.5210000000006</v>
      </c>
      <c r="BR304" s="838">
        <f t="shared" si="1524"/>
        <v>4960.5210000000006</v>
      </c>
      <c r="BS304" s="838">
        <f t="shared" si="1524"/>
        <v>4960.5210000000006</v>
      </c>
    </row>
    <row r="305" spans="1:71" s="2294" customFormat="1">
      <c r="B305" s="2295" t="s">
        <v>608</v>
      </c>
      <c r="C305" s="2294">
        <f t="shared" ref="C305:Q305" si="1525">+AVERAGE(B304:C304)</f>
        <v>5291.4949999999999</v>
      </c>
      <c r="D305" s="2294">
        <f t="shared" si="1525"/>
        <v>5277.0475000000006</v>
      </c>
      <c r="E305" s="2294">
        <f t="shared" si="1525"/>
        <v>5596.9210000000003</v>
      </c>
      <c r="F305" s="2294">
        <f t="shared" si="1525"/>
        <v>5733.5609999999997</v>
      </c>
      <c r="G305" s="2294">
        <f t="shared" si="1525"/>
        <v>5360.5214999999998</v>
      </c>
      <c r="H305" s="2294">
        <f t="shared" si="1525"/>
        <v>4960.1220000000003</v>
      </c>
      <c r="I305" s="2294">
        <f t="shared" si="1525"/>
        <v>4404.9885000000004</v>
      </c>
      <c r="J305" s="2294">
        <f t="shared" si="1525"/>
        <v>4232.5335000000005</v>
      </c>
      <c r="K305" s="2294">
        <f t="shared" si="1525"/>
        <v>4146.8940000000002</v>
      </c>
      <c r="L305" s="2294">
        <f t="shared" si="1525"/>
        <v>3754.9515000000001</v>
      </c>
      <c r="M305" s="2294">
        <f t="shared" si="1525"/>
        <v>6608.6030000000001</v>
      </c>
      <c r="N305" s="2294">
        <f t="shared" si="1525"/>
        <v>9471.41</v>
      </c>
      <c r="O305" s="2294">
        <f t="shared" si="1525"/>
        <v>9079.0194999999985</v>
      </c>
      <c r="P305" s="2294">
        <f t="shared" si="1525"/>
        <v>8683.6674999999996</v>
      </c>
      <c r="Q305" s="2294">
        <f t="shared" si="1525"/>
        <v>8615.9955000000009</v>
      </c>
      <c r="R305" s="2294">
        <f t="shared" ref="R305:AH305" si="1526">+AVERAGE(Q304:R304)</f>
        <v>8342.4700000000012</v>
      </c>
      <c r="S305" s="2294">
        <f t="shared" si="1526"/>
        <v>7696.7555000000002</v>
      </c>
      <c r="T305" s="2294">
        <f>+AVERAGE(S304:T304)</f>
        <v>7501.5450000000001</v>
      </c>
      <c r="U305" s="2294">
        <f t="shared" si="1526"/>
        <v>7808.6620000000003</v>
      </c>
      <c r="V305" s="2294">
        <f t="shared" si="1526"/>
        <v>9400</v>
      </c>
      <c r="W305" s="2294">
        <f t="shared" si="1526"/>
        <v>15059.7</v>
      </c>
      <c r="X305" s="2294">
        <f t="shared" si="1526"/>
        <v>19999.55</v>
      </c>
      <c r="Y305" s="2294">
        <f t="shared" si="1526"/>
        <v>20592.05</v>
      </c>
      <c r="Z305" s="2294">
        <f t="shared" si="1526"/>
        <v>17170.45</v>
      </c>
      <c r="AA305" s="2294">
        <f t="shared" si="1526"/>
        <v>13916.9</v>
      </c>
      <c r="AB305" s="2294">
        <f t="shared" si="1526"/>
        <v>14076.599999999999</v>
      </c>
      <c r="AC305" s="2294">
        <f t="shared" si="1526"/>
        <v>13418.05</v>
      </c>
      <c r="AD305" s="2294">
        <f t="shared" si="1526"/>
        <v>12705.35</v>
      </c>
      <c r="AE305" s="2294">
        <f t="shared" si="1526"/>
        <v>12291.95</v>
      </c>
      <c r="AF305" s="2294">
        <f t="shared" si="1526"/>
        <v>12453.25</v>
      </c>
      <c r="AG305" s="2294">
        <f t="shared" si="1526"/>
        <v>13373.75</v>
      </c>
      <c r="AH305" s="2294">
        <f t="shared" si="1526"/>
        <v>13650.150000000001</v>
      </c>
      <c r="AI305" s="2294">
        <f t="shared" ref="AI305" si="1527">+AVERAGE(AH304:AI304)</f>
        <v>13423.600000000002</v>
      </c>
      <c r="AJ305" s="2294">
        <f t="shared" ref="AJ305" si="1528">+AVERAGE(AI304:AJ304)</f>
        <v>13321.850000000002</v>
      </c>
      <c r="AK305" s="2294">
        <f t="shared" ref="AK305:AL305" si="1529">+AVERAGE(AJ304:AK304)</f>
        <v>9799.85</v>
      </c>
      <c r="AL305" s="2294">
        <f t="shared" si="1529"/>
        <v>6161.3</v>
      </c>
      <c r="AM305" s="2582">
        <f t="shared" ref="AM305" si="1530">+AVERAGE(AL304:AM304)</f>
        <v>4273.1684999999998</v>
      </c>
      <c r="AN305" s="2294">
        <f t="shared" ref="AN305" si="1531">+AVERAGE(AM304:AN304)</f>
        <v>2021.7935000000002</v>
      </c>
      <c r="AO305" s="2294">
        <f t="shared" ref="AO305" si="1532">+AVERAGE(AN304:AO304)</f>
        <v>2017.71</v>
      </c>
      <c r="AP305" s="2294">
        <f t="shared" ref="AP305" si="1533">+AVERAGE(AO304:AP304)</f>
        <v>2407.9345000000003</v>
      </c>
      <c r="AQ305" s="2294">
        <f t="shared" ref="AQ305" si="1534">+AVERAGE(AP304:AQ304)</f>
        <v>2408.0680000000002</v>
      </c>
      <c r="AR305" s="2294">
        <f t="shared" ref="AR305" si="1535">+AVERAGE(AQ304:AR304)</f>
        <v>2430.1940000000004</v>
      </c>
      <c r="AS305" s="2294">
        <f t="shared" ref="AS305" si="1536">+AVERAGE(AR304:AS304)</f>
        <v>4383.6795000000002</v>
      </c>
      <c r="AT305" s="2294">
        <f t="shared" ref="AT305" si="1537">+AVERAGE(AS304:AT304)</f>
        <v>6389.7077307063537</v>
      </c>
      <c r="AU305" s="2294">
        <f t="shared" ref="AU305" si="1538">+AVERAGE(AT304:AU304)</f>
        <v>6381.9115792979692</v>
      </c>
      <c r="AV305" s="2294">
        <f t="shared" ref="AV305" si="1539">+AVERAGE(AU304:AV304)</f>
        <v>6323.0091880380314</v>
      </c>
      <c r="AW305" s="2294">
        <f t="shared" ref="AW305" si="1540">+AVERAGE(AV304:AW304)</f>
        <v>6329.9080486096063</v>
      </c>
      <c r="AX305" s="2294">
        <f t="shared" ref="AX305" si="1541">+AVERAGE(AW304:AX304)</f>
        <v>6344.5671968991701</v>
      </c>
      <c r="AY305" s="105"/>
      <c r="AZ305" s="2294">
        <v>6389.7077307063537</v>
      </c>
      <c r="BB305" s="105"/>
      <c r="BC305" s="105"/>
      <c r="BD305" s="2294">
        <f>+AVERAGE(BD304:BD304)</f>
        <v>5535.8799999999992</v>
      </c>
      <c r="BE305" s="2294">
        <f t="shared" ref="BE305:BP305" si="1542">+AVERAGE(BD304:BE304)</f>
        <v>4963.0254999999997</v>
      </c>
      <c r="BF305" s="2294">
        <f t="shared" si="1542"/>
        <v>6861.0355</v>
      </c>
      <c r="BG305" s="2294">
        <f t="shared" si="1542"/>
        <v>8663.0224999999991</v>
      </c>
      <c r="BH305" s="2294">
        <f t="shared" si="1542"/>
        <v>9390.2724999999991</v>
      </c>
      <c r="BI305" s="2294">
        <f t="shared" si="1542"/>
        <v>12304.65</v>
      </c>
      <c r="BJ305" s="2294">
        <f t="shared" si="1542"/>
        <v>13269.9</v>
      </c>
      <c r="BK305" s="2294">
        <f t="shared" si="1542"/>
        <v>13154.6</v>
      </c>
      <c r="BL305" s="2294">
        <f t="shared" si="1542"/>
        <v>9852</v>
      </c>
      <c r="BM305" s="2582">
        <f t="shared" si="1542"/>
        <v>4250.5495000000001</v>
      </c>
      <c r="BN305" s="2294">
        <f t="shared" si="1542"/>
        <v>4282.3905000000004</v>
      </c>
      <c r="BO305" s="2294">
        <f t="shared" si="1542"/>
        <v>6266.3014877359801</v>
      </c>
      <c r="BP305" s="2294">
        <f t="shared" si="1542"/>
        <v>6391.3171002573399</v>
      </c>
      <c r="BQ305" s="2294">
        <f t="shared" ref="BQ305" si="1543">+AVERAGE(BP304:BQ304)</f>
        <v>5692.9671125213599</v>
      </c>
      <c r="BR305" s="2294">
        <f t="shared" ref="BR305" si="1544">+AVERAGE(BQ304:BR304)</f>
        <v>4960.5210000000006</v>
      </c>
      <c r="BS305" s="2294">
        <f t="shared" ref="BS305" si="1545">+AVERAGE(BR304:BS304)</f>
        <v>4960.5210000000006</v>
      </c>
    </row>
    <row r="306" spans="1:71">
      <c r="B306" s="114"/>
    </row>
    <row r="307" spans="1:71">
      <c r="B307" t="s">
        <v>603</v>
      </c>
      <c r="K307" s="303" t="e">
        <f>+#REF!</f>
        <v>#REF!</v>
      </c>
      <c r="L307" s="303" t="e">
        <f>+#REF!</f>
        <v>#REF!</v>
      </c>
      <c r="M307" s="303" t="e">
        <f>+#REF!</f>
        <v>#REF!</v>
      </c>
      <c r="N307" s="303" t="e">
        <f>+#REF!</f>
        <v>#REF!</v>
      </c>
      <c r="O307" s="303" t="e">
        <f>+#REF!</f>
        <v>#REF!</v>
      </c>
      <c r="P307" s="303" t="e">
        <f>+#REF!</f>
        <v>#REF!</v>
      </c>
      <c r="Q307" s="303" t="e">
        <f>+#REF!</f>
        <v>#REF!</v>
      </c>
      <c r="R307" s="303" t="e">
        <f>+#REF!</f>
        <v>#REF!</v>
      </c>
      <c r="S307" s="303" t="e">
        <f>+#REF!</f>
        <v>#REF!</v>
      </c>
      <c r="T307" s="303" t="e">
        <f>+#REF!</f>
        <v>#REF!</v>
      </c>
      <c r="U307" s="303" t="e">
        <f>+#REF!</f>
        <v>#REF!</v>
      </c>
      <c r="V307" s="303" t="e">
        <f>+#REF!</f>
        <v>#REF!</v>
      </c>
      <c r="W307" s="303" t="e">
        <f>+#REF!</f>
        <v>#REF!</v>
      </c>
      <c r="X307" s="303" t="e">
        <f>+#REF!</f>
        <v>#REF!</v>
      </c>
      <c r="Y307" s="303" t="e">
        <f>+#REF!</f>
        <v>#REF!</v>
      </c>
      <c r="Z307" s="303" t="e">
        <f>+#REF!</f>
        <v>#REF!</v>
      </c>
      <c r="AA307" s="303" t="e">
        <f>+#REF!</f>
        <v>#REF!</v>
      </c>
      <c r="AB307" s="303" t="e">
        <f>+#REF!</f>
        <v>#REF!</v>
      </c>
      <c r="AC307" s="303" t="e">
        <f>+#REF!</f>
        <v>#REF!</v>
      </c>
      <c r="AD307" s="303" t="e">
        <f>+#REF!</f>
        <v>#REF!</v>
      </c>
      <c r="AE307" s="303" t="e">
        <f>+#REF!</f>
        <v>#REF!</v>
      </c>
      <c r="AF307" s="303" t="e">
        <f>+#REF!</f>
        <v>#REF!</v>
      </c>
      <c r="AG307" s="303" t="e">
        <f>+#REF!</f>
        <v>#REF!</v>
      </c>
      <c r="AH307" s="303" t="e">
        <f>+#REF!</f>
        <v>#REF!</v>
      </c>
      <c r="AI307" s="303" t="e">
        <f>+#REF!</f>
        <v>#REF!</v>
      </c>
      <c r="AJ307" s="303" t="e">
        <f>+#REF!</f>
        <v>#REF!</v>
      </c>
      <c r="AK307" s="303" t="e">
        <f>+#REF!</f>
        <v>#REF!</v>
      </c>
      <c r="AL307" s="303" t="e">
        <f>+#REF!</f>
        <v>#REF!</v>
      </c>
      <c r="AM307" s="2583">
        <f>+AM300</f>
        <v>-97.209000000000003</v>
      </c>
      <c r="AN307" s="303">
        <f t="shared" ref="AN307:AS307" si="1546">+AN300</f>
        <v>-248.101</v>
      </c>
      <c r="AO307" s="303">
        <f t="shared" si="1546"/>
        <v>-107.5</v>
      </c>
      <c r="AP307" s="303">
        <f t="shared" si="1546"/>
        <v>-128.4</v>
      </c>
      <c r="AQ307" s="303">
        <f t="shared" si="1546"/>
        <v>-130</v>
      </c>
      <c r="AR307" s="303">
        <f t="shared" si="1546"/>
        <v>-137.19999999999999</v>
      </c>
      <c r="AS307" s="303">
        <f t="shared" si="1546"/>
        <v>-144.80600000000001</v>
      </c>
      <c r="AT307" s="695">
        <f>+AT308*AT305</f>
        <v>-227.20571528910952</v>
      </c>
      <c r="AU307" s="695">
        <f t="shared" ref="AU307:AX307" si="1547">+AU308*AU305</f>
        <v>-223.33380644531687</v>
      </c>
      <c r="AV307" s="695">
        <f t="shared" si="1547"/>
        <v>-206.96800180766149</v>
      </c>
      <c r="AW307" s="695">
        <f t="shared" si="1547"/>
        <v>-196.39163071938725</v>
      </c>
      <c r="AX307" s="695">
        <f t="shared" si="1547"/>
        <v>-189.59833034272546</v>
      </c>
      <c r="AZ307" s="303">
        <v>-227.20571528910952</v>
      </c>
      <c r="BD307" s="303" t="e">
        <f>+#REF!</f>
        <v>#REF!</v>
      </c>
      <c r="BE307" s="303" t="e">
        <f>+#REF!</f>
        <v>#REF!</v>
      </c>
      <c r="BF307" s="303" t="e">
        <f>+#REF!</f>
        <v>#REF!</v>
      </c>
      <c r="BG307" s="303" t="e">
        <f>+#REF!</f>
        <v>#REF!</v>
      </c>
      <c r="BH307" s="303" t="e">
        <f>+#REF!</f>
        <v>#REF!</v>
      </c>
      <c r="BI307" s="303" t="e">
        <f>+#REF!</f>
        <v>#REF!</v>
      </c>
      <c r="BJ307" s="303" t="e">
        <f>+#REF!</f>
        <v>#REF!</v>
      </c>
      <c r="BK307" s="303" t="e">
        <f>+#REF!</f>
        <v>#REF!</v>
      </c>
      <c r="BL307" s="303" t="e">
        <f>+#REF!</f>
        <v>#REF!</v>
      </c>
      <c r="BM307" s="2583">
        <f t="shared" ref="BM307:BN307" si="1548">+BM300</f>
        <v>-581.21</v>
      </c>
      <c r="BN307" s="303">
        <f t="shared" si="1548"/>
        <v>-568.28499999999997</v>
      </c>
      <c r="BO307" s="303">
        <f t="shared" ref="BO307" si="1549">+BO300</f>
        <v>-816.29176931509107</v>
      </c>
      <c r="BP307" s="695">
        <f>+BP308*BP305</f>
        <v>-735.00146652959415</v>
      </c>
      <c r="BQ307" s="695">
        <f t="shared" ref="BQ307:BS307" si="1550">+BQ308*BQ305</f>
        <v>-626.22638237734964</v>
      </c>
      <c r="BR307" s="695">
        <f t="shared" si="1550"/>
        <v>-496.05210000000011</v>
      </c>
      <c r="BS307" s="695">
        <f t="shared" si="1550"/>
        <v>-446.44689000000005</v>
      </c>
    </row>
    <row r="308" spans="1:71">
      <c r="B308" s="114" t="s">
        <v>470</v>
      </c>
      <c r="K308" s="140" t="e">
        <f>+K307/K305</f>
        <v>#REF!</v>
      </c>
      <c r="L308" s="140" t="e">
        <f t="shared" ref="L308:R308" si="1551">+L307/L305</f>
        <v>#REF!</v>
      </c>
      <c r="M308" s="140" t="e">
        <f t="shared" si="1551"/>
        <v>#REF!</v>
      </c>
      <c r="N308" s="140" t="e">
        <f t="shared" si="1551"/>
        <v>#REF!</v>
      </c>
      <c r="O308" s="140" t="e">
        <f t="shared" si="1551"/>
        <v>#REF!</v>
      </c>
      <c r="P308" s="140" t="e">
        <f t="shared" si="1551"/>
        <v>#REF!</v>
      </c>
      <c r="Q308" s="140" t="e">
        <f t="shared" si="1551"/>
        <v>#REF!</v>
      </c>
      <c r="R308" s="140" t="e">
        <f t="shared" si="1551"/>
        <v>#REF!</v>
      </c>
      <c r="S308" s="140" t="e">
        <f>+S307/S305</f>
        <v>#REF!</v>
      </c>
      <c r="T308" s="140" t="e">
        <f>+T307/T305</f>
        <v>#REF!</v>
      </c>
      <c r="U308" s="140" t="e">
        <f>+U307/U305</f>
        <v>#REF!</v>
      </c>
      <c r="V308" s="140" t="e">
        <f>+V307/V305</f>
        <v>#REF!</v>
      </c>
      <c r="W308" s="140" t="e">
        <f>+W307/W305</f>
        <v>#REF!</v>
      </c>
      <c r="X308" s="140" t="e">
        <f t="shared" ref="X308:Z308" si="1552">+X307/X305</f>
        <v>#REF!</v>
      </c>
      <c r="Y308" s="140" t="e">
        <f t="shared" si="1552"/>
        <v>#REF!</v>
      </c>
      <c r="Z308" s="140" t="e">
        <f t="shared" si="1552"/>
        <v>#REF!</v>
      </c>
      <c r="AA308" s="140" t="e">
        <f t="shared" ref="AA308:AB308" si="1553">+AA307/AA305</f>
        <v>#REF!</v>
      </c>
      <c r="AB308" s="140" t="e">
        <f t="shared" si="1553"/>
        <v>#REF!</v>
      </c>
      <c r="AC308" s="140" t="e">
        <f t="shared" ref="AC308:AD308" si="1554">+AC307/AC305</f>
        <v>#REF!</v>
      </c>
      <c r="AD308" s="140" t="e">
        <f t="shared" si="1554"/>
        <v>#REF!</v>
      </c>
      <c r="AE308" s="140" t="e">
        <f t="shared" ref="AE308:AF308" si="1555">+AE307/AE305</f>
        <v>#REF!</v>
      </c>
      <c r="AF308" s="140" t="e">
        <f t="shared" si="1555"/>
        <v>#REF!</v>
      </c>
      <c r="AG308" s="140" t="e">
        <f t="shared" ref="AG308:AH308" si="1556">+AG307/AG305</f>
        <v>#REF!</v>
      </c>
      <c r="AH308" s="140" t="e">
        <f t="shared" si="1556"/>
        <v>#REF!</v>
      </c>
      <c r="AI308" s="140" t="e">
        <f t="shared" ref="AI308:AJ308" si="1557">+AI307/AI305</f>
        <v>#REF!</v>
      </c>
      <c r="AJ308" s="140" t="e">
        <f t="shared" si="1557"/>
        <v>#REF!</v>
      </c>
      <c r="AK308" s="140" t="e">
        <f t="shared" ref="AK308:AL308" si="1558">+AK307/AK305</f>
        <v>#REF!</v>
      </c>
      <c r="AL308" s="140" t="e">
        <f t="shared" si="1558"/>
        <v>#REF!</v>
      </c>
      <c r="AM308" s="2563">
        <f t="shared" ref="AM308:AP308" si="1559">+AM307/AM305</f>
        <v>-2.274869338758816E-2</v>
      </c>
      <c r="AN308" s="140">
        <f t="shared" si="1559"/>
        <v>-0.12271332359115804</v>
      </c>
      <c r="AO308" s="140">
        <f t="shared" si="1559"/>
        <v>-5.3278221349946225E-2</v>
      </c>
      <c r="AP308" s="140">
        <f t="shared" si="1559"/>
        <v>-5.3323709594260138E-2</v>
      </c>
      <c r="AQ308" s="140">
        <f t="shared" ref="AQ308:AS308" si="1560">+AQ307/AQ305</f>
        <v>-5.3985186464834044E-2</v>
      </c>
      <c r="AR308" s="140">
        <f t="shared" si="1560"/>
        <v>-5.645639813117799E-2</v>
      </c>
      <c r="AS308" s="140">
        <f t="shared" si="1560"/>
        <v>-3.3032980627347414E-2</v>
      </c>
      <c r="AT308" s="696">
        <f>+AT309*AT310</f>
        <v>-3.5558076341622114E-2</v>
      </c>
      <c r="AU308" s="696">
        <f t="shared" ref="AU308:AX308" si="1561">+AU309*AU310</f>
        <v>-3.4994813649531054E-2</v>
      </c>
      <c r="AV308" s="696">
        <f t="shared" si="1561"/>
        <v>-3.2732516378310317E-2</v>
      </c>
      <c r="AW308" s="696">
        <f t="shared" si="1561"/>
        <v>-3.1025984771220427E-2</v>
      </c>
      <c r="AX308" s="696">
        <f t="shared" si="1561"/>
        <v>-2.9883571953558841E-2</v>
      </c>
      <c r="AZ308" s="140">
        <v>-3.5558076341622114E-2</v>
      </c>
      <c r="BD308" s="140" t="e">
        <f t="shared" ref="BD308:BI308" si="1562">+BD307/BD305</f>
        <v>#REF!</v>
      </c>
      <c r="BE308" s="140" t="e">
        <f t="shared" si="1562"/>
        <v>#REF!</v>
      </c>
      <c r="BF308" s="140" t="e">
        <f t="shared" si="1562"/>
        <v>#REF!</v>
      </c>
      <c r="BG308" s="140" t="e">
        <f t="shared" si="1562"/>
        <v>#REF!</v>
      </c>
      <c r="BH308" s="140" t="e">
        <f t="shared" si="1562"/>
        <v>#REF!</v>
      </c>
      <c r="BI308" s="140" t="e">
        <f t="shared" si="1562"/>
        <v>#REF!</v>
      </c>
      <c r="BJ308" s="140" t="e">
        <f>+BJ307/BJ305</f>
        <v>#REF!</v>
      </c>
      <c r="BK308" s="140" t="e">
        <f>+BK307/BK305</f>
        <v>#REF!</v>
      </c>
      <c r="BL308" s="140" t="e">
        <f>+BL307/BL305</f>
        <v>#REF!</v>
      </c>
      <c r="BM308" s="2563">
        <f t="shared" ref="BM308:BN308" si="1563">+BM307/BM305</f>
        <v>-0.13673761474839902</v>
      </c>
      <c r="BN308" s="140">
        <f t="shared" si="1563"/>
        <v>-0.13270275095183401</v>
      </c>
      <c r="BO308" s="140">
        <f t="shared" ref="BO308" si="1564">+BO307/BO305</f>
        <v>-0.13026691596513304</v>
      </c>
      <c r="BP308" s="696">
        <f>+BP309*BP310</f>
        <v>-0.115</v>
      </c>
      <c r="BQ308" s="696">
        <f t="shared" ref="BQ308:BS308" si="1565">+BQ309*BQ310</f>
        <v>-0.11</v>
      </c>
      <c r="BR308" s="696">
        <f t="shared" si="1565"/>
        <v>-0.1</v>
      </c>
      <c r="BS308" s="696">
        <f t="shared" si="1565"/>
        <v>-0.09</v>
      </c>
    </row>
    <row r="309" spans="1:71">
      <c r="B309" s="114" t="s">
        <v>609</v>
      </c>
      <c r="K309" s="192">
        <f>+MACRO!K$6</f>
        <v>3.0500946736911727E-2</v>
      </c>
      <c r="L309" s="192">
        <f>+MACRO!L$6</f>
        <v>2.6479559859692303E-2</v>
      </c>
      <c r="M309" s="192">
        <f>+MACRO!M$6</f>
        <v>2.2363559609957839E-2</v>
      </c>
      <c r="N309" s="192">
        <f>+MACRO!N$6</f>
        <v>1.8362980987926658E-2</v>
      </c>
      <c r="O309" s="192">
        <f>+MACRO!O$6</f>
        <v>1.6642416339083699E-2</v>
      </c>
      <c r="P309" s="192">
        <f>+MACRO!P$6</f>
        <v>1.586828478278357E-2</v>
      </c>
      <c r="Q309" s="192">
        <f>+MACRO!Q$6</f>
        <v>1.586828478278357E-2</v>
      </c>
      <c r="R309" s="192">
        <f>+MACRO!R$6</f>
        <v>1.586828478278357E-2</v>
      </c>
      <c r="S309" s="192">
        <f>+MACRO!S$6</f>
        <v>1.586828478278357E-2</v>
      </c>
      <c r="T309" s="192">
        <f>+MACRO!T$6</f>
        <v>1.586828478278357E-2</v>
      </c>
      <c r="U309" s="192">
        <f>+MACRO!U$6</f>
        <v>1.4913071423088509E-2</v>
      </c>
      <c r="V309" s="192">
        <f>+MACRO!V$6</f>
        <v>1.2392721514959071E-2</v>
      </c>
      <c r="W309" s="192">
        <f>+MACRO!W$6</f>
        <v>1.0508203112448822E-2</v>
      </c>
      <c r="X309" s="192">
        <f>+MACRO!X$6</f>
        <v>7.8324965478326902E-3</v>
      </c>
      <c r="Y309" s="192">
        <f>+MACRO!Y$6</f>
        <v>5.1845412595541429E-3</v>
      </c>
      <c r="Z309" s="192">
        <f>+MACRO!Z$6</f>
        <v>4.9629315732038215E-3</v>
      </c>
      <c r="AA309" s="192">
        <f>+MACRO!AA$6</f>
        <v>5.2829874231419272E-3</v>
      </c>
      <c r="AB309" s="192">
        <f>+MACRO!AB$6</f>
        <v>8.2717988664033903E-3</v>
      </c>
      <c r="AC309" s="192">
        <f>+MACRO!AC$6</f>
        <v>1.2248131848348498E-2</v>
      </c>
      <c r="AD309" s="192">
        <f>+MACRO!AD$6</f>
        <v>1.8670575645447718E-2</v>
      </c>
      <c r="AE309" s="192">
        <f>+MACRO!AE$6</f>
        <v>2.5089855568062536E-2</v>
      </c>
      <c r="AF309" s="192">
        <f>+MACRO!AF$6</f>
        <v>2.9860684889043698E-2</v>
      </c>
      <c r="AG309" s="192">
        <f>+MACRO!AG$6</f>
        <v>3.2391886619581145E-2</v>
      </c>
      <c r="AH309" s="192">
        <f>+MACRO!AH$6</f>
        <v>3.2732516378310317E-2</v>
      </c>
      <c r="AI309" s="192">
        <f>+MACRO!AI$6</f>
        <v>3.2732516378310317E-2</v>
      </c>
      <c r="AJ309" s="192">
        <f>+MACRO!AJ$6</f>
        <v>3.2732516378310317E-2</v>
      </c>
      <c r="AK309" s="192">
        <f>+MACRO!AK$6</f>
        <v>3.1846176683566041E-2</v>
      </c>
      <c r="AL309" s="192">
        <f>+MACRO!AL$6</f>
        <v>2.9494284160460849E-2</v>
      </c>
      <c r="AM309" s="2584">
        <f>+MACRO!AM$6</f>
        <v>2.7241497638393453E-2</v>
      </c>
      <c r="AN309" s="192">
        <f>+MACRO!AN$6</f>
        <v>2.5507360290891512E-2</v>
      </c>
      <c r="AO309" s="192">
        <f>+MACRO!AO$6</f>
        <v>2.5345057941852822E-2</v>
      </c>
      <c r="AP309" s="192">
        <f>+MACRO!AP$6</f>
        <v>2.70569411275976E-2</v>
      </c>
      <c r="AQ309" s="192">
        <f>+MACRO!AQ$6</f>
        <v>3.2354018049627786E-2</v>
      </c>
      <c r="AR309" s="192">
        <f>+MACRO!AR$6</f>
        <v>3.4994813649531054E-2</v>
      </c>
      <c r="AS309" s="192">
        <f>+MACRO!AS$6</f>
        <v>3.5558076341622114E-2</v>
      </c>
      <c r="AT309" s="192">
        <f>+MACRO!AT$6</f>
        <v>3.5558076341622114E-2</v>
      </c>
      <c r="AU309" s="192">
        <f>+MACRO!AU$6</f>
        <v>3.4994813649531054E-2</v>
      </c>
      <c r="AV309" s="192">
        <f>+MACRO!AV$6</f>
        <v>3.2732516378310317E-2</v>
      </c>
      <c r="AW309" s="192">
        <f>+MACRO!AW$6</f>
        <v>3.1025984771220427E-2</v>
      </c>
      <c r="AX309" s="192">
        <f>+MACRO!AX$6</f>
        <v>2.9883571953558841E-2</v>
      </c>
      <c r="AZ309" s="192">
        <v>3.5558076341622114E-2</v>
      </c>
      <c r="BD309" s="140">
        <f>+MACRO!BD$6</f>
        <v>0.135075</v>
      </c>
      <c r="BE309" s="140">
        <f>+MACRO!BE$6</f>
        <v>0.14177499999999998</v>
      </c>
      <c r="BF309" s="140">
        <f>+MACRO!BF$6</f>
        <v>0.10147500000000001</v>
      </c>
      <c r="BG309" s="140">
        <f>+MACRO!BG$6</f>
        <v>6.5812499999999996E-2</v>
      </c>
      <c r="BH309" s="140">
        <f>+MACRO!BH$6</f>
        <v>6.0374999999999998E-2</v>
      </c>
      <c r="BI309" s="140">
        <f>+MACRO!BI$6</f>
        <v>2.8825E-2</v>
      </c>
      <c r="BJ309" s="140">
        <f>+MACRO!BJ$6</f>
        <v>4.5374999999999999E-2</v>
      </c>
      <c r="BK309" s="140">
        <f>+MACRO!BK$6</f>
        <v>0.12564999999999998</v>
      </c>
      <c r="BL309" s="140">
        <f>+MACRO!BL$6</f>
        <v>0.13297500000000001</v>
      </c>
      <c r="BM309" s="2584">
        <f>+MACRO!BM$6</f>
        <v>0.109375</v>
      </c>
      <c r="BN309" s="192">
        <f>+MACRO!BN$6</f>
        <v>0.14583333333333334</v>
      </c>
      <c r="BO309" s="192">
        <f>+MACRO!BO$6</f>
        <v>0.13500000000000001</v>
      </c>
      <c r="BP309" s="192">
        <f>+MACRO!BP$6</f>
        <v>0.115</v>
      </c>
      <c r="BQ309" s="192">
        <f>+MACRO!BQ$6</f>
        <v>0.11</v>
      </c>
      <c r="BR309" s="192">
        <f>+MACRO!BR$6</f>
        <v>0.1</v>
      </c>
      <c r="BS309" s="192">
        <f>+MACRO!BS$6</f>
        <v>0.09</v>
      </c>
    </row>
    <row r="310" spans="1:71">
      <c r="B310" s="114"/>
      <c r="K310" s="192" t="e">
        <f>+K308/K309</f>
        <v>#REF!</v>
      </c>
      <c r="L310" s="192" t="e">
        <f t="shared" ref="L310:R310" si="1566">+L308/L309</f>
        <v>#REF!</v>
      </c>
      <c r="M310" s="192" t="e">
        <f t="shared" si="1566"/>
        <v>#REF!</v>
      </c>
      <c r="N310" s="192" t="e">
        <f t="shared" si="1566"/>
        <v>#REF!</v>
      </c>
      <c r="O310" s="192" t="e">
        <f t="shared" si="1566"/>
        <v>#REF!</v>
      </c>
      <c r="P310" s="192" t="e">
        <f t="shared" si="1566"/>
        <v>#REF!</v>
      </c>
      <c r="Q310" s="192" t="e">
        <f t="shared" si="1566"/>
        <v>#REF!</v>
      </c>
      <c r="R310" s="192" t="e">
        <f t="shared" si="1566"/>
        <v>#REF!</v>
      </c>
      <c r="S310" s="192" t="e">
        <f>+S308/S309</f>
        <v>#REF!</v>
      </c>
      <c r="T310" s="192" t="e">
        <f>+T308/T309</f>
        <v>#REF!</v>
      </c>
      <c r="U310" s="192" t="e">
        <f>+U308/U309</f>
        <v>#REF!</v>
      </c>
      <c r="V310" s="192" t="e">
        <f>+V308/V309</f>
        <v>#REF!</v>
      </c>
      <c r="W310" s="192" t="e">
        <f>+W308/W309</f>
        <v>#REF!</v>
      </c>
      <c r="X310" s="192" t="e">
        <f t="shared" ref="X310:Z310" si="1567">+X308/X309</f>
        <v>#REF!</v>
      </c>
      <c r="Y310" s="192" t="e">
        <f t="shared" si="1567"/>
        <v>#REF!</v>
      </c>
      <c r="Z310" s="192" t="e">
        <f t="shared" si="1567"/>
        <v>#REF!</v>
      </c>
      <c r="AA310" s="192" t="e">
        <f t="shared" ref="AA310:AB310" si="1568">+AA308/AA309</f>
        <v>#REF!</v>
      </c>
      <c r="AB310" s="192" t="e">
        <f t="shared" si="1568"/>
        <v>#REF!</v>
      </c>
      <c r="AC310" s="192" t="e">
        <f t="shared" ref="AC310:AD310" si="1569">+AC308/AC309</f>
        <v>#REF!</v>
      </c>
      <c r="AD310" s="192" t="e">
        <f t="shared" si="1569"/>
        <v>#REF!</v>
      </c>
      <c r="AE310" s="192" t="e">
        <f t="shared" ref="AE310:AF310" si="1570">+AE308/AE309</f>
        <v>#REF!</v>
      </c>
      <c r="AF310" s="192" t="e">
        <f t="shared" si="1570"/>
        <v>#REF!</v>
      </c>
      <c r="AG310" s="192" t="e">
        <f t="shared" ref="AG310:AH310" si="1571">+AG308/AG309</f>
        <v>#REF!</v>
      </c>
      <c r="AH310" s="192" t="e">
        <f t="shared" si="1571"/>
        <v>#REF!</v>
      </c>
      <c r="AI310" s="192" t="e">
        <f t="shared" ref="AI310:AJ310" si="1572">+AI308/AI309</f>
        <v>#REF!</v>
      </c>
      <c r="AJ310" s="192" t="e">
        <f t="shared" si="1572"/>
        <v>#REF!</v>
      </c>
      <c r="AK310" s="192" t="e">
        <f t="shared" ref="AK310:AL310" si="1573">+AK308/AK309</f>
        <v>#REF!</v>
      </c>
      <c r="AL310" s="192" t="e">
        <f t="shared" si="1573"/>
        <v>#REF!</v>
      </c>
      <c r="AM310" s="2584">
        <f t="shared" ref="AM310:AP310" si="1574">+AM308/AM309</f>
        <v>-0.83507499072028801</v>
      </c>
      <c r="AN310" s="192">
        <f t="shared" si="1574"/>
        <v>-4.8108985873766814</v>
      </c>
      <c r="AO310" s="192">
        <f t="shared" si="1574"/>
        <v>-2.1021147977715526</v>
      </c>
      <c r="AP310" s="192">
        <f t="shared" si="1574"/>
        <v>-1.9707959352386253</v>
      </c>
      <c r="AQ310" s="192">
        <f t="shared" ref="AQ310:AS310" si="1575">+AQ308/AQ309</f>
        <v>-1.6685774972996008</v>
      </c>
      <c r="AR310" s="192">
        <f t="shared" si="1575"/>
        <v>-1.6132790046142889</v>
      </c>
      <c r="AS310" s="192">
        <f t="shared" si="1575"/>
        <v>-0.92898671767237939</v>
      </c>
      <c r="AT310" s="306">
        <v>-1</v>
      </c>
      <c r="AU310" s="306">
        <v>-1</v>
      </c>
      <c r="AV310" s="306">
        <v>-1</v>
      </c>
      <c r="AW310" s="306">
        <v>-1</v>
      </c>
      <c r="AX310" s="306">
        <v>-1</v>
      </c>
      <c r="AZ310" s="192">
        <v>-1</v>
      </c>
      <c r="BD310" s="192" t="e">
        <f t="shared" ref="BD310:BI310" si="1576">+BD308/BD309</f>
        <v>#REF!</v>
      </c>
      <c r="BE310" s="192" t="e">
        <f t="shared" si="1576"/>
        <v>#REF!</v>
      </c>
      <c r="BF310" s="192" t="e">
        <f t="shared" si="1576"/>
        <v>#REF!</v>
      </c>
      <c r="BG310" s="192" t="e">
        <f t="shared" si="1576"/>
        <v>#REF!</v>
      </c>
      <c r="BH310" s="192" t="e">
        <f t="shared" si="1576"/>
        <v>#REF!</v>
      </c>
      <c r="BI310" s="192" t="e">
        <f t="shared" si="1576"/>
        <v>#REF!</v>
      </c>
      <c r="BJ310" s="192" t="e">
        <f>+BJ308/BJ309</f>
        <v>#REF!</v>
      </c>
      <c r="BK310" s="192" t="e">
        <f>+BK308/BK309</f>
        <v>#REF!</v>
      </c>
      <c r="BL310" s="192" t="e">
        <f>+BL308/BL309</f>
        <v>#REF!</v>
      </c>
      <c r="BM310" s="2584">
        <f t="shared" ref="BM310:BN310" si="1577">+BM308/BM309</f>
        <v>-1.2501724776996481</v>
      </c>
      <c r="BN310" s="192">
        <f t="shared" si="1577"/>
        <v>-0.90996172081257598</v>
      </c>
      <c r="BO310" s="192">
        <f t="shared" ref="BO310" si="1578">+BO308/BO309</f>
        <v>-0.96494011826024473</v>
      </c>
      <c r="BP310" s="306">
        <v>-1</v>
      </c>
      <c r="BQ310" s="306">
        <v>-1</v>
      </c>
      <c r="BR310" s="306">
        <v>-1</v>
      </c>
      <c r="BS310" s="306">
        <v>-1</v>
      </c>
    </row>
    <row r="311" spans="1:71">
      <c r="B311" s="1706"/>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c r="AH311" s="192"/>
      <c r="AI311" s="192"/>
      <c r="AJ311" s="192"/>
      <c r="AK311" s="192"/>
      <c r="AL311" s="192"/>
      <c r="AM311" s="2584"/>
      <c r="AN311" s="192"/>
      <c r="AO311" s="192"/>
      <c r="AP311" s="192"/>
      <c r="AQ311" s="192"/>
      <c r="AR311" s="192"/>
      <c r="AS311" s="192"/>
      <c r="AT311" s="192"/>
      <c r="AU311" s="192"/>
      <c r="AV311" s="192"/>
      <c r="AW311" s="192"/>
      <c r="AX311" s="192"/>
      <c r="AZ311" s="192"/>
      <c r="BD311" s="192"/>
      <c r="BE311" s="192"/>
      <c r="BF311" s="192"/>
      <c r="BG311" s="192"/>
      <c r="BH311" s="192"/>
      <c r="BI311" s="192"/>
      <c r="BJ311" s="192"/>
      <c r="BK311" s="192"/>
      <c r="BL311" s="192"/>
      <c r="BM311" s="2584"/>
      <c r="BN311" s="192"/>
      <c r="BO311" s="192"/>
      <c r="BP311" s="192"/>
      <c r="BQ311" s="192"/>
      <c r="BR311" s="192"/>
      <c r="BS311" s="192"/>
    </row>
    <row r="312" spans="1:71">
      <c r="B312" s="114"/>
      <c r="K312" s="192"/>
      <c r="L312" s="192"/>
      <c r="M312" s="192"/>
      <c r="N312" s="192"/>
      <c r="O312" s="192"/>
      <c r="P312" s="192"/>
      <c r="Q312" s="192"/>
      <c r="R312" s="192"/>
      <c r="S312" s="192"/>
      <c r="T312" s="192"/>
      <c r="U312" s="306"/>
      <c r="V312" s="306"/>
      <c r="W312" s="306"/>
      <c r="X312" s="306"/>
      <c r="Y312" s="306"/>
      <c r="Z312" s="306"/>
      <c r="AA312" s="306"/>
      <c r="AB312" s="306"/>
      <c r="AC312" s="306"/>
      <c r="AD312" s="306"/>
      <c r="AE312" s="306"/>
      <c r="AF312" s="306"/>
      <c r="AG312" s="306"/>
      <c r="AH312" s="306"/>
      <c r="AI312" s="306"/>
      <c r="AJ312" s="306"/>
      <c r="AK312" s="306"/>
      <c r="AL312" s="306"/>
      <c r="AM312" s="2585"/>
      <c r="AN312" s="306"/>
      <c r="AO312" s="306"/>
      <c r="AP312" s="306"/>
      <c r="AQ312" s="306"/>
      <c r="AR312" s="306"/>
      <c r="AS312" s="306"/>
      <c r="AT312" s="306"/>
      <c r="AU312" s="306"/>
      <c r="AV312" s="306"/>
      <c r="AW312" s="306"/>
      <c r="AX312" s="306"/>
      <c r="AZ312" s="306"/>
      <c r="BD312" s="192"/>
      <c r="BE312" s="192"/>
      <c r="BF312" s="192"/>
      <c r="BG312" s="192"/>
      <c r="BH312" s="192"/>
      <c r="BI312" s="192"/>
      <c r="BJ312" s="192"/>
      <c r="BK312" s="192"/>
      <c r="BL312" s="192"/>
      <c r="BM312" s="2584"/>
      <c r="BN312" s="192"/>
      <c r="BO312" s="192"/>
      <c r="BP312" s="306"/>
      <c r="BQ312" s="306"/>
      <c r="BR312" s="306"/>
      <c r="BS312" s="306"/>
    </row>
    <row r="313" spans="1:71" hidden="1">
      <c r="B313" s="430" t="s">
        <v>610</v>
      </c>
      <c r="K313" s="192"/>
      <c r="L313" s="192"/>
      <c r="M313" s="192"/>
      <c r="N313" s="192"/>
      <c r="O313" s="192"/>
      <c r="P313" s="192"/>
      <c r="Q313" s="192"/>
      <c r="R313" s="192"/>
      <c r="S313" s="192"/>
      <c r="T313" s="192"/>
      <c r="U313" s="306"/>
      <c r="V313" s="306"/>
      <c r="W313" s="306"/>
      <c r="X313" s="306"/>
      <c r="Y313" s="306"/>
      <c r="Z313" s="306"/>
      <c r="AA313" s="306"/>
      <c r="AB313" s="306"/>
      <c r="AC313" s="306"/>
      <c r="AD313" s="306"/>
      <c r="AE313" s="306"/>
      <c r="AF313" s="306"/>
      <c r="AG313" s="306"/>
      <c r="AH313" s="306"/>
      <c r="AI313" s="306"/>
      <c r="AJ313" s="306"/>
      <c r="AK313" s="306"/>
      <c r="AL313" s="306"/>
      <c r="AM313" s="2585"/>
      <c r="AN313" s="306"/>
      <c r="AO313" s="306"/>
      <c r="AP313" s="306"/>
      <c r="AQ313" s="306"/>
      <c r="AR313" s="306"/>
      <c r="AS313" s="306"/>
      <c r="AT313" s="306"/>
      <c r="AU313" s="306"/>
      <c r="AV313" s="306"/>
      <c r="AW313" s="306"/>
      <c r="AX313" s="306"/>
      <c r="AZ313" s="306"/>
      <c r="BD313" s="192"/>
      <c r="BE313" s="192"/>
      <c r="BF313" s="192"/>
      <c r="BG313" s="192"/>
      <c r="BH313" s="192"/>
      <c r="BI313" s="192"/>
      <c r="BJ313" s="192"/>
      <c r="BK313" s="192"/>
      <c r="BL313" s="192"/>
      <c r="BM313" s="2584"/>
      <c r="BN313" s="192"/>
      <c r="BO313" s="192"/>
      <c r="BP313" s="306"/>
      <c r="BQ313" s="306"/>
      <c r="BR313" s="306"/>
      <c r="BS313" s="306"/>
    </row>
    <row r="314" spans="1:71" hidden="1">
      <c r="B314" s="114"/>
      <c r="K314" s="192"/>
      <c r="L314" s="192"/>
      <c r="M314" s="192"/>
      <c r="N314" s="192"/>
      <c r="O314" s="192"/>
      <c r="P314" s="192"/>
      <c r="Q314" s="192"/>
      <c r="R314" s="192"/>
      <c r="S314" s="192"/>
      <c r="T314" s="192"/>
      <c r="U314" s="306"/>
      <c r="V314" s="306"/>
      <c r="W314" s="306"/>
      <c r="X314" s="306"/>
      <c r="Y314" s="306"/>
      <c r="Z314" s="306"/>
      <c r="AA314" s="306"/>
      <c r="AB314" s="306"/>
      <c r="AC314" s="306"/>
      <c r="AD314" s="306"/>
      <c r="AE314" s="306"/>
      <c r="AF314" s="306"/>
      <c r="AG314" s="306"/>
      <c r="AH314" s="306"/>
      <c r="AI314" s="306"/>
      <c r="AJ314" s="306"/>
      <c r="AK314" s="306"/>
      <c r="AL314" s="306"/>
      <c r="AM314" s="2585"/>
      <c r="AN314" s="306"/>
      <c r="AO314" s="306"/>
      <c r="AP314" s="306"/>
      <c r="AQ314" s="306"/>
      <c r="AR314" s="306"/>
      <c r="AS314" s="306"/>
      <c r="AT314" s="306"/>
      <c r="AU314" s="306"/>
      <c r="AV314" s="306"/>
      <c r="AW314" s="306"/>
      <c r="AX314" s="306"/>
      <c r="AZ314" s="306"/>
      <c r="BD314" s="192"/>
      <c r="BE314" s="192"/>
      <c r="BF314" s="192"/>
      <c r="BG314" s="192"/>
      <c r="BH314" s="192"/>
      <c r="BI314" s="192"/>
      <c r="BJ314" s="192"/>
      <c r="BK314" s="192"/>
      <c r="BL314" s="192"/>
      <c r="BM314" s="2584"/>
      <c r="BN314" s="192"/>
      <c r="BO314" s="192"/>
      <c r="BP314" s="306"/>
      <c r="BQ314" s="306"/>
      <c r="BR314" s="306"/>
      <c r="BS314" s="306"/>
    </row>
    <row r="315" spans="1:71" s="1002" customFormat="1" hidden="1">
      <c r="A315" s="1001"/>
      <c r="B315" s="1004" t="s">
        <v>611</v>
      </c>
      <c r="R315" s="1002">
        <f>+Debt!C6/1000</f>
        <v>4680.665</v>
      </c>
      <c r="S315" s="1002">
        <f>+Debt!D6/1000</f>
        <v>4229.78</v>
      </c>
      <c r="T315" s="1002">
        <f>+Debt!D6/1000</f>
        <v>4229.78</v>
      </c>
      <c r="U315" s="1002">
        <f>+Debt!E6/1000</f>
        <v>4184.07</v>
      </c>
      <c r="V315" s="1002">
        <f>+Debt!F6/1000</f>
        <v>4251.2309999999998</v>
      </c>
      <c r="W315" s="69">
        <f>+Debt!G6/1000</f>
        <v>4126.8360000000002</v>
      </c>
      <c r="X315" s="69">
        <f>+Debt!H6/1000</f>
        <v>4171.4319999999998</v>
      </c>
      <c r="Y315" s="69">
        <f>+Debt!I6/1000</f>
        <v>4010.0169999999998</v>
      </c>
      <c r="Z315" s="69">
        <f>+Debt!J6/1000</f>
        <v>4010.0169999999998</v>
      </c>
      <c r="AA315" s="69">
        <f>+JUROS!$C$35</f>
        <v>1049.8999999999999</v>
      </c>
      <c r="AB315" s="69">
        <f>+JUROS!$C$35</f>
        <v>1049.8999999999999</v>
      </c>
      <c r="AC315" s="69">
        <f>+JUROS!$C$35</f>
        <v>1049.8999999999999</v>
      </c>
      <c r="AD315" s="69">
        <f>+JUROS!$C$35</f>
        <v>1049.8999999999999</v>
      </c>
      <c r="AE315" s="69">
        <f>+JUROS!$C$35</f>
        <v>1049.8999999999999</v>
      </c>
      <c r="AF315" s="69">
        <f>+JUROS!$C$35</f>
        <v>1049.8999999999999</v>
      </c>
      <c r="AG315" s="69">
        <f>+JUROS!$C$35</f>
        <v>1049.8999999999999</v>
      </c>
      <c r="AH315" s="69">
        <f>+JUROS!$C$35</f>
        <v>1049.8999999999999</v>
      </c>
      <c r="AI315" s="69">
        <f>+JUROS!$C$35</f>
        <v>1049.8999999999999</v>
      </c>
      <c r="AJ315" s="69">
        <f t="shared" ref="AJ315:AL315" si="1579">+AI315</f>
        <v>1049.8999999999999</v>
      </c>
      <c r="AK315" s="69">
        <f t="shared" si="1579"/>
        <v>1049.8999999999999</v>
      </c>
      <c r="AL315" s="69">
        <f t="shared" si="1579"/>
        <v>1049.8999999999999</v>
      </c>
      <c r="AM315" s="2586">
        <f t="shared" ref="AM315" si="1580">+AL315</f>
        <v>1049.8999999999999</v>
      </c>
      <c r="AN315" s="1005">
        <f t="shared" ref="AN315:AO315" si="1581">+AM315</f>
        <v>1049.8999999999999</v>
      </c>
      <c r="AO315" s="1005">
        <f t="shared" si="1581"/>
        <v>1049.8999999999999</v>
      </c>
      <c r="AP315" s="1005">
        <f t="shared" ref="AP315" si="1582">+AO315</f>
        <v>1049.8999999999999</v>
      </c>
      <c r="AQ315" s="1005">
        <f t="shared" ref="AQ315" si="1583">+AP315</f>
        <v>1049.8999999999999</v>
      </c>
      <c r="AR315" s="1005">
        <f t="shared" ref="AR315" si="1584">+AQ315</f>
        <v>1049.8999999999999</v>
      </c>
      <c r="AS315" s="1005">
        <f t="shared" ref="AS315" si="1585">+AR315</f>
        <v>1049.8999999999999</v>
      </c>
      <c r="AT315" s="1005">
        <f t="shared" ref="AT315" si="1586">+AS315</f>
        <v>1049.8999999999999</v>
      </c>
      <c r="AU315" s="1005">
        <f t="shared" ref="AU315" si="1587">+AT315</f>
        <v>1049.8999999999999</v>
      </c>
      <c r="AV315" s="1005">
        <f t="shared" ref="AV315" si="1588">+AU315</f>
        <v>1049.8999999999999</v>
      </c>
      <c r="AW315" s="1005">
        <f t="shared" ref="AW315" si="1589">+AV315</f>
        <v>1049.8999999999999</v>
      </c>
      <c r="AX315" s="1005">
        <f t="shared" ref="AX315" si="1590">+AW315</f>
        <v>1049.8999999999999</v>
      </c>
      <c r="AY315" s="1001"/>
      <c r="AZ315" s="1005">
        <v>1049.8999999999999</v>
      </c>
      <c r="BA315" s="1083"/>
      <c r="BB315" s="1001"/>
      <c r="BC315" s="1001"/>
      <c r="BD315" s="266"/>
      <c r="BE315" s="266"/>
      <c r="BF315" s="266"/>
      <c r="BG315" s="266">
        <f>+R315</f>
        <v>4680.665</v>
      </c>
      <c r="BH315" s="266">
        <f>+V315</f>
        <v>4251.2309999999998</v>
      </c>
      <c r="BI315" s="266">
        <f>+Z315</f>
        <v>4010.0169999999998</v>
      </c>
      <c r="BJ315" s="266">
        <f>+AD315</f>
        <v>1049.8999999999999</v>
      </c>
      <c r="BK315" s="266">
        <f>+AE315</f>
        <v>1049.8999999999999</v>
      </c>
      <c r="BL315" s="266">
        <f>+AL315</f>
        <v>1049.8999999999999</v>
      </c>
      <c r="BM315" s="2608">
        <f>+AP315</f>
        <v>1049.8999999999999</v>
      </c>
      <c r="BN315" s="266">
        <f>+AT315</f>
        <v>1049.8999999999999</v>
      </c>
      <c r="BO315" s="266">
        <f>+AX315</f>
        <v>1049.8999999999999</v>
      </c>
      <c r="BP315" s="1005">
        <f t="shared" ref="BP315" si="1591">+BO315</f>
        <v>1049.8999999999999</v>
      </c>
      <c r="BQ315" s="1005">
        <f t="shared" ref="BQ315" si="1592">+BP315</f>
        <v>1049.8999999999999</v>
      </c>
      <c r="BR315" s="1005">
        <f t="shared" ref="BR315" si="1593">+BQ315</f>
        <v>1049.8999999999999</v>
      </c>
      <c r="BS315" s="1005">
        <f t="shared" ref="BS315" si="1594">+BR315</f>
        <v>1049.8999999999999</v>
      </c>
    </row>
    <row r="316" spans="1:71" hidden="1">
      <c r="B316" s="114" t="s">
        <v>106</v>
      </c>
      <c r="K316" s="192"/>
      <c r="L316" s="192"/>
      <c r="M316" s="192"/>
      <c r="N316" s="192"/>
      <c r="O316" s="192"/>
      <c r="P316" s="192"/>
      <c r="Q316" s="192"/>
      <c r="R316" s="432">
        <f t="shared" ref="R316:W316" si="1595">-R317*R315</f>
        <v>-81.701537712088438</v>
      </c>
      <c r="S316" s="432">
        <f t="shared" si="1595"/>
        <v>-73.831288969374526</v>
      </c>
      <c r="T316" s="432">
        <f t="shared" si="1595"/>
        <v>-73.831288969374526</v>
      </c>
      <c r="U316" s="432">
        <f t="shared" si="1595"/>
        <v>-68.637068224122132</v>
      </c>
      <c r="V316" s="432">
        <f t="shared" si="1595"/>
        <v>-57.952754066637063</v>
      </c>
      <c r="W316" s="432">
        <f t="shared" si="1595"/>
        <v>-47.70219398974244</v>
      </c>
      <c r="X316" s="432">
        <f t="shared" ref="X316:Y316" si="1596">-X317*X315</f>
        <v>-35.939999413470694</v>
      </c>
      <c r="Y316" s="432">
        <f t="shared" si="1596"/>
        <v>-22.869108446814881</v>
      </c>
      <c r="Z316" s="432">
        <f t="shared" ref="Z316:AA316" si="1597">-Z317*Z315</f>
        <v>-21.891583976222478</v>
      </c>
      <c r="AA316" s="432">
        <f t="shared" si="1597"/>
        <v>-6.1012693451123807</v>
      </c>
      <c r="AB316" s="432">
        <f t="shared" ref="AB316:AC316" si="1598">-AB317*AB315</f>
        <v>-9.5530177928206115</v>
      </c>
      <c r="AC316" s="432">
        <f t="shared" si="1598"/>
        <v>-14.145244990339195</v>
      </c>
      <c r="AD316" s="432">
        <f t="shared" ref="AD316:AE316" si="1599">-AD317*AD315</f>
        <v>-21.562461107171114</v>
      </c>
      <c r="AE316" s="432">
        <f t="shared" si="1599"/>
        <v>-28.976023296999742</v>
      </c>
      <c r="AF316" s="432">
        <f t="shared" ref="AF316:AG316" si="1600">-AF317*AF315</f>
        <v>-34.485806371507671</v>
      </c>
      <c r="AG316" s="432">
        <f t="shared" si="1600"/>
        <v>-37.409065938088069</v>
      </c>
      <c r="AH316" s="432">
        <f t="shared" ref="AH316:AI316" si="1601">-AH317*AH315</f>
        <v>-37.802455840146798</v>
      </c>
      <c r="AI316" s="432">
        <f t="shared" si="1601"/>
        <v>-37.802455840146798</v>
      </c>
      <c r="AJ316" s="432">
        <f t="shared" ref="AJ316" si="1602">-AJ317*AJ315</f>
        <v>-37.802455840146798</v>
      </c>
      <c r="AK316" s="432">
        <f t="shared" ref="AK316:AL316" si="1603">-AK317*AK315</f>
        <v>-36.778830990083584</v>
      </c>
      <c r="AL316" s="432">
        <f t="shared" si="1603"/>
        <v>-34.062653834074631</v>
      </c>
      <c r="AM316" s="2587">
        <f t="shared" ref="AM316:AP316" si="1604">-AM317*AM315</f>
        <v>-31.460933207604214</v>
      </c>
      <c r="AN316" s="697">
        <f t="shared" ref="AN316" si="1605">-AN317*AN315</f>
        <v>-29.458195326347695</v>
      </c>
      <c r="AO316" s="697">
        <f t="shared" si="1604"/>
        <v>-29.270753966466401</v>
      </c>
      <c r="AP316" s="697">
        <f t="shared" si="1604"/>
        <v>-31.24779073885119</v>
      </c>
      <c r="AQ316" s="697">
        <f t="shared" ref="AQ316:AT316" si="1606">-AQ317*AQ315</f>
        <v>-37.365331905334635</v>
      </c>
      <c r="AR316" s="697">
        <f t="shared" si="1606"/>
        <v>-40.415160335706915</v>
      </c>
      <c r="AS316" s="697">
        <f t="shared" si="1606"/>
        <v>-41.06566678617596</v>
      </c>
      <c r="AT316" s="697">
        <f t="shared" si="1606"/>
        <v>-41.06566678617596</v>
      </c>
      <c r="AU316" s="697">
        <f t="shared" ref="AU316:AX316" si="1607">-AU317*AU315</f>
        <v>-40.415160335706915</v>
      </c>
      <c r="AV316" s="697">
        <f t="shared" si="1607"/>
        <v>-37.802455840146798</v>
      </c>
      <c r="AW316" s="697">
        <f t="shared" si="1607"/>
        <v>-35.83159955243476</v>
      </c>
      <c r="AX316" s="697">
        <f t="shared" si="1607"/>
        <v>-34.512238413445573</v>
      </c>
      <c r="AZ316" s="697">
        <v>-41.06566678617596</v>
      </c>
      <c r="BD316" s="432"/>
      <c r="BE316" s="432"/>
      <c r="BF316" s="305">
        <f>+SUM(K316:N316)</f>
        <v>0</v>
      </c>
      <c r="BG316" s="305">
        <f>+SUM(O316:R316)</f>
        <v>-81.701537712088438</v>
      </c>
      <c r="BH316" s="305">
        <f>+SUM(S316:V316)</f>
        <v>-274.25240022950823</v>
      </c>
      <c r="BI316" s="305">
        <f>+SUM(W316:Z316)</f>
        <v>-128.4028858262505</v>
      </c>
      <c r="BJ316" s="305">
        <f>+SUM(AA316:AD316)</f>
        <v>-51.361993235443308</v>
      </c>
      <c r="BK316" s="305">
        <f>+SUM(AE316:AH316)</f>
        <v>-138.67335144674229</v>
      </c>
      <c r="BL316" s="305">
        <f>+SUM(AI316:AL316)</f>
        <v>-146.44639650445183</v>
      </c>
      <c r="BM316" s="2619">
        <f>+SUM(AM316:AP316)</f>
        <v>-121.4376732392695</v>
      </c>
      <c r="BN316" s="305">
        <f>+SUM(AQ316:AT316)</f>
        <v>-159.91182581339348</v>
      </c>
      <c r="BO316" s="305">
        <f>+SUM(AU316:AX316)</f>
        <v>-148.56145414173406</v>
      </c>
      <c r="BP316" s="697">
        <f t="shared" ref="BP316" si="1608">-BP317*BP315</f>
        <v>-132.81235000000001</v>
      </c>
      <c r="BQ316" s="697">
        <f t="shared" ref="BQ316:BS316" si="1609">-BQ317*BQ315</f>
        <v>-127.03789999999999</v>
      </c>
      <c r="BR316" s="697">
        <f t="shared" si="1609"/>
        <v>-115.489</v>
      </c>
      <c r="BS316" s="697">
        <f t="shared" si="1609"/>
        <v>-103.94009999999999</v>
      </c>
    </row>
    <row r="317" spans="1:71" hidden="1">
      <c r="B317" s="114" t="s">
        <v>612</v>
      </c>
      <c r="K317" s="192"/>
      <c r="L317" s="192"/>
      <c r="M317" s="192"/>
      <c r="N317" s="192"/>
      <c r="O317" s="192"/>
      <c r="P317" s="192"/>
      <c r="Q317" s="192"/>
      <c r="R317" s="192">
        <f t="shared" ref="R317:W317" si="1610">+R319*R318</f>
        <v>1.745511326106193E-2</v>
      </c>
      <c r="S317" s="192">
        <f t="shared" si="1610"/>
        <v>1.745511326106193E-2</v>
      </c>
      <c r="T317" s="192">
        <f t="shared" si="1610"/>
        <v>1.745511326106193E-2</v>
      </c>
      <c r="U317" s="192">
        <f t="shared" si="1610"/>
        <v>1.6404378565397362E-2</v>
      </c>
      <c r="V317" s="192">
        <f t="shared" si="1610"/>
        <v>1.3631993666454978E-2</v>
      </c>
      <c r="W317" s="192">
        <f t="shared" si="1610"/>
        <v>1.1559023423693705E-2</v>
      </c>
      <c r="X317" s="192">
        <f t="shared" ref="X317:Y317" si="1611">+X319*X318</f>
        <v>8.6157462026159592E-3</v>
      </c>
      <c r="Y317" s="192">
        <f t="shared" si="1611"/>
        <v>5.7029953855095581E-3</v>
      </c>
      <c r="Z317" s="192">
        <f t="shared" ref="Z317:AA317" si="1612">+Z319*Z318</f>
        <v>5.459224730524204E-3</v>
      </c>
      <c r="AA317" s="192">
        <f t="shared" si="1612"/>
        <v>5.8112861654561207E-3</v>
      </c>
      <c r="AB317" s="192">
        <f t="shared" ref="AB317:AC317" si="1613">+AB319*AB318</f>
        <v>9.0989787530437304E-3</v>
      </c>
      <c r="AC317" s="192">
        <f t="shared" si="1613"/>
        <v>1.3472945033183348E-2</v>
      </c>
      <c r="AD317" s="192">
        <f t="shared" ref="AD317:AE317" si="1614">+AD319*AD318</f>
        <v>2.0537633209992492E-2</v>
      </c>
      <c r="AE317" s="192">
        <f t="shared" si="1614"/>
        <v>2.7598841124868791E-2</v>
      </c>
      <c r="AF317" s="192">
        <f t="shared" ref="AF317:AG317" si="1615">+AF319*AF318</f>
        <v>3.2846753377948068E-2</v>
      </c>
      <c r="AG317" s="192">
        <f t="shared" si="1615"/>
        <v>3.5631075281539262E-2</v>
      </c>
      <c r="AH317" s="192">
        <f t="shared" ref="AH317:AI317" si="1616">+AH319*AH318</f>
        <v>3.6005768016141353E-2</v>
      </c>
      <c r="AI317" s="192">
        <f t="shared" si="1616"/>
        <v>3.6005768016141353E-2</v>
      </c>
      <c r="AJ317" s="192">
        <f t="shared" ref="AJ317" si="1617">+AJ319*AJ318</f>
        <v>3.6005768016141353E-2</v>
      </c>
      <c r="AK317" s="192">
        <f t="shared" ref="AK317:AL317" si="1618">+AK319*AK318</f>
        <v>3.5030794351922648E-2</v>
      </c>
      <c r="AL317" s="192">
        <f t="shared" si="1618"/>
        <v>3.2443712576506939E-2</v>
      </c>
      <c r="AM317" s="2584">
        <f t="shared" ref="AM317:AP317" si="1619">+AM319*AM318</f>
        <v>2.9965647402232801E-2</v>
      </c>
      <c r="AN317" s="192">
        <f t="shared" ref="AN317" si="1620">+AN319*AN318</f>
        <v>2.8058096319980665E-2</v>
      </c>
      <c r="AO317" s="192">
        <f t="shared" si="1619"/>
        <v>2.7879563736038105E-2</v>
      </c>
      <c r="AP317" s="192">
        <f t="shared" si="1619"/>
        <v>2.9762635240357362E-2</v>
      </c>
      <c r="AQ317" s="192">
        <f t="shared" ref="AQ317:AT317" si="1621">+AQ319*AQ318</f>
        <v>3.5589419854590569E-2</v>
      </c>
      <c r="AR317" s="192">
        <f t="shared" si="1621"/>
        <v>3.8494295014484162E-2</v>
      </c>
      <c r="AS317" s="192">
        <f t="shared" si="1621"/>
        <v>3.911388397578433E-2</v>
      </c>
      <c r="AT317" s="192">
        <f t="shared" si="1621"/>
        <v>3.911388397578433E-2</v>
      </c>
      <c r="AU317" s="192">
        <f t="shared" ref="AU317:AX317" si="1622">+AU319*AU318</f>
        <v>3.8494295014484162E-2</v>
      </c>
      <c r="AV317" s="192">
        <f t="shared" si="1622"/>
        <v>3.6005768016141353E-2</v>
      </c>
      <c r="AW317" s="192">
        <f t="shared" si="1622"/>
        <v>3.4128583248342476E-2</v>
      </c>
      <c r="AX317" s="192">
        <f t="shared" si="1622"/>
        <v>3.2871929148914729E-2</v>
      </c>
      <c r="AZ317" s="192">
        <v>3.911388397578433E-2</v>
      </c>
      <c r="BD317" s="192"/>
      <c r="BE317" s="192"/>
      <c r="BF317" s="192"/>
      <c r="BG317" s="192">
        <f t="shared" ref="BG317:BJ317" si="1623">+BG319*BG318</f>
        <v>7.2393750000000007E-2</v>
      </c>
      <c r="BH317" s="192">
        <f t="shared" si="1623"/>
        <v>6.6412499999999999E-2</v>
      </c>
      <c r="BI317" s="192">
        <f t="shared" si="1623"/>
        <v>3.17075E-2</v>
      </c>
      <c r="BJ317" s="192">
        <f t="shared" si="1623"/>
        <v>4.9912500000000005E-2</v>
      </c>
      <c r="BK317" s="192">
        <f t="shared" ref="BK317:BL317" si="1624">+BK319*BK318</f>
        <v>0.138215</v>
      </c>
      <c r="BL317" s="192">
        <f t="shared" si="1624"/>
        <v>0.14627250000000003</v>
      </c>
      <c r="BM317" s="2584">
        <f t="shared" ref="BM317:BN317" si="1625">+BM319*BM318</f>
        <v>0.12031250000000002</v>
      </c>
      <c r="BN317" s="192">
        <f t="shared" si="1625"/>
        <v>0.16041666666666668</v>
      </c>
      <c r="BO317" s="192">
        <f t="shared" ref="BO317" si="1626">+BO319*BO318</f>
        <v>0.14850000000000002</v>
      </c>
      <c r="BP317" s="192">
        <f t="shared" ref="BP317" si="1627">+BP319*BP318</f>
        <v>0.12650000000000003</v>
      </c>
      <c r="BQ317" s="192">
        <f t="shared" ref="BQ317:BS317" si="1628">+BQ319*BQ318</f>
        <v>0.12100000000000001</v>
      </c>
      <c r="BR317" s="192">
        <f t="shared" si="1628"/>
        <v>0.11000000000000001</v>
      </c>
      <c r="BS317" s="192">
        <f t="shared" si="1628"/>
        <v>9.9000000000000005E-2</v>
      </c>
    </row>
    <row r="318" spans="1:71" hidden="1">
      <c r="B318" s="114" t="s">
        <v>609</v>
      </c>
      <c r="K318" s="192">
        <f>+MACRO!K$6</f>
        <v>3.0500946736911727E-2</v>
      </c>
      <c r="L318" s="192">
        <f>+MACRO!L$6</f>
        <v>2.6479559859692303E-2</v>
      </c>
      <c r="M318" s="192">
        <f>+MACRO!M$6</f>
        <v>2.2363559609957839E-2</v>
      </c>
      <c r="N318" s="192">
        <f>+MACRO!N$6</f>
        <v>1.8362980987926658E-2</v>
      </c>
      <c r="O318" s="192">
        <f>+MACRO!O$6</f>
        <v>1.6642416339083699E-2</v>
      </c>
      <c r="P318" s="192">
        <f>+MACRO!P$6</f>
        <v>1.586828478278357E-2</v>
      </c>
      <c r="Q318" s="192">
        <f>+MACRO!Q$6</f>
        <v>1.586828478278357E-2</v>
      </c>
      <c r="R318" s="192">
        <f>+MACRO!R$6</f>
        <v>1.586828478278357E-2</v>
      </c>
      <c r="S318" s="192">
        <f>+MACRO!S$6</f>
        <v>1.586828478278357E-2</v>
      </c>
      <c r="T318" s="192">
        <f>+MACRO!T$6</f>
        <v>1.586828478278357E-2</v>
      </c>
      <c r="U318" s="192">
        <f>+MACRO!U$6</f>
        <v>1.4913071423088509E-2</v>
      </c>
      <c r="V318" s="192">
        <f>+MACRO!V$6</f>
        <v>1.2392721514959071E-2</v>
      </c>
      <c r="W318" s="192">
        <f>+MACRO!W$6</f>
        <v>1.0508203112448822E-2</v>
      </c>
      <c r="X318" s="192">
        <f>+MACRO!X$6</f>
        <v>7.8324965478326902E-3</v>
      </c>
      <c r="Y318" s="192">
        <f>+MACRO!Y$6</f>
        <v>5.1845412595541429E-3</v>
      </c>
      <c r="Z318" s="192">
        <f>+MACRO!Z$6</f>
        <v>4.9629315732038215E-3</v>
      </c>
      <c r="AA318" s="192">
        <f>+MACRO!AA$6</f>
        <v>5.2829874231419272E-3</v>
      </c>
      <c r="AB318" s="192">
        <f>+MACRO!AB$6</f>
        <v>8.2717988664033903E-3</v>
      </c>
      <c r="AC318" s="192">
        <f>+MACRO!AC$6</f>
        <v>1.2248131848348498E-2</v>
      </c>
      <c r="AD318" s="192">
        <f>+MACRO!AD$6</f>
        <v>1.8670575645447718E-2</v>
      </c>
      <c r="AE318" s="192">
        <f>+MACRO!AE$6</f>
        <v>2.5089855568062536E-2</v>
      </c>
      <c r="AF318" s="192">
        <f>+MACRO!AF$6</f>
        <v>2.9860684889043698E-2</v>
      </c>
      <c r="AG318" s="192">
        <f>+MACRO!AG$6</f>
        <v>3.2391886619581145E-2</v>
      </c>
      <c r="AH318" s="192">
        <f>+MACRO!AH$6</f>
        <v>3.2732516378310317E-2</v>
      </c>
      <c r="AI318" s="192">
        <f>+MACRO!AI$6</f>
        <v>3.2732516378310317E-2</v>
      </c>
      <c r="AJ318" s="192">
        <f>+MACRO!AJ$6</f>
        <v>3.2732516378310317E-2</v>
      </c>
      <c r="AK318" s="192">
        <f>+MACRO!AK$6</f>
        <v>3.1846176683566041E-2</v>
      </c>
      <c r="AL318" s="192">
        <f>+MACRO!AL$6</f>
        <v>2.9494284160460849E-2</v>
      </c>
      <c r="AM318" s="2584">
        <f>+MACRO!AM$6</f>
        <v>2.7241497638393453E-2</v>
      </c>
      <c r="AN318" s="192">
        <f>+MACRO!AN$6</f>
        <v>2.5507360290891512E-2</v>
      </c>
      <c r="AO318" s="192">
        <f>+MACRO!AO$6</f>
        <v>2.5345057941852822E-2</v>
      </c>
      <c r="AP318" s="192">
        <f>+MACRO!AP$6</f>
        <v>2.70569411275976E-2</v>
      </c>
      <c r="AQ318" s="192">
        <f>+MACRO!AQ$6</f>
        <v>3.2354018049627786E-2</v>
      </c>
      <c r="AR318" s="192">
        <f>+MACRO!AR$6</f>
        <v>3.4994813649531054E-2</v>
      </c>
      <c r="AS318" s="192">
        <f>+MACRO!AS$6</f>
        <v>3.5558076341622114E-2</v>
      </c>
      <c r="AT318" s="192">
        <f>+MACRO!AT$6</f>
        <v>3.5558076341622114E-2</v>
      </c>
      <c r="AU318" s="192">
        <f>+MACRO!AU$6</f>
        <v>3.4994813649531054E-2</v>
      </c>
      <c r="AV318" s="192">
        <f>+MACRO!AV$6</f>
        <v>3.2732516378310317E-2</v>
      </c>
      <c r="AW318" s="192">
        <f>+MACRO!AW$6</f>
        <v>3.1025984771220427E-2</v>
      </c>
      <c r="AX318" s="192">
        <f>+MACRO!AX$6</f>
        <v>2.9883571953558841E-2</v>
      </c>
      <c r="AZ318" s="192">
        <v>3.5558076341622114E-2</v>
      </c>
      <c r="BD318" s="192"/>
      <c r="BE318" s="192"/>
      <c r="BF318" s="192"/>
      <c r="BG318" s="192">
        <f>+MACRO!BG$6</f>
        <v>6.5812499999999996E-2</v>
      </c>
      <c r="BH318" s="192">
        <f>+MACRO!BH$6</f>
        <v>6.0374999999999998E-2</v>
      </c>
      <c r="BI318" s="192">
        <f>+MACRO!BI$6</f>
        <v>2.8825E-2</v>
      </c>
      <c r="BJ318" s="192">
        <f>+MACRO!BJ$6</f>
        <v>4.5374999999999999E-2</v>
      </c>
      <c r="BK318" s="192">
        <f>+MACRO!BK$6</f>
        <v>0.12564999999999998</v>
      </c>
      <c r="BL318" s="192">
        <f>+MACRO!BL$6</f>
        <v>0.13297500000000001</v>
      </c>
      <c r="BM318" s="2584">
        <f>+MACRO!BM$6</f>
        <v>0.109375</v>
      </c>
      <c r="BN318" s="192">
        <f>+MACRO!BN$6</f>
        <v>0.14583333333333334</v>
      </c>
      <c r="BO318" s="192">
        <f>+MACRO!BO$6</f>
        <v>0.13500000000000001</v>
      </c>
      <c r="BP318" s="192">
        <f>+MACRO!BP$6</f>
        <v>0.115</v>
      </c>
      <c r="BQ318" s="192">
        <f>+MACRO!BQ$6</f>
        <v>0.11</v>
      </c>
      <c r="BR318" s="192">
        <f>+MACRO!BR$6</f>
        <v>0.1</v>
      </c>
      <c r="BS318" s="192">
        <f>+MACRO!BS$6</f>
        <v>0.09</v>
      </c>
    </row>
    <row r="319" spans="1:71" hidden="1">
      <c r="B319" s="114" t="s">
        <v>297</v>
      </c>
      <c r="K319" s="192"/>
      <c r="L319" s="192"/>
      <c r="M319" s="192"/>
      <c r="N319" s="192"/>
      <c r="O319" s="192"/>
      <c r="P319" s="192"/>
      <c r="Q319" s="192"/>
      <c r="R319" s="306">
        <v>1.1000000000000001</v>
      </c>
      <c r="S319" s="306">
        <v>1.1000000000000001</v>
      </c>
      <c r="T319" s="306">
        <v>1.1000000000000001</v>
      </c>
      <c r="U319" s="306">
        <v>1.1000000000000001</v>
      </c>
      <c r="V319" s="306">
        <v>1.1000000000000001</v>
      </c>
      <c r="W319" s="306">
        <f t="shared" ref="W319:AI319" si="1629">+V319</f>
        <v>1.1000000000000001</v>
      </c>
      <c r="X319" s="306">
        <f t="shared" si="1629"/>
        <v>1.1000000000000001</v>
      </c>
      <c r="Y319" s="306">
        <f t="shared" si="1629"/>
        <v>1.1000000000000001</v>
      </c>
      <c r="Z319" s="306">
        <f t="shared" si="1629"/>
        <v>1.1000000000000001</v>
      </c>
      <c r="AA319" s="306">
        <f t="shared" si="1629"/>
        <v>1.1000000000000001</v>
      </c>
      <c r="AB319" s="306">
        <f t="shared" si="1629"/>
        <v>1.1000000000000001</v>
      </c>
      <c r="AC319" s="306">
        <f t="shared" si="1629"/>
        <v>1.1000000000000001</v>
      </c>
      <c r="AD319" s="306">
        <f t="shared" si="1629"/>
        <v>1.1000000000000001</v>
      </c>
      <c r="AE319" s="306">
        <f t="shared" si="1629"/>
        <v>1.1000000000000001</v>
      </c>
      <c r="AF319" s="306">
        <f t="shared" si="1629"/>
        <v>1.1000000000000001</v>
      </c>
      <c r="AG319" s="306">
        <f t="shared" si="1629"/>
        <v>1.1000000000000001</v>
      </c>
      <c r="AH319" s="306">
        <f t="shared" si="1629"/>
        <v>1.1000000000000001</v>
      </c>
      <c r="AI319" s="306">
        <f t="shared" si="1629"/>
        <v>1.1000000000000001</v>
      </c>
      <c r="AJ319" s="306">
        <f t="shared" ref="AJ319:AL319" si="1630">+AI319</f>
        <v>1.1000000000000001</v>
      </c>
      <c r="AK319" s="306">
        <f t="shared" si="1630"/>
        <v>1.1000000000000001</v>
      </c>
      <c r="AL319" s="306">
        <f t="shared" si="1630"/>
        <v>1.1000000000000001</v>
      </c>
      <c r="AM319" s="2585">
        <f t="shared" ref="AM319" si="1631">+AL319</f>
        <v>1.1000000000000001</v>
      </c>
      <c r="AN319" s="306">
        <f t="shared" ref="AN319:AO319" si="1632">+AM319</f>
        <v>1.1000000000000001</v>
      </c>
      <c r="AO319" s="306">
        <f t="shared" si="1632"/>
        <v>1.1000000000000001</v>
      </c>
      <c r="AP319" s="306">
        <f t="shared" ref="AP319" si="1633">+AO319</f>
        <v>1.1000000000000001</v>
      </c>
      <c r="AQ319" s="306">
        <f t="shared" ref="AQ319" si="1634">+AP319</f>
        <v>1.1000000000000001</v>
      </c>
      <c r="AR319" s="306">
        <f t="shared" ref="AR319" si="1635">+AQ319</f>
        <v>1.1000000000000001</v>
      </c>
      <c r="AS319" s="306">
        <f t="shared" ref="AS319" si="1636">+AR319</f>
        <v>1.1000000000000001</v>
      </c>
      <c r="AT319" s="306">
        <f t="shared" ref="AT319" si="1637">+AS319</f>
        <v>1.1000000000000001</v>
      </c>
      <c r="AU319" s="306">
        <f t="shared" ref="AU319" si="1638">+AT319</f>
        <v>1.1000000000000001</v>
      </c>
      <c r="AV319" s="306">
        <f t="shared" ref="AV319" si="1639">+AU319</f>
        <v>1.1000000000000001</v>
      </c>
      <c r="AW319" s="306">
        <f t="shared" ref="AW319" si="1640">+AV319</f>
        <v>1.1000000000000001</v>
      </c>
      <c r="AX319" s="306">
        <f t="shared" ref="AX319" si="1641">+AW319</f>
        <v>1.1000000000000001</v>
      </c>
      <c r="AZ319" s="306">
        <v>1.1000000000000001</v>
      </c>
      <c r="BD319" s="306"/>
      <c r="BE319" s="306"/>
      <c r="BF319" s="306"/>
      <c r="BG319" s="306">
        <f>+R319</f>
        <v>1.1000000000000001</v>
      </c>
      <c r="BH319" s="306">
        <f>+V319</f>
        <v>1.1000000000000001</v>
      </c>
      <c r="BI319" s="306">
        <f>+Z319</f>
        <v>1.1000000000000001</v>
      </c>
      <c r="BJ319" s="306">
        <f>+AD319</f>
        <v>1.1000000000000001</v>
      </c>
      <c r="BK319" s="306">
        <f>+AE319</f>
        <v>1.1000000000000001</v>
      </c>
      <c r="BL319" s="306">
        <f>+AL319</f>
        <v>1.1000000000000001</v>
      </c>
      <c r="BM319" s="2585">
        <f>+AP319</f>
        <v>1.1000000000000001</v>
      </c>
      <c r="BN319" s="306">
        <f>+AT319</f>
        <v>1.1000000000000001</v>
      </c>
      <c r="BO319" s="306">
        <f>+AX319</f>
        <v>1.1000000000000001</v>
      </c>
      <c r="BP319" s="306">
        <f t="shared" ref="BP319" si="1642">+BO319</f>
        <v>1.1000000000000001</v>
      </c>
      <c r="BQ319" s="306">
        <f t="shared" ref="BQ319" si="1643">+BP319</f>
        <v>1.1000000000000001</v>
      </c>
      <c r="BR319" s="306">
        <f t="shared" ref="BR319" si="1644">+BQ319</f>
        <v>1.1000000000000001</v>
      </c>
      <c r="BS319" s="306">
        <f t="shared" ref="BS319" si="1645">+BR319</f>
        <v>1.1000000000000001</v>
      </c>
    </row>
    <row r="320" spans="1:71" hidden="1">
      <c r="B320" s="114"/>
      <c r="K320" s="192"/>
      <c r="L320" s="192"/>
      <c r="M320" s="192"/>
      <c r="N320" s="192"/>
      <c r="O320" s="192"/>
      <c r="P320" s="192"/>
      <c r="Q320" s="192"/>
      <c r="R320" s="306"/>
      <c r="S320" s="306"/>
      <c r="T320" s="306"/>
      <c r="U320" s="306"/>
      <c r="V320" s="306"/>
      <c r="W320" s="306"/>
      <c r="X320" s="306"/>
      <c r="Y320" s="306"/>
      <c r="Z320" s="306"/>
      <c r="AA320" s="306"/>
      <c r="AB320" s="306"/>
      <c r="AC320" s="306"/>
      <c r="AD320" s="306"/>
      <c r="AE320" s="306"/>
      <c r="AF320" s="306"/>
      <c r="AG320" s="306"/>
      <c r="AH320" s="306"/>
      <c r="AI320" s="306"/>
      <c r="AJ320" s="306"/>
      <c r="AK320" s="306"/>
      <c r="AL320" s="306"/>
      <c r="AM320" s="2585"/>
      <c r="AN320" s="306"/>
      <c r="AO320" s="306"/>
      <c r="AP320" s="306"/>
      <c r="AQ320" s="306"/>
      <c r="AR320" s="306"/>
      <c r="AS320" s="306"/>
      <c r="AT320" s="306"/>
      <c r="AU320" s="306"/>
      <c r="AV320" s="306"/>
      <c r="AW320" s="306"/>
      <c r="AX320" s="306"/>
      <c r="AZ320" s="306"/>
      <c r="BD320" s="306"/>
      <c r="BE320" s="306"/>
      <c r="BF320" s="306"/>
      <c r="BG320" s="306"/>
      <c r="BH320" s="306"/>
      <c r="BI320" s="306"/>
      <c r="BJ320" s="306"/>
      <c r="BK320" s="306"/>
      <c r="BL320" s="306"/>
      <c r="BM320" s="2585"/>
      <c r="BN320" s="306"/>
      <c r="BO320" s="306"/>
      <c r="BP320" s="306"/>
      <c r="BQ320" s="306"/>
      <c r="BR320" s="306"/>
      <c r="BS320" s="306"/>
    </row>
    <row r="321" spans="1:71" hidden="1">
      <c r="B321" s="431" t="s">
        <v>269</v>
      </c>
      <c r="K321" s="192"/>
      <c r="L321" s="192"/>
      <c r="M321" s="192"/>
      <c r="N321" s="192"/>
      <c r="O321" s="192"/>
      <c r="P321" s="192"/>
      <c r="Q321" s="192"/>
      <c r="R321" s="434">
        <f>(+Debt!C5+Debt!C7+Debt!C8+Debt!C9+Debt!C10+Debt!C11)/1000</f>
        <v>300.58300000000003</v>
      </c>
      <c r="S321" s="434">
        <f>(+Debt!D5+Debt!D7+Debt!D8+Debt!D9+Debt!D10+Debt!D11)/1000</f>
        <v>243.02600000000001</v>
      </c>
      <c r="T321" s="434">
        <f>(+Debt!D5+Debt!D7+Debt!D8+Debt!D9+Debt!D10+Debt!D11)/1000</f>
        <v>243.02600000000001</v>
      </c>
      <c r="U321" s="434">
        <f>(+Debt!E5+Debt!E7+Debt!E8+Debt!E9+Debt!E10+Debt!E11)/1000</f>
        <v>312.93099999999998</v>
      </c>
      <c r="V321" s="434">
        <f>(+Debt!F5+Debt!F7+Debt!F8+Debt!F9+Debt!F10+Debt!F11)/1000</f>
        <v>269.80099999999999</v>
      </c>
      <c r="W321" s="1020">
        <f>(+Debt!G4-Debt!G6)/1000-W328</f>
        <v>2560.0796310000005</v>
      </c>
      <c r="X321" s="1020">
        <f>(+Debt!H4-Debt!H6)/1000-X328</f>
        <v>3149.5143929999995</v>
      </c>
      <c r="Y321" s="1020">
        <f>(+Debt!I4-Debt!I6)/1000-Y328</f>
        <v>2847.7566999999999</v>
      </c>
      <c r="Z321" s="1020">
        <f>(+Debt!J4-Debt!J6)/1000-Z328</f>
        <v>8334.8751919999995</v>
      </c>
      <c r="AA321" s="1020">
        <f t="shared" ref="AA321:AT321" si="1646">+AA304-AA315-AA328-AA334-AA340</f>
        <v>6658.0411399999994</v>
      </c>
      <c r="AB321" s="1020">
        <f t="shared" si="1646"/>
        <v>6789.4411400000008</v>
      </c>
      <c r="AC321" s="1020">
        <f t="shared" si="1646"/>
        <v>5340.9411400000008</v>
      </c>
      <c r="AD321" s="1020">
        <f t="shared" si="1646"/>
        <v>5364.0411399999994</v>
      </c>
      <c r="AE321" s="1020">
        <f t="shared" si="1646"/>
        <v>4514.1411400000015</v>
      </c>
      <c r="AF321" s="1020">
        <f t="shared" si="1646"/>
        <v>5686.6411400000015</v>
      </c>
      <c r="AG321" s="1020">
        <f t="shared" si="1646"/>
        <v>6355.1411400000015</v>
      </c>
      <c r="AH321" s="1020">
        <f t="shared" si="1646"/>
        <v>6239.4411400000008</v>
      </c>
      <c r="AI321" s="1020">
        <f t="shared" si="1646"/>
        <v>5902.041140000003</v>
      </c>
      <c r="AJ321" s="1020" t="e">
        <f t="shared" si="1646"/>
        <v>#REF!</v>
      </c>
      <c r="AK321" s="1020" t="e">
        <f t="shared" si="1646"/>
        <v>#REF!</v>
      </c>
      <c r="AL321" s="1020" t="e">
        <f t="shared" si="1646"/>
        <v>#REF!</v>
      </c>
      <c r="AM321" s="2588" t="e">
        <f t="shared" si="1646"/>
        <v>#REF!</v>
      </c>
      <c r="AN321" s="1020" t="e">
        <f t="shared" si="1646"/>
        <v>#REF!</v>
      </c>
      <c r="AO321" s="1020" t="e">
        <f t="shared" si="1646"/>
        <v>#REF!</v>
      </c>
      <c r="AP321" s="1020" t="e">
        <f t="shared" si="1646"/>
        <v>#REF!</v>
      </c>
      <c r="AQ321" s="1020" t="e">
        <f t="shared" si="1646"/>
        <v>#REF!</v>
      </c>
      <c r="AR321" s="1020" t="e">
        <f t="shared" si="1646"/>
        <v>#REF!</v>
      </c>
      <c r="AS321" s="1020" t="e">
        <f t="shared" si="1646"/>
        <v>#REF!</v>
      </c>
      <c r="AT321" s="1020" t="e">
        <f t="shared" si="1646"/>
        <v>#REF!</v>
      </c>
      <c r="AU321" s="1020" t="e">
        <f t="shared" ref="AU321:AX321" si="1647">+AU304-AU315-AU328-AU334-AU340</f>
        <v>#REF!</v>
      </c>
      <c r="AV321" s="1020" t="e">
        <f t="shared" si="1647"/>
        <v>#REF!</v>
      </c>
      <c r="AW321" s="1020" t="e">
        <f t="shared" si="1647"/>
        <v>#REF!</v>
      </c>
      <c r="AX321" s="1020" t="e">
        <f t="shared" si="1647"/>
        <v>#REF!</v>
      </c>
      <c r="AZ321" s="1020" t="e">
        <v>#REF!</v>
      </c>
      <c r="BD321" s="266"/>
      <c r="BE321" s="266"/>
      <c r="BF321" s="266"/>
      <c r="BG321" s="266">
        <f>+R321</f>
        <v>300.58300000000003</v>
      </c>
      <c r="BH321" s="266">
        <f>+V321</f>
        <v>269.80099999999999</v>
      </c>
      <c r="BI321" s="266">
        <f>+Z321</f>
        <v>8334.8751919999995</v>
      </c>
      <c r="BJ321" s="266">
        <f>+AD321</f>
        <v>5364.0411399999994</v>
      </c>
      <c r="BK321" s="266">
        <f>+AE321</f>
        <v>4514.1411400000015</v>
      </c>
      <c r="BL321" s="266" t="e">
        <f>+AL321</f>
        <v>#REF!</v>
      </c>
      <c r="BM321" s="2608" t="e">
        <f>+AP321</f>
        <v>#REF!</v>
      </c>
      <c r="BN321" s="266" t="e">
        <f>+AT321</f>
        <v>#REF!</v>
      </c>
      <c r="BO321" s="266" t="e">
        <f>+AX321</f>
        <v>#REF!</v>
      </c>
      <c r="BP321" s="1020" t="e">
        <f>+BP304-BP315-BP328-BP334-BP340</f>
        <v>#REF!</v>
      </c>
      <c r="BQ321" s="1020" t="e">
        <f>+BQ304-BQ315-BQ328-BQ334-BQ340</f>
        <v>#REF!</v>
      </c>
      <c r="BR321" s="1020" t="e">
        <f>+BR304-BR315-BR328-BR334-BR340</f>
        <v>#REF!</v>
      </c>
      <c r="BS321" s="1020" t="e">
        <f>+BS304-BS315-BS328-BS334-BS340</f>
        <v>#REF!</v>
      </c>
    </row>
    <row r="322" spans="1:71" hidden="1">
      <c r="B322" s="114" t="s">
        <v>106</v>
      </c>
      <c r="K322" s="192"/>
      <c r="L322" s="192"/>
      <c r="M322" s="192"/>
      <c r="N322" s="192"/>
      <c r="O322" s="192"/>
      <c r="P322" s="192"/>
      <c r="Q322" s="192"/>
      <c r="R322" s="434">
        <f t="shared" ref="R322:W322" si="1648">-R323*R321/4</f>
        <v>-2.2543725000000001</v>
      </c>
      <c r="S322" s="434">
        <f t="shared" si="1648"/>
        <v>-1.822695</v>
      </c>
      <c r="T322" s="434">
        <f t="shared" si="1648"/>
        <v>-2.1264775000000005</v>
      </c>
      <c r="U322" s="434">
        <f t="shared" si="1648"/>
        <v>-2.7381462500000002</v>
      </c>
      <c r="V322" s="434">
        <f t="shared" si="1648"/>
        <v>-2.36075875</v>
      </c>
      <c r="W322" s="434">
        <f t="shared" si="1648"/>
        <v>-22.400696771250008</v>
      </c>
      <c r="X322" s="434">
        <f t="shared" ref="X322:Y322" si="1649">-X323*X321/4</f>
        <v>-27.55825093875</v>
      </c>
      <c r="Y322" s="434">
        <f t="shared" si="1649"/>
        <v>-24.917871125000001</v>
      </c>
      <c r="Z322" s="434">
        <f t="shared" ref="Z322:AA322" si="1650">-Z323*Z321/4</f>
        <v>-72.930157930000007</v>
      </c>
      <c r="AA322" s="434">
        <f t="shared" si="1650"/>
        <v>-58.257859975000002</v>
      </c>
      <c r="AB322" s="434">
        <f t="shared" ref="AB322:AC322" si="1651">-AB323*AB321/4</f>
        <v>-59.407609975000014</v>
      </c>
      <c r="AC322" s="434">
        <f t="shared" si="1651"/>
        <v>-46.733234975000009</v>
      </c>
      <c r="AD322" s="434">
        <f t="shared" ref="AD322:AE322" si="1652">-AD323*AD321/4</f>
        <v>-46.935359974999997</v>
      </c>
      <c r="AE322" s="434">
        <f t="shared" si="1652"/>
        <v>-39.498734975000019</v>
      </c>
      <c r="AF322" s="434">
        <f t="shared" ref="AF322:AG322" si="1653">-AF323*AF321/4</f>
        <v>-49.758109975000018</v>
      </c>
      <c r="AG322" s="434">
        <f t="shared" si="1653"/>
        <v>-55.60748497500002</v>
      </c>
      <c r="AH322" s="434">
        <f t="shared" ref="AH322:AI322" si="1654">-AH323*AH321/4</f>
        <v>-54.595109975000014</v>
      </c>
      <c r="AI322" s="434">
        <f t="shared" si="1654"/>
        <v>-51.642859975000029</v>
      </c>
      <c r="AJ322" s="434" t="e">
        <f t="shared" ref="AJ322" si="1655">-AJ323*AJ321/4</f>
        <v>#REF!</v>
      </c>
      <c r="AK322" s="434" t="e">
        <f t="shared" ref="AK322:AL322" si="1656">-AK323*AK321/4</f>
        <v>#REF!</v>
      </c>
      <c r="AL322" s="434" t="e">
        <f t="shared" si="1656"/>
        <v>#REF!</v>
      </c>
      <c r="AM322" s="2587" t="e">
        <f t="shared" ref="AM322:AP322" si="1657">-AM323*AM321/4</f>
        <v>#REF!</v>
      </c>
      <c r="AN322" s="697" t="e">
        <f t="shared" ref="AN322" si="1658">-AN323*AN321/4</f>
        <v>#REF!</v>
      </c>
      <c r="AO322" s="697" t="e">
        <f t="shared" si="1657"/>
        <v>#REF!</v>
      </c>
      <c r="AP322" s="697" t="e">
        <f t="shared" si="1657"/>
        <v>#REF!</v>
      </c>
      <c r="AQ322" s="697" t="e">
        <f t="shared" ref="AQ322:AT322" si="1659">-AQ323*AQ321/4</f>
        <v>#REF!</v>
      </c>
      <c r="AR322" s="697" t="e">
        <f t="shared" si="1659"/>
        <v>#REF!</v>
      </c>
      <c r="AS322" s="697" t="e">
        <f t="shared" si="1659"/>
        <v>#REF!</v>
      </c>
      <c r="AT322" s="697" t="e">
        <f t="shared" si="1659"/>
        <v>#REF!</v>
      </c>
      <c r="AU322" s="697" t="e">
        <f t="shared" ref="AU322:AX322" si="1660">-AU323*AU321/4</f>
        <v>#REF!</v>
      </c>
      <c r="AV322" s="697" t="e">
        <f t="shared" si="1660"/>
        <v>#REF!</v>
      </c>
      <c r="AW322" s="697" t="e">
        <f t="shared" si="1660"/>
        <v>#REF!</v>
      </c>
      <c r="AX322" s="697" t="e">
        <f t="shared" si="1660"/>
        <v>#REF!</v>
      </c>
      <c r="AZ322" s="697" t="e">
        <v>#REF!</v>
      </c>
      <c r="BD322" s="434"/>
      <c r="BE322" s="434"/>
      <c r="BF322" s="305">
        <f>+SUM(K322:N322)</f>
        <v>0</v>
      </c>
      <c r="BG322" s="305">
        <f>+SUM(O322:R322)</f>
        <v>-2.2543725000000001</v>
      </c>
      <c r="BH322" s="305">
        <f>+SUM(S322:V322)</f>
        <v>-9.0480775000000015</v>
      </c>
      <c r="BI322" s="305">
        <f>+SUM(W322:Z322)</f>
        <v>-147.806976765</v>
      </c>
      <c r="BJ322" s="305">
        <f>+SUM(AA322:AD322)</f>
        <v>-211.33406490000004</v>
      </c>
      <c r="BK322" s="305">
        <f>+SUM(AE322:AH322)</f>
        <v>-199.45943990000006</v>
      </c>
      <c r="BL322" s="305" t="e">
        <f>+SUM(AI322:AL322)</f>
        <v>#REF!</v>
      </c>
      <c r="BM322" s="2619" t="e">
        <f>+SUM(AM322:AP322)</f>
        <v>#REF!</v>
      </c>
      <c r="BN322" s="305" t="e">
        <f>+SUM(AQ322:AT322)</f>
        <v>#REF!</v>
      </c>
      <c r="BO322" s="305" t="e">
        <f>+SUM(AU322:AX322)</f>
        <v>#REF!</v>
      </c>
      <c r="BP322" s="697" t="e">
        <f t="shared" ref="BP322" si="1661">-BP323*AVERAGE(BO321:BP321)</f>
        <v>#REF!</v>
      </c>
      <c r="BQ322" s="697" t="e">
        <f t="shared" ref="BQ322" si="1662">-BQ323*AVERAGE(BP321:BQ321)</f>
        <v>#REF!</v>
      </c>
      <c r="BR322" s="697" t="e">
        <f t="shared" ref="BR322" si="1663">-BR323*AVERAGE(BQ321:BR321)</f>
        <v>#REF!</v>
      </c>
      <c r="BS322" s="697" t="e">
        <f t="shared" ref="BS322" si="1664">-BS323*AVERAGE(BR321:BS321)</f>
        <v>#REF!</v>
      </c>
    </row>
    <row r="323" spans="1:71" hidden="1">
      <c r="B323" s="114" t="s">
        <v>612</v>
      </c>
      <c r="K323" s="192"/>
      <c r="L323" s="192"/>
      <c r="M323" s="192"/>
      <c r="N323" s="192"/>
      <c r="O323" s="192"/>
      <c r="P323" s="192"/>
      <c r="Q323" s="192"/>
      <c r="R323" s="306">
        <v>0.03</v>
      </c>
      <c r="S323" s="306">
        <v>0.03</v>
      </c>
      <c r="T323" s="306">
        <v>3.5000000000000003E-2</v>
      </c>
      <c r="U323" s="306">
        <v>3.5000000000000003E-2</v>
      </c>
      <c r="V323" s="306">
        <v>3.5000000000000003E-2</v>
      </c>
      <c r="W323" s="306">
        <f t="shared" ref="W323:AI323" si="1665">+V323</f>
        <v>3.5000000000000003E-2</v>
      </c>
      <c r="X323" s="306">
        <f t="shared" si="1665"/>
        <v>3.5000000000000003E-2</v>
      </c>
      <c r="Y323" s="306">
        <f t="shared" si="1665"/>
        <v>3.5000000000000003E-2</v>
      </c>
      <c r="Z323" s="306">
        <f t="shared" si="1665"/>
        <v>3.5000000000000003E-2</v>
      </c>
      <c r="AA323" s="306">
        <f t="shared" si="1665"/>
        <v>3.5000000000000003E-2</v>
      </c>
      <c r="AB323" s="306">
        <f t="shared" si="1665"/>
        <v>3.5000000000000003E-2</v>
      </c>
      <c r="AC323" s="306">
        <f t="shared" si="1665"/>
        <v>3.5000000000000003E-2</v>
      </c>
      <c r="AD323" s="306">
        <f t="shared" si="1665"/>
        <v>3.5000000000000003E-2</v>
      </c>
      <c r="AE323" s="306">
        <f t="shared" si="1665"/>
        <v>3.5000000000000003E-2</v>
      </c>
      <c r="AF323" s="306">
        <f t="shared" si="1665"/>
        <v>3.5000000000000003E-2</v>
      </c>
      <c r="AG323" s="306">
        <f t="shared" si="1665"/>
        <v>3.5000000000000003E-2</v>
      </c>
      <c r="AH323" s="306">
        <f t="shared" si="1665"/>
        <v>3.5000000000000003E-2</v>
      </c>
      <c r="AI323" s="306">
        <f t="shared" si="1665"/>
        <v>3.5000000000000003E-2</v>
      </c>
      <c r="AJ323" s="306">
        <f t="shared" ref="AJ323:AL323" si="1666">+AI323</f>
        <v>3.5000000000000003E-2</v>
      </c>
      <c r="AK323" s="306">
        <f t="shared" si="1666"/>
        <v>3.5000000000000003E-2</v>
      </c>
      <c r="AL323" s="306">
        <f t="shared" si="1666"/>
        <v>3.5000000000000003E-2</v>
      </c>
      <c r="AM323" s="2585">
        <f t="shared" ref="AM323" si="1667">+AL323</f>
        <v>3.5000000000000003E-2</v>
      </c>
      <c r="AN323" s="306">
        <f t="shared" ref="AN323:AO323" si="1668">+AM323</f>
        <v>3.5000000000000003E-2</v>
      </c>
      <c r="AO323" s="306">
        <f t="shared" si="1668"/>
        <v>3.5000000000000003E-2</v>
      </c>
      <c r="AP323" s="306">
        <f t="shared" ref="AP323" si="1669">+AO323</f>
        <v>3.5000000000000003E-2</v>
      </c>
      <c r="AQ323" s="306">
        <f t="shared" ref="AQ323" si="1670">+AP323</f>
        <v>3.5000000000000003E-2</v>
      </c>
      <c r="AR323" s="306">
        <f t="shared" ref="AR323" si="1671">+AQ323</f>
        <v>3.5000000000000003E-2</v>
      </c>
      <c r="AS323" s="306">
        <f t="shared" ref="AS323" si="1672">+AR323</f>
        <v>3.5000000000000003E-2</v>
      </c>
      <c r="AT323" s="306">
        <f t="shared" ref="AT323" si="1673">+AS323</f>
        <v>3.5000000000000003E-2</v>
      </c>
      <c r="AU323" s="306">
        <f t="shared" ref="AU323" si="1674">+AT323</f>
        <v>3.5000000000000003E-2</v>
      </c>
      <c r="AV323" s="306">
        <f t="shared" ref="AV323" si="1675">+AU323</f>
        <v>3.5000000000000003E-2</v>
      </c>
      <c r="AW323" s="306">
        <f t="shared" ref="AW323" si="1676">+AV323</f>
        <v>3.5000000000000003E-2</v>
      </c>
      <c r="AX323" s="306">
        <f t="shared" ref="AX323" si="1677">+AW323</f>
        <v>3.5000000000000003E-2</v>
      </c>
      <c r="AZ323" s="306">
        <v>3.5000000000000003E-2</v>
      </c>
      <c r="BD323" s="306"/>
      <c r="BE323" s="306"/>
      <c r="BF323" s="306"/>
      <c r="BG323" s="306">
        <f>+R323</f>
        <v>0.03</v>
      </c>
      <c r="BH323" s="306">
        <f>+V323</f>
        <v>3.5000000000000003E-2</v>
      </c>
      <c r="BI323" s="306">
        <f>+Z323</f>
        <v>3.5000000000000003E-2</v>
      </c>
      <c r="BJ323" s="306">
        <f>+AD323</f>
        <v>3.5000000000000003E-2</v>
      </c>
      <c r="BK323" s="306">
        <f>+AE323</f>
        <v>3.5000000000000003E-2</v>
      </c>
      <c r="BL323" s="306">
        <f>+AL323</f>
        <v>3.5000000000000003E-2</v>
      </c>
      <c r="BM323" s="2585">
        <f>+AP323</f>
        <v>3.5000000000000003E-2</v>
      </c>
      <c r="BN323" s="306">
        <f>+AT323</f>
        <v>3.5000000000000003E-2</v>
      </c>
      <c r="BO323" s="306">
        <f>+AX323</f>
        <v>3.5000000000000003E-2</v>
      </c>
      <c r="BP323" s="306">
        <f t="shared" ref="BP323" si="1678">+BO323</f>
        <v>3.5000000000000003E-2</v>
      </c>
      <c r="BQ323" s="306">
        <f t="shared" ref="BQ323" si="1679">+BP323</f>
        <v>3.5000000000000003E-2</v>
      </c>
      <c r="BR323" s="306">
        <f t="shared" ref="BR323" si="1680">+BQ323</f>
        <v>3.5000000000000003E-2</v>
      </c>
      <c r="BS323" s="306">
        <f t="shared" ref="BS323" si="1681">+BR323</f>
        <v>3.5000000000000003E-2</v>
      </c>
    </row>
    <row r="324" spans="1:71" hidden="1">
      <c r="B324" s="114"/>
      <c r="K324" s="192"/>
      <c r="L324" s="192"/>
      <c r="M324" s="192"/>
      <c r="N324" s="192"/>
      <c r="O324" s="192"/>
      <c r="P324" s="192"/>
      <c r="Q324" s="192"/>
      <c r="R324" s="306"/>
      <c r="S324" s="306"/>
      <c r="T324" s="306"/>
      <c r="U324" s="306"/>
      <c r="V324" s="306"/>
      <c r="W324" s="306"/>
      <c r="X324" s="306"/>
      <c r="Y324" s="306"/>
      <c r="Z324" s="306"/>
      <c r="AA324" s="306"/>
      <c r="AB324" s="306"/>
      <c r="AC324" s="306"/>
      <c r="AD324" s="306"/>
      <c r="AE324" s="306"/>
      <c r="AF324" s="306"/>
      <c r="AG324" s="306"/>
      <c r="AH324" s="306"/>
      <c r="AI324" s="306"/>
      <c r="AJ324" s="306"/>
      <c r="AK324" s="306"/>
      <c r="AL324" s="306"/>
      <c r="AM324" s="2585"/>
      <c r="AN324" s="306"/>
      <c r="AO324" s="306"/>
      <c r="AP324" s="306"/>
      <c r="AQ324" s="306"/>
      <c r="AR324" s="306"/>
      <c r="AS324" s="306"/>
      <c r="AT324" s="306"/>
      <c r="AU324" s="306"/>
      <c r="AV324" s="306"/>
      <c r="AW324" s="306"/>
      <c r="AX324" s="306"/>
      <c r="AZ324" s="306"/>
      <c r="BD324" s="306"/>
      <c r="BE324" s="306"/>
      <c r="BF324" s="306"/>
      <c r="BG324" s="306"/>
      <c r="BH324" s="306"/>
      <c r="BI324" s="306"/>
      <c r="BJ324" s="306"/>
      <c r="BK324" s="306"/>
      <c r="BL324" s="306"/>
      <c r="BM324" s="2585"/>
      <c r="BN324" s="306"/>
      <c r="BO324" s="306"/>
      <c r="BP324" s="306"/>
      <c r="BQ324" s="306"/>
      <c r="BR324" s="306"/>
      <c r="BS324" s="306"/>
    </row>
    <row r="325" spans="1:71" hidden="1">
      <c r="B325" s="114"/>
      <c r="K325" s="192"/>
      <c r="L325" s="192"/>
      <c r="M325" s="192"/>
      <c r="N325" s="192"/>
      <c r="O325" s="192"/>
      <c r="P325" s="192"/>
      <c r="Q325" s="192"/>
      <c r="R325" s="306"/>
      <c r="S325" s="306"/>
      <c r="T325" s="306"/>
      <c r="U325" s="306"/>
      <c r="V325" s="306"/>
      <c r="W325" s="306"/>
      <c r="X325" s="306"/>
      <c r="Y325" s="306"/>
      <c r="Z325" s="306"/>
      <c r="AA325" s="306"/>
      <c r="AB325" s="306"/>
      <c r="AC325" s="306"/>
      <c r="AD325" s="306"/>
      <c r="AE325" s="306"/>
      <c r="AF325" s="306"/>
      <c r="AG325" s="306"/>
      <c r="AH325" s="306"/>
      <c r="AI325" s="306"/>
      <c r="AJ325" s="306"/>
      <c r="AK325" s="306"/>
      <c r="AL325" s="306"/>
      <c r="AM325" s="2585"/>
      <c r="AN325" s="306"/>
      <c r="AO325" s="306"/>
      <c r="AP325" s="306"/>
      <c r="AQ325" s="306"/>
      <c r="AR325" s="306"/>
      <c r="AS325" s="306"/>
      <c r="AT325" s="306"/>
      <c r="AU325" s="306"/>
      <c r="AV325" s="306"/>
      <c r="AW325" s="306"/>
      <c r="AX325" s="306"/>
      <c r="AZ325" s="306"/>
      <c r="BD325" s="306"/>
      <c r="BE325" s="306"/>
      <c r="BF325" s="306"/>
      <c r="BG325" s="306"/>
      <c r="BH325" s="306"/>
      <c r="BI325" s="306"/>
      <c r="BJ325" s="306"/>
      <c r="BK325" s="306"/>
      <c r="BL325" s="306"/>
      <c r="BM325" s="2585"/>
      <c r="BN325" s="306"/>
      <c r="BO325" s="306"/>
      <c r="BP325" s="306"/>
      <c r="BQ325" s="306"/>
      <c r="BR325" s="306"/>
      <c r="BS325" s="306"/>
    </row>
    <row r="326" spans="1:71" hidden="1">
      <c r="B326" s="430" t="s">
        <v>613</v>
      </c>
      <c r="K326" s="192"/>
      <c r="L326" s="192"/>
      <c r="M326" s="192"/>
      <c r="N326" s="192"/>
      <c r="O326" s="192"/>
      <c r="P326" s="192"/>
      <c r="Q326" s="192"/>
      <c r="R326" s="192"/>
      <c r="S326" s="192"/>
      <c r="T326" s="192"/>
      <c r="U326" s="306"/>
      <c r="V326" s="306"/>
      <c r="W326" s="306"/>
      <c r="X326" s="306"/>
      <c r="Y326" s="306"/>
      <c r="Z326" s="306"/>
      <c r="AA326" s="306"/>
      <c r="AB326" s="306"/>
      <c r="AC326" s="306"/>
      <c r="AD326" s="306"/>
      <c r="AE326" s="306"/>
      <c r="AF326" s="306"/>
      <c r="AG326" s="306"/>
      <c r="AH326" s="306"/>
      <c r="AI326" s="306"/>
      <c r="AJ326" s="306"/>
      <c r="AK326" s="306"/>
      <c r="AL326" s="306"/>
      <c r="AM326" s="2585"/>
      <c r="AN326" s="306"/>
      <c r="AO326" s="306"/>
      <c r="AP326" s="306"/>
      <c r="AQ326" s="306"/>
      <c r="AR326" s="306"/>
      <c r="AS326" s="306"/>
      <c r="AT326" s="306"/>
      <c r="AU326" s="306"/>
      <c r="AV326" s="306"/>
      <c r="AW326" s="306"/>
      <c r="AX326" s="306"/>
      <c r="AZ326" s="306"/>
      <c r="BD326" s="306"/>
      <c r="BE326" s="306"/>
      <c r="BF326" s="306"/>
      <c r="BG326" s="306"/>
      <c r="BH326" s="306"/>
      <c r="BI326" s="306"/>
      <c r="BJ326" s="306"/>
      <c r="BK326" s="306"/>
      <c r="BL326" s="306"/>
      <c r="BM326" s="2585"/>
      <c r="BN326" s="306"/>
      <c r="BO326" s="306"/>
      <c r="BP326" s="306"/>
      <c r="BQ326" s="306"/>
      <c r="BR326" s="306"/>
      <c r="BS326" s="306"/>
    </row>
    <row r="327" spans="1:71" hidden="1">
      <c r="B327" s="1017"/>
      <c r="K327" s="192"/>
      <c r="L327" s="192"/>
      <c r="M327" s="192"/>
      <c r="N327" s="192"/>
      <c r="O327" s="192"/>
      <c r="P327" s="192"/>
      <c r="Q327" s="192"/>
      <c r="R327" s="192"/>
      <c r="S327" s="192"/>
      <c r="T327" s="192"/>
      <c r="U327" s="306"/>
      <c r="V327" s="306"/>
      <c r="W327" s="306"/>
      <c r="X327" s="306"/>
      <c r="Y327" s="306"/>
      <c r="Z327" s="306"/>
      <c r="AA327" s="306"/>
      <c r="AB327" s="306"/>
      <c r="AC327" s="306"/>
      <c r="AD327" s="306"/>
      <c r="AE327" s="306"/>
      <c r="AF327" s="306"/>
      <c r="AG327" s="306"/>
      <c r="AH327" s="306"/>
      <c r="AI327" s="306"/>
      <c r="AJ327" s="306"/>
      <c r="AK327" s="306"/>
      <c r="AL327" s="306"/>
      <c r="AM327" s="2585"/>
      <c r="AN327" s="306"/>
      <c r="AO327" s="306"/>
      <c r="AP327" s="306"/>
      <c r="AQ327" s="306"/>
      <c r="AR327" s="306"/>
      <c r="AS327" s="306"/>
      <c r="AT327" s="306"/>
      <c r="AU327" s="306"/>
      <c r="AV327" s="306"/>
      <c r="AW327" s="306"/>
      <c r="AX327" s="306"/>
      <c r="AZ327" s="306"/>
      <c r="BD327" s="306"/>
      <c r="BE327" s="306"/>
      <c r="BF327" s="306"/>
      <c r="BG327" s="306"/>
      <c r="BH327" s="306"/>
      <c r="BI327" s="306"/>
      <c r="BJ327" s="306"/>
      <c r="BK327" s="306"/>
      <c r="BL327" s="306"/>
      <c r="BM327" s="2585"/>
      <c r="BN327" s="306"/>
      <c r="BO327" s="306"/>
      <c r="BP327" s="306"/>
      <c r="BQ327" s="306"/>
      <c r="BR327" s="306"/>
      <c r="BS327" s="306"/>
    </row>
    <row r="328" spans="1:71" s="70" customFormat="1" hidden="1">
      <c r="A328" s="1000"/>
      <c r="B328" s="431" t="s">
        <v>614</v>
      </c>
      <c r="W328" s="69">
        <f>+W330*MACRO!W$4</f>
        <v>8358.3063689999999</v>
      </c>
      <c r="X328" s="69">
        <f>+X330*MACRO!X$4</f>
        <v>8776.759607</v>
      </c>
      <c r="Y328" s="69">
        <f>+Y330*MACRO!Y$4</f>
        <v>9008.1453000000001</v>
      </c>
      <c r="Z328" s="69">
        <f>+Z330*MACRO!Z$4</f>
        <v>3521.0268080000001</v>
      </c>
      <c r="AA328" s="69">
        <f>+JUROS!$C$31</f>
        <v>1048.6468599999998</v>
      </c>
      <c r="AB328" s="69">
        <f>+JUROS!$C$31</f>
        <v>1048.6468599999998</v>
      </c>
      <c r="AC328" s="69">
        <f>+JUROS!$C$31</f>
        <v>1048.6468599999998</v>
      </c>
      <c r="AD328" s="69">
        <f>+JUROS!$C$31</f>
        <v>1048.6468599999998</v>
      </c>
      <c r="AE328" s="69">
        <f>+JUROS!$C$31</f>
        <v>1048.6468599999998</v>
      </c>
      <c r="AF328" s="69">
        <f>+JUROS!$C$31</f>
        <v>1048.6468599999998</v>
      </c>
      <c r="AG328" s="69">
        <f>+JUROS!$C$31</f>
        <v>1048.6468599999998</v>
      </c>
      <c r="AH328" s="69">
        <f>+JUROS!$C$31</f>
        <v>1048.6468599999998</v>
      </c>
      <c r="AI328" s="69">
        <f>+JUROS!$C$31</f>
        <v>1048.6468599999998</v>
      </c>
      <c r="AJ328" s="69">
        <f>+AJ330*MACRO!AJ$4</f>
        <v>1034.5787499999999</v>
      </c>
      <c r="AK328" s="69">
        <f>+AK330*MACRO!AK$4</f>
        <v>1087.52325</v>
      </c>
      <c r="AL328" s="69">
        <f>+AL330*MACRO!AL$4</f>
        <v>1048.6468599999998</v>
      </c>
      <c r="AM328" s="2521">
        <f>+AM330*MACRO!AM$4</f>
        <v>1083.63345</v>
      </c>
      <c r="AN328" s="683">
        <f>+AN330*MACRO!AN$4</f>
        <v>1208.88501</v>
      </c>
      <c r="AO328" s="683">
        <f>+AO330*MACRO!AO$4</f>
        <v>1177.7450000000001</v>
      </c>
      <c r="AP328" s="683">
        <f>+AP330*MACRO!AP$4</f>
        <v>1334.1149600000001</v>
      </c>
      <c r="AQ328" s="683">
        <f>+AQ330*MACRO!AQ$4</f>
        <v>1242.575</v>
      </c>
      <c r="AR328" s="683">
        <f>+AR330*MACRO!AR$4</f>
        <v>1182.067</v>
      </c>
      <c r="AS328" s="683">
        <f>+AS330*MACRO!AS$4</f>
        <v>1150.01937</v>
      </c>
      <c r="AT328" s="683">
        <f>+AT330*MACRO!AT$4</f>
        <v>1183.2123299999998</v>
      </c>
      <c r="AU328" s="683">
        <f>+AU330*MACRO!AU$4</f>
        <v>1145.33</v>
      </c>
      <c r="AV328" s="683">
        <f>+AV330*MACRO!AV$4</f>
        <v>1148.2357805812624</v>
      </c>
      <c r="AW328" s="683">
        <f>+AW330*MACRO!AW$4</f>
        <v>1149.4265796558209</v>
      </c>
      <c r="AX328" s="683">
        <f>+AX330*MACRO!AX$4</f>
        <v>1156.9404598586093</v>
      </c>
      <c r="AY328" s="1000"/>
      <c r="AZ328" s="683">
        <v>1183.2123299999998</v>
      </c>
      <c r="BA328" s="1084"/>
      <c r="BB328" s="1000"/>
      <c r="BC328" s="1000"/>
      <c r="BD328" s="69"/>
      <c r="BE328" s="69"/>
      <c r="BF328" s="69"/>
      <c r="BG328" s="69"/>
      <c r="BH328" s="69"/>
      <c r="BI328" s="69">
        <f>+BI330*MACRO!BI$4</f>
        <v>3521.0268080000001</v>
      </c>
      <c r="BJ328" s="69">
        <f>+BJ330*MACRO!BJ$4</f>
        <v>1216.08114</v>
      </c>
      <c r="BK328" s="69">
        <f>+BK330*MACRO!BK$4</f>
        <v>1142.3045999999999</v>
      </c>
      <c r="BL328" s="69">
        <f>+BL330*MACRO!BL$4</f>
        <v>1048.6468599999998</v>
      </c>
      <c r="BM328" s="2541">
        <f>+BM330*MACRO!BM$4</f>
        <v>1334.1149600000001</v>
      </c>
      <c r="BN328" s="69">
        <f>+BN330*MACRO!BN$4</f>
        <v>1183.2123299999998</v>
      </c>
      <c r="BO328" s="69">
        <f>+BO330*MACRO!BO$4</f>
        <v>1156.9404598586093</v>
      </c>
      <c r="BP328" s="683">
        <f>+BP330*MACRO!BP$4</f>
        <v>1177.186917906135</v>
      </c>
      <c r="BQ328" s="683">
        <f>+BQ330*MACRO!BQ$4</f>
        <v>1194.8447216747272</v>
      </c>
      <c r="BR328" s="683">
        <f>+BR330*MACRO!BR$4</f>
        <v>1212.7673924998483</v>
      </c>
      <c r="BS328" s="683">
        <f>+BS330*MACRO!BS$4</f>
        <v>1230.9589033873463</v>
      </c>
    </row>
    <row r="329" spans="1:71" hidden="1">
      <c r="B329" s="114" t="s">
        <v>615</v>
      </c>
      <c r="K329" s="192"/>
      <c r="L329" s="192"/>
      <c r="M329" s="192"/>
      <c r="N329" s="192"/>
      <c r="O329" s="192"/>
      <c r="P329" s="192"/>
      <c r="Q329" s="192"/>
      <c r="R329" s="432"/>
      <c r="S329" s="432"/>
      <c r="T329" s="432"/>
      <c r="U329" s="432"/>
      <c r="V329" s="432"/>
      <c r="W329" s="71">
        <f>+W331*MACRO!W$4</f>
        <v>-137.2136814593625</v>
      </c>
      <c r="X329" s="71">
        <f>+X331*MACRO!X$4</f>
        <v>-144.08319625933751</v>
      </c>
      <c r="Y329" s="71">
        <f>+Y331*MACRO!Y$4</f>
        <v>-147.88172689125003</v>
      </c>
      <c r="Z329" s="71">
        <f>+Z331*MACRO!Z$4</f>
        <v>-57.802744899932478</v>
      </c>
      <c r="AA329" s="71">
        <f>-JUROS!L31</f>
        <v>-25.721669870000003</v>
      </c>
      <c r="AB329" s="71">
        <f>-JUROS!M31</f>
        <v>-22.684044012500003</v>
      </c>
      <c r="AC329" s="71">
        <f>-JUROS!N31</f>
        <v>-24.847907337500001</v>
      </c>
      <c r="AD329" s="71">
        <f>-JUROS!O31</f>
        <v>-25.689714082500004</v>
      </c>
      <c r="AE329" s="71">
        <f>-JUROS!P31</f>
        <v>-21.643654873750005</v>
      </c>
      <c r="AF329" s="71">
        <f>-JUROS!Q31</f>
        <v>-23.993774788750002</v>
      </c>
      <c r="AG329" s="71">
        <f>-JUROS!R31</f>
        <v>-24.722366743750001</v>
      </c>
      <c r="AH329" s="71">
        <f>-JUROS!S31</f>
        <v>-24.131184675</v>
      </c>
      <c r="AI329" s="71">
        <f>-JUROS!T31</f>
        <v>-23.117729700000002</v>
      </c>
      <c r="AJ329" s="71">
        <f>+AJ331*MACRO!AJ$4</f>
        <v>-6.4497303545232336</v>
      </c>
      <c r="AK329" s="71">
        <f>+AK331*MACRO!AK$4</f>
        <v>-6.779794884415284</v>
      </c>
      <c r="AL329" s="71">
        <f>+AL331*MACRO!AL$4</f>
        <v>-6.5374332153231212</v>
      </c>
      <c r="AM329" s="2589">
        <f>+AM331*MACRO!AM$4</f>
        <v>-6.7555452454844405</v>
      </c>
      <c r="AN329" s="267">
        <f>+AN331*MACRO!AN$4</f>
        <v>-7.5363836190576343</v>
      </c>
      <c r="AO329" s="267">
        <f>+AO331*MACRO!AO$4</f>
        <v>-7.3422517873945958</v>
      </c>
      <c r="AP329" s="267">
        <f>+AP331*MACRO!AP$4</f>
        <v>-8.3170872724145468</v>
      </c>
      <c r="AQ329" s="267">
        <f>+AQ331*MACRO!AQ$4</f>
        <v>-7.7464124362420046</v>
      </c>
      <c r="AR329" s="267">
        <f>+AR331*MACRO!AR$4</f>
        <v>-7.3691958306510887</v>
      </c>
      <c r="AS329" s="267">
        <f>+AS331*MACRO!AS$4</f>
        <v>-7.169405749904187</v>
      </c>
      <c r="AT329" s="267">
        <f>+AT331*MACRO!AT$4</f>
        <v>-7.3763360021140603</v>
      </c>
      <c r="AU329" s="267">
        <f>+AU331*MACRO!AU$4</f>
        <v>-7.1401714629708906</v>
      </c>
      <c r="AV329" s="267">
        <f>+AV331*MACRO!AV$4</f>
        <v>-7.1582865665515056</v>
      </c>
      <c r="AW329" s="267">
        <f>+AW331*MACRO!AW$4</f>
        <v>-7.1657101995396344</v>
      </c>
      <c r="AX329" s="267">
        <f>+AX331*MACRO!AX$4</f>
        <v>-7.2125529374406163</v>
      </c>
      <c r="AZ329" s="267">
        <v>-7.3763360021140603</v>
      </c>
      <c r="BD329" s="71"/>
      <c r="BE329" s="71"/>
      <c r="BF329" s="305">
        <f>+SUM(K329:N329)</f>
        <v>0</v>
      </c>
      <c r="BG329" s="305">
        <f>+SUM(O329:R329)</f>
        <v>0</v>
      </c>
      <c r="BH329" s="305">
        <f>+SUM(S329:V329)</f>
        <v>0</v>
      </c>
      <c r="BI329" s="305">
        <f>+SUM(W329:Z329)</f>
        <v>-486.98134950988248</v>
      </c>
      <c r="BJ329" s="305">
        <f>+SUM(AA329:AD329)</f>
        <v>-98.943335302500017</v>
      </c>
      <c r="BK329" s="305">
        <f>+SUM(AE329:AH329)</f>
        <v>-94.490981081250013</v>
      </c>
      <c r="BL329" s="305">
        <f>+SUM(AI329:AL329)</f>
        <v>-42.884688154261639</v>
      </c>
      <c r="BM329" s="2619">
        <f>+SUM(AM329:AP329)</f>
        <v>-29.951267924351217</v>
      </c>
      <c r="BN329" s="305">
        <f>+SUM(AQ329:AT329)</f>
        <v>-29.661350018911342</v>
      </c>
      <c r="BO329" s="305">
        <f>+SUM(AU329:AX329)</f>
        <v>-28.676721166502649</v>
      </c>
      <c r="BP329" s="267">
        <f>+BP331*MACRO!BP$4</f>
        <v>-29.355090455383312</v>
      </c>
      <c r="BQ329" s="267">
        <f>+BQ331*MACRO!BQ$4</f>
        <v>-29.795416812214068</v>
      </c>
      <c r="BR329" s="267">
        <f>+BR331*MACRO!BR$4</f>
        <v>-30.24234806439728</v>
      </c>
      <c r="BS329" s="267">
        <f>+BS331*MACRO!BS$4</f>
        <v>-30.695983285363244</v>
      </c>
    </row>
    <row r="330" spans="1:71" s="70" customFormat="1" hidden="1">
      <c r="A330" s="1000"/>
      <c r="B330" s="1003" t="s">
        <v>616</v>
      </c>
      <c r="R330" s="136"/>
      <c r="S330" s="136"/>
      <c r="T330" s="136"/>
      <c r="U330" s="136"/>
      <c r="V330" s="136"/>
      <c r="W330" s="136">
        <f>+Debt!G37/1000</f>
        <v>1605.73</v>
      </c>
      <c r="X330" s="136">
        <f>+Debt!H37/1000</f>
        <v>1605.73</v>
      </c>
      <c r="Y330" s="136">
        <f>+Debt!I37/1000</f>
        <v>1605.73</v>
      </c>
      <c r="Z330" s="136">
        <f>+Debt!J37/1000</f>
        <v>677.96799999999996</v>
      </c>
      <c r="AA330" s="136">
        <f>+JUROS!$C$29</f>
        <v>216.1</v>
      </c>
      <c r="AB330" s="136">
        <f>+JUROS!$C$29</f>
        <v>216.1</v>
      </c>
      <c r="AC330" s="136">
        <f>+JUROS!$C$29</f>
        <v>216.1</v>
      </c>
      <c r="AD330" s="136">
        <f>+JUROS!$C$29</f>
        <v>216.1</v>
      </c>
      <c r="AE330" s="136">
        <f>+JUROS!$C$29</f>
        <v>216.1</v>
      </c>
      <c r="AF330" s="136">
        <f>+JUROS!$C$29</f>
        <v>216.1</v>
      </c>
      <c r="AG330" s="136">
        <f>+JUROS!$C$29</f>
        <v>216.1</v>
      </c>
      <c r="AH330" s="136">
        <f>+JUROS!$C$29</f>
        <v>216.1</v>
      </c>
      <c r="AI330" s="136">
        <f>+JUROS!$C$29</f>
        <v>216.1</v>
      </c>
      <c r="AJ330" s="136">
        <f t="shared" ref="AJ330:AL330" si="1682">+AI330</f>
        <v>216.1</v>
      </c>
      <c r="AK330" s="136">
        <f t="shared" si="1682"/>
        <v>216.1</v>
      </c>
      <c r="AL330" s="136">
        <f t="shared" si="1682"/>
        <v>216.1</v>
      </c>
      <c r="AM330" s="2521">
        <f t="shared" ref="AM330" si="1683">+AL330</f>
        <v>216.1</v>
      </c>
      <c r="AN330" s="683">
        <f t="shared" ref="AN330:AO330" si="1684">+AM330</f>
        <v>216.1</v>
      </c>
      <c r="AO330" s="683">
        <f t="shared" si="1684"/>
        <v>216.1</v>
      </c>
      <c r="AP330" s="683">
        <f t="shared" ref="AP330" si="1685">+AO330</f>
        <v>216.1</v>
      </c>
      <c r="AQ330" s="683">
        <f t="shared" ref="AQ330" si="1686">+AP330</f>
        <v>216.1</v>
      </c>
      <c r="AR330" s="683">
        <f t="shared" ref="AR330" si="1687">+AQ330</f>
        <v>216.1</v>
      </c>
      <c r="AS330" s="683">
        <f t="shared" ref="AS330" si="1688">+AR330</f>
        <v>216.1</v>
      </c>
      <c r="AT330" s="683">
        <f t="shared" ref="AT330" si="1689">+AS330</f>
        <v>216.1</v>
      </c>
      <c r="AU330" s="683">
        <f t="shared" ref="AU330" si="1690">+AT330</f>
        <v>216.1</v>
      </c>
      <c r="AV330" s="683">
        <f t="shared" ref="AV330" si="1691">+AU330</f>
        <v>216.1</v>
      </c>
      <c r="AW330" s="683">
        <f t="shared" ref="AW330" si="1692">+AV330</f>
        <v>216.1</v>
      </c>
      <c r="AX330" s="683">
        <f t="shared" ref="AX330" si="1693">+AW330</f>
        <v>216.1</v>
      </c>
      <c r="AY330" s="1000"/>
      <c r="AZ330" s="683">
        <v>216.1</v>
      </c>
      <c r="BA330" s="1084"/>
      <c r="BB330" s="1000"/>
      <c r="BC330" s="1000"/>
      <c r="BD330" s="266"/>
      <c r="BE330" s="266"/>
      <c r="BF330" s="266"/>
      <c r="BG330" s="266"/>
      <c r="BH330" s="266"/>
      <c r="BI330" s="266">
        <f>+Z330</f>
        <v>677.96799999999996</v>
      </c>
      <c r="BJ330" s="266">
        <f>+AD330</f>
        <v>216.1</v>
      </c>
      <c r="BK330" s="266">
        <f>+AE330</f>
        <v>216.1</v>
      </c>
      <c r="BL330" s="266">
        <f>+AL330</f>
        <v>216.1</v>
      </c>
      <c r="BM330" s="2608">
        <f>+AP330</f>
        <v>216.1</v>
      </c>
      <c r="BN330" s="266">
        <f>+AT330</f>
        <v>216.1</v>
      </c>
      <c r="BO330" s="266">
        <f>+AX330</f>
        <v>216.1</v>
      </c>
      <c r="BP330" s="683">
        <f t="shared" ref="BP330" si="1694">+BO330</f>
        <v>216.1</v>
      </c>
      <c r="BQ330" s="683">
        <f t="shared" ref="BQ330" si="1695">+BP330</f>
        <v>216.1</v>
      </c>
      <c r="BR330" s="683">
        <f t="shared" ref="BR330" si="1696">+BQ330</f>
        <v>216.1</v>
      </c>
      <c r="BS330" s="683">
        <f t="shared" ref="BS330" si="1697">+BR330</f>
        <v>216.1</v>
      </c>
    </row>
    <row r="331" spans="1:71" hidden="1">
      <c r="B331" s="114" t="s">
        <v>106</v>
      </c>
      <c r="K331" s="192"/>
      <c r="L331" s="192"/>
      <c r="M331" s="192"/>
      <c r="N331" s="192"/>
      <c r="O331" s="192"/>
      <c r="P331" s="192"/>
      <c r="Q331" s="192"/>
      <c r="R331" s="434"/>
      <c r="S331" s="434"/>
      <c r="T331" s="434"/>
      <c r="U331" s="434"/>
      <c r="V331" s="434"/>
      <c r="W331" s="71">
        <f t="shared" ref="W331:Z331" si="1698">-W332*W330/4</f>
        <v>-26.360379125000001</v>
      </c>
      <c r="X331" s="71">
        <f t="shared" si="1698"/>
        <v>-26.360379125000001</v>
      </c>
      <c r="Y331" s="71">
        <f t="shared" si="1698"/>
        <v>-26.360379125000001</v>
      </c>
      <c r="Z331" s="71">
        <f t="shared" si="1698"/>
        <v>-11.129824761708381</v>
      </c>
      <c r="AA331" s="71">
        <f>-JUROS!L29</f>
        <v>-4.5651125000000006</v>
      </c>
      <c r="AB331" s="71">
        <f>-JUROS!M29</f>
        <v>-4.5651125000000006</v>
      </c>
      <c r="AC331" s="71">
        <f>-JUROS!N29</f>
        <v>-4.5651125000000006</v>
      </c>
      <c r="AD331" s="71">
        <f>-JUROS!O29</f>
        <v>-4.5651125000000006</v>
      </c>
      <c r="AE331" s="71">
        <f>-JUROS!P29</f>
        <v>-4.5651125000000006</v>
      </c>
      <c r="AF331" s="71">
        <f>-JUROS!Q29</f>
        <v>-4.5651125000000006</v>
      </c>
      <c r="AG331" s="71">
        <f>-JUROS!R29</f>
        <v>-4.5651125000000006</v>
      </c>
      <c r="AH331" s="71">
        <f>-JUROS!S29</f>
        <v>-4.5651125000000006</v>
      </c>
      <c r="AI331" s="71">
        <f>-JUROS!T29</f>
        <v>-4.5651125000000006</v>
      </c>
      <c r="AJ331" s="71">
        <f t="shared" ref="AJ331" si="1699">-AJ332*AJ330/4</f>
        <v>-1.3472021628246964</v>
      </c>
      <c r="AK331" s="71">
        <f t="shared" ref="AK331:AL331" si="1700">-AK332*AK330/4</f>
        <v>-1.3472021628246964</v>
      </c>
      <c r="AL331" s="71">
        <f t="shared" si="1700"/>
        <v>-1.3472021628246964</v>
      </c>
      <c r="AM331" s="2589">
        <f t="shared" ref="AM331:AP331" si="1701">-AM332*AM330/4</f>
        <v>-1.3472021628246964</v>
      </c>
      <c r="AN331" s="267">
        <f t="shared" ref="AN331" si="1702">-AN332*AN330/4</f>
        <v>-1.3472021628246964</v>
      </c>
      <c r="AO331" s="267">
        <f t="shared" si="1701"/>
        <v>-1.3472021628246964</v>
      </c>
      <c r="AP331" s="267">
        <f t="shared" si="1701"/>
        <v>-1.3472021628246964</v>
      </c>
      <c r="AQ331" s="267">
        <f t="shared" ref="AQ331:AT331" si="1703">-AQ332*AQ330/4</f>
        <v>-1.3472021628246964</v>
      </c>
      <c r="AR331" s="267">
        <f t="shared" si="1703"/>
        <v>-1.3472021628246964</v>
      </c>
      <c r="AS331" s="267">
        <f t="shared" si="1703"/>
        <v>-1.3472021628246964</v>
      </c>
      <c r="AT331" s="267">
        <f t="shared" si="1703"/>
        <v>-1.3472021628246964</v>
      </c>
      <c r="AU331" s="267">
        <f t="shared" ref="AU331:AX331" si="1704">-AU332*AU330/4</f>
        <v>-1.3472021628246964</v>
      </c>
      <c r="AV331" s="267">
        <f t="shared" si="1704"/>
        <v>-1.3472021628246964</v>
      </c>
      <c r="AW331" s="267">
        <f t="shared" si="1704"/>
        <v>-1.3472021628246964</v>
      </c>
      <c r="AX331" s="267">
        <f t="shared" si="1704"/>
        <v>-1.3472021628246964</v>
      </c>
      <c r="AZ331" s="267">
        <v>-1.3472021628246964</v>
      </c>
      <c r="BD331" s="71"/>
      <c r="BE331" s="71"/>
      <c r="BF331" s="305">
        <f>+SUM(K331:N331)</f>
        <v>0</v>
      </c>
      <c r="BG331" s="305">
        <f>+SUM(O331:R331)</f>
        <v>0</v>
      </c>
      <c r="BH331" s="305">
        <f>+SUM(S331:V331)</f>
        <v>0</v>
      </c>
      <c r="BI331" s="305">
        <f>+SUM(W331:Z331)</f>
        <v>-90.210962136708375</v>
      </c>
      <c r="BJ331" s="305">
        <f>+SUM(AA331:AD331)</f>
        <v>-18.260450000000002</v>
      </c>
      <c r="BK331" s="305">
        <f>+SUM(AE331:AH331)</f>
        <v>-18.260450000000002</v>
      </c>
      <c r="BL331" s="305">
        <f>+SUM(AI331:AL331)</f>
        <v>-8.6067189884740891</v>
      </c>
      <c r="BM331" s="2619">
        <f>+SUM(AM331:AP331)</f>
        <v>-5.3888086512987856</v>
      </c>
      <c r="BN331" s="305">
        <f>+SUM(AQ331:AT331)</f>
        <v>-5.3888086512987856</v>
      </c>
      <c r="BO331" s="305">
        <f>+SUM(AU331:AX331)</f>
        <v>-5.3888086512987856</v>
      </c>
      <c r="BP331" s="267">
        <f t="shared" ref="BP331" si="1705">-BP332*BP330</f>
        <v>-5.3888086512987856</v>
      </c>
      <c r="BQ331" s="267">
        <f t="shared" ref="BQ331:BS331" si="1706">-BQ332*BQ330</f>
        <v>-5.3888086512987856</v>
      </c>
      <c r="BR331" s="267">
        <f t="shared" si="1706"/>
        <v>-5.3888086512987856</v>
      </c>
      <c r="BS331" s="267">
        <f t="shared" si="1706"/>
        <v>-5.3888086512987856</v>
      </c>
    </row>
    <row r="332" spans="1:71" hidden="1">
      <c r="B332" s="114" t="s">
        <v>612</v>
      </c>
      <c r="K332" s="192"/>
      <c r="L332" s="192"/>
      <c r="M332" s="192"/>
      <c r="N332" s="192"/>
      <c r="O332" s="192"/>
      <c r="P332" s="192"/>
      <c r="Q332" s="192"/>
      <c r="R332" s="306"/>
      <c r="S332" s="306"/>
      <c r="T332" s="306"/>
      <c r="U332" s="306"/>
      <c r="V332" s="306"/>
      <c r="W332" s="306">
        <f>+Debt!$P$37</f>
        <v>6.5665782229889211E-2</v>
      </c>
      <c r="X332" s="306">
        <f>+Debt!$P$37</f>
        <v>6.5665782229889211E-2</v>
      </c>
      <c r="Y332" s="306">
        <f>+Debt!$P$37</f>
        <v>6.5665782229889211E-2</v>
      </c>
      <c r="Z332" s="306">
        <f>+Debt!$P$37</f>
        <v>6.5665782229889211E-2</v>
      </c>
      <c r="AA332" s="306">
        <f>+Debt!$P$37</f>
        <v>6.5665782229889211E-2</v>
      </c>
      <c r="AB332" s="306">
        <f>+Debt!$P$37</f>
        <v>6.5665782229889211E-2</v>
      </c>
      <c r="AC332" s="306">
        <f>+Debt!$P$37</f>
        <v>6.5665782229889211E-2</v>
      </c>
      <c r="AD332" s="306">
        <f>+Debt!$P$37</f>
        <v>6.5665782229889211E-2</v>
      </c>
      <c r="AE332" s="306">
        <f>+Debt!$P$37</f>
        <v>6.5665782229889211E-2</v>
      </c>
      <c r="AF332" s="306">
        <f>+Debt!$P$37</f>
        <v>6.5665782229889211E-2</v>
      </c>
      <c r="AG332" s="306">
        <f>+Debt!$P$37</f>
        <v>6.5665782229889211E-2</v>
      </c>
      <c r="AH332" s="306">
        <f>+Debt!$P$37</f>
        <v>6.5665782229889211E-2</v>
      </c>
      <c r="AI332" s="306">
        <f>+Debt!$P$37</f>
        <v>6.5665782229889211E-2</v>
      </c>
      <c r="AJ332" s="306">
        <f>+Debt!$Q$37</f>
        <v>2.4936643458115623E-2</v>
      </c>
      <c r="AK332" s="306">
        <f>+Debt!$Q$37</f>
        <v>2.4936643458115623E-2</v>
      </c>
      <c r="AL332" s="306">
        <f>+Debt!$Q$37</f>
        <v>2.4936643458115623E-2</v>
      </c>
      <c r="AM332" s="2585">
        <f>+Debt!$Q$37</f>
        <v>2.4936643458115623E-2</v>
      </c>
      <c r="AN332" s="306">
        <f>+Debt!$Q$37</f>
        <v>2.4936643458115623E-2</v>
      </c>
      <c r="AO332" s="306">
        <f>+Debt!$Q$37</f>
        <v>2.4936643458115623E-2</v>
      </c>
      <c r="AP332" s="306">
        <f>+Debt!$Q$37</f>
        <v>2.4936643458115623E-2</v>
      </c>
      <c r="AQ332" s="306">
        <f>+Debt!$Q$37</f>
        <v>2.4936643458115623E-2</v>
      </c>
      <c r="AR332" s="306">
        <f>+Debt!$Q$37</f>
        <v>2.4936643458115623E-2</v>
      </c>
      <c r="AS332" s="306">
        <f>+Debt!$Q$37</f>
        <v>2.4936643458115623E-2</v>
      </c>
      <c r="AT332" s="306">
        <f>+Debt!$Q$37</f>
        <v>2.4936643458115623E-2</v>
      </c>
      <c r="AU332" s="306">
        <f>+Debt!$Q$37</f>
        <v>2.4936643458115623E-2</v>
      </c>
      <c r="AV332" s="306">
        <f>+Debt!$Q$37</f>
        <v>2.4936643458115623E-2</v>
      </c>
      <c r="AW332" s="306">
        <f>+Debt!$Q$37</f>
        <v>2.4936643458115623E-2</v>
      </c>
      <c r="AX332" s="306">
        <f>+Debt!$Q$37</f>
        <v>2.4936643458115623E-2</v>
      </c>
      <c r="AZ332" s="306">
        <v>2.4936643458115623E-2</v>
      </c>
      <c r="BD332" s="306"/>
      <c r="BE332" s="306"/>
      <c r="BF332" s="306"/>
      <c r="BG332" s="306"/>
      <c r="BH332" s="306"/>
      <c r="BI332" s="306">
        <f>+Z332</f>
        <v>6.5665782229889211E-2</v>
      </c>
      <c r="BJ332" s="306">
        <f>+AD332</f>
        <v>6.5665782229889211E-2</v>
      </c>
      <c r="BK332" s="306">
        <f>+AE332</f>
        <v>6.5665782229889211E-2</v>
      </c>
      <c r="BL332" s="306">
        <f>+AL332</f>
        <v>2.4936643458115623E-2</v>
      </c>
      <c r="BM332" s="2585">
        <f>+AP332</f>
        <v>2.4936643458115623E-2</v>
      </c>
      <c r="BN332" s="306">
        <f>+AT332</f>
        <v>2.4936643458115623E-2</v>
      </c>
      <c r="BO332" s="306">
        <f>+AX332</f>
        <v>2.4936643458115623E-2</v>
      </c>
      <c r="BP332" s="306">
        <f t="shared" ref="BP332" si="1707">+BO332</f>
        <v>2.4936643458115623E-2</v>
      </c>
      <c r="BQ332" s="306">
        <f t="shared" ref="BQ332" si="1708">+BP332</f>
        <v>2.4936643458115623E-2</v>
      </c>
      <c r="BR332" s="306">
        <f t="shared" ref="BR332" si="1709">+BQ332</f>
        <v>2.4936643458115623E-2</v>
      </c>
      <c r="BS332" s="306">
        <f t="shared" ref="BS332" si="1710">+BR332</f>
        <v>2.4936643458115623E-2</v>
      </c>
    </row>
    <row r="333" spans="1:71" hidden="1">
      <c r="B333" s="114"/>
      <c r="K333" s="192"/>
      <c r="L333" s="192"/>
      <c r="M333" s="192"/>
      <c r="N333" s="192"/>
      <c r="O333" s="192"/>
      <c r="P333" s="192"/>
      <c r="Q333" s="192"/>
      <c r="R333" s="192"/>
      <c r="S333" s="192"/>
      <c r="T333" s="192"/>
      <c r="U333" s="306"/>
      <c r="V333" s="306"/>
      <c r="W333" s="306"/>
      <c r="X333" s="306"/>
      <c r="Y333" s="306"/>
      <c r="Z333" s="306"/>
      <c r="AA333" s="306"/>
      <c r="AB333" s="306"/>
      <c r="AC333" s="306"/>
      <c r="AD333" s="306"/>
      <c r="AE333" s="306"/>
      <c r="AF333" s="306"/>
      <c r="AG333" s="306"/>
      <c r="AH333" s="306"/>
      <c r="AI333" s="306"/>
      <c r="AJ333" s="306"/>
      <c r="AK333" s="306"/>
      <c r="AL333" s="306"/>
      <c r="AM333" s="2585"/>
      <c r="AN333" s="306"/>
      <c r="AO333" s="306"/>
      <c r="AP333" s="306"/>
      <c r="AQ333" s="306"/>
      <c r="AR333" s="306"/>
      <c r="AS333" s="306"/>
      <c r="AT333" s="306"/>
      <c r="AU333" s="306"/>
      <c r="AV333" s="306"/>
      <c r="AW333" s="306"/>
      <c r="AX333" s="306"/>
      <c r="AZ333" s="306"/>
      <c r="BD333" s="306"/>
      <c r="BE333" s="306"/>
      <c r="BF333" s="306"/>
      <c r="BG333" s="306"/>
      <c r="BH333" s="306"/>
      <c r="BI333" s="306"/>
      <c r="BJ333" s="306"/>
      <c r="BK333" s="306"/>
      <c r="BL333" s="306"/>
      <c r="BM333" s="2585"/>
      <c r="BN333" s="306"/>
      <c r="BO333" s="306"/>
      <c r="BP333" s="306"/>
      <c r="BQ333" s="306"/>
      <c r="BR333" s="306"/>
      <c r="BS333" s="306"/>
    </row>
    <row r="334" spans="1:71" s="70" customFormat="1" hidden="1">
      <c r="A334" s="1000"/>
      <c r="B334" s="1003" t="s">
        <v>617</v>
      </c>
      <c r="R334" s="70">
        <f>+Debt!C20/1000</f>
        <v>2995.76</v>
      </c>
      <c r="S334" s="70">
        <f>+Debt!D20/1000</f>
        <v>2923.875</v>
      </c>
      <c r="T334" s="70">
        <f>+Debt!D20/1000</f>
        <v>2923.875</v>
      </c>
      <c r="U334" s="70">
        <f>+Debt!E20/1000</f>
        <v>3144.9549999999999</v>
      </c>
      <c r="V334" s="70">
        <f>+Debt!F20/1000</f>
        <v>3090.49</v>
      </c>
      <c r="W334" s="69">
        <f>+Debt!G20/1000</f>
        <v>3912.971</v>
      </c>
      <c r="X334" s="69">
        <f>+Debt!H20/1000</f>
        <v>4179.1819999999998</v>
      </c>
      <c r="Y334" s="69">
        <f>+Debt!I20/1000</f>
        <v>4250.4059999999999</v>
      </c>
      <c r="Z334" s="69">
        <f>+Debt!J20/1000</f>
        <v>4250.4059999999999</v>
      </c>
      <c r="AA334" s="69">
        <f>+JUROS!$C$19</f>
        <v>4852.5999999999995</v>
      </c>
      <c r="AB334" s="69">
        <f>+JUROS!$C$19</f>
        <v>4852.5999999999995</v>
      </c>
      <c r="AC334" s="69">
        <f>+JUROS!$C$19</f>
        <v>4852.5999999999995</v>
      </c>
      <c r="AD334" s="69">
        <f>+JUROS!$C$19</f>
        <v>4852.5999999999995</v>
      </c>
      <c r="AE334" s="69">
        <f>+JUROS!$C$19</f>
        <v>4852.5999999999995</v>
      </c>
      <c r="AF334" s="69">
        <f>+JUROS!$C$19</f>
        <v>4852.5999999999995</v>
      </c>
      <c r="AG334" s="69">
        <f>+JUROS!$C$19</f>
        <v>4852.5999999999995</v>
      </c>
      <c r="AH334" s="69">
        <f>+JUROS!$C$19</f>
        <v>4852.5999999999995</v>
      </c>
      <c r="AI334" s="69">
        <f>+JUROS!$C$19</f>
        <v>4852.5999999999995</v>
      </c>
      <c r="AJ334" s="69">
        <f>+AJ336*MACRO!AJ$4</f>
        <v>4587.6426737756701</v>
      </c>
      <c r="AK334" s="69">
        <f>+AK336*MACRO!AK$4</f>
        <v>4822.4149881516578</v>
      </c>
      <c r="AL334" s="69">
        <f>+AL336*MACRO!AL$4</f>
        <v>4650.0250315955755</v>
      </c>
      <c r="AM334" s="2521">
        <f>+AM336*MACRO!AM$4</f>
        <v>4805.166409952606</v>
      </c>
      <c r="AN334" s="683">
        <f>+AN336*MACRO!AN$4</f>
        <v>5360.5706279620845</v>
      </c>
      <c r="AO334" s="683">
        <f>+AO336*MACRO!AO$4</f>
        <v>5222.4861769352283</v>
      </c>
      <c r="AP334" s="683">
        <f>+AP336*MACRO!AP$4</f>
        <v>5915.8790205371242</v>
      </c>
      <c r="AQ334" s="683">
        <f>+AQ336*MACRO!AQ$4</f>
        <v>5509.9624802527642</v>
      </c>
      <c r="AR334" s="683">
        <f>+AR336*MACRO!AR$4</f>
        <v>5241.6512638230643</v>
      </c>
      <c r="AS334" s="683">
        <f>+AS336*MACRO!AS$4</f>
        <v>5099.5421445497623</v>
      </c>
      <c r="AT334" s="683">
        <f>+AT336*MACRO!AT$4</f>
        <v>5246.7300118483408</v>
      </c>
      <c r="AU334" s="683">
        <f>+AU336*MACRO!AU$4</f>
        <v>5078.7480252764608</v>
      </c>
      <c r="AV334" s="683">
        <f>+AV336*MACRO!AV$4</f>
        <v>5091.6331565390428</v>
      </c>
      <c r="AW334" s="683">
        <f>+AW336*MACRO!AW$4</f>
        <v>5096.9135285265174</v>
      </c>
      <c r="AX334" s="683">
        <f>+AX336*MACRO!AX$4</f>
        <v>5130.232401027959</v>
      </c>
      <c r="AY334" s="1000"/>
      <c r="AZ334" s="683">
        <v>5246.7300118483408</v>
      </c>
      <c r="BA334" s="1084"/>
      <c r="BB334" s="1000"/>
      <c r="BC334" s="1000"/>
      <c r="BD334" s="266"/>
      <c r="BE334" s="266"/>
      <c r="BF334" s="266"/>
      <c r="BG334" s="266">
        <f>+R334</f>
        <v>2995.76</v>
      </c>
      <c r="BH334" s="266">
        <f>+V334</f>
        <v>3090.49</v>
      </c>
      <c r="BI334" s="266">
        <f>+Z334</f>
        <v>4250.4059999999999</v>
      </c>
      <c r="BJ334" s="266">
        <f>+AD334</f>
        <v>4852.5999999999995</v>
      </c>
      <c r="BK334" s="266">
        <f>+AE334</f>
        <v>4852.5999999999995</v>
      </c>
      <c r="BL334" s="266">
        <f>+AL334</f>
        <v>4650.0250315955755</v>
      </c>
      <c r="BM334" s="2608">
        <f>+AP334</f>
        <v>5915.8790205371242</v>
      </c>
      <c r="BN334" s="266">
        <f>+AT334</f>
        <v>5246.7300118483408</v>
      </c>
      <c r="BO334" s="266">
        <f>+AX334</f>
        <v>5130.232401027959</v>
      </c>
      <c r="BP334" s="683">
        <f>+BP336*MACRO!BP$4</f>
        <v>5220.0114680459483</v>
      </c>
      <c r="BQ334" s="683">
        <f>+BQ336*MACRO!BQ$4</f>
        <v>5298.3116400666386</v>
      </c>
      <c r="BR334" s="683">
        <f>+BR336*MACRO!BR$4</f>
        <v>5377.7863146676391</v>
      </c>
      <c r="BS334" s="683">
        <f>+BS336*MACRO!BS$4</f>
        <v>5458.453109387654</v>
      </c>
    </row>
    <row r="335" spans="1:71" hidden="1">
      <c r="B335" s="114" t="s">
        <v>615</v>
      </c>
      <c r="K335" s="192"/>
      <c r="L335" s="192"/>
      <c r="M335" s="192"/>
      <c r="N335" s="192"/>
      <c r="O335" s="192"/>
      <c r="P335" s="192"/>
      <c r="Q335" s="192"/>
      <c r="R335" s="432">
        <f>+R337*MACRO!R$4</f>
        <v>-40.255524999999999</v>
      </c>
      <c r="S335" s="432">
        <f>+S337*MACRO!S$4</f>
        <v>-154.05440519531248</v>
      </c>
      <c r="T335" s="432">
        <f>+T337*MACRO!T$4</f>
        <v>-39.289570312499997</v>
      </c>
      <c r="U335" s="432">
        <f>+U337*MACRO!U$4</f>
        <v>-42.260332812499996</v>
      </c>
      <c r="V335" s="432">
        <f>+V337*MACRO!V$4</f>
        <v>-41.52845937499999</v>
      </c>
      <c r="W335" s="432">
        <f>+W337*MACRO!W$4</f>
        <v>-52.580547812500001</v>
      </c>
      <c r="X335" s="432">
        <f>+X337*MACRO!X$4</f>
        <v>-56.157758124999987</v>
      </c>
      <c r="Y335" s="432">
        <f>+Y337*MACRO!Y$4</f>
        <v>-57.114830625000003</v>
      </c>
      <c r="Z335" s="432">
        <f>+Z337*MACRO!Z$4</f>
        <v>-57.114830624999996</v>
      </c>
      <c r="AA335" s="432">
        <f>+AA337*MACRO!AA$4</f>
        <v>-65.206812499999984</v>
      </c>
      <c r="AB335" s="432">
        <f>+AB337*MACRO!AB$4</f>
        <v>-65.206812499999984</v>
      </c>
      <c r="AC335" s="432">
        <f>+AC337*MACRO!AC$4</f>
        <v>-65.206812499999984</v>
      </c>
      <c r="AD335" s="432">
        <f>+AD337*MACRO!AD$4</f>
        <v>-65.206812499999984</v>
      </c>
      <c r="AE335" s="432">
        <f>+AE337*MACRO!AE$4</f>
        <v>-65.206812499999998</v>
      </c>
      <c r="AF335" s="432">
        <f>+AF337*MACRO!AF$4</f>
        <v>-65.206812499999998</v>
      </c>
      <c r="AG335" s="432">
        <f>+AG337*MACRO!AG$4</f>
        <v>-65.206812499999984</v>
      </c>
      <c r="AH335" s="432">
        <f>+AH337*MACRO!AH$4</f>
        <v>-65.206812499999984</v>
      </c>
      <c r="AI335" s="432">
        <f>+AI337*MACRO!AI$4</f>
        <v>-65.206812499999984</v>
      </c>
      <c r="AJ335" s="432">
        <f>+AJ337*MACRO!AJ4</f>
        <v>-61.646448428860566</v>
      </c>
      <c r="AK335" s="432">
        <f>+AK337*MACRO!AK4</f>
        <v>-64.801201403287905</v>
      </c>
      <c r="AL335" s="432">
        <f>+AL337*MACRO!AL4</f>
        <v>-62.484711362065546</v>
      </c>
      <c r="AM335" s="2587">
        <f>+AM337*MACRO!AM4</f>
        <v>-64.56942363373814</v>
      </c>
      <c r="AN335" s="697">
        <f>+AN337*MACRO!AN4</f>
        <v>-72.032667813240508</v>
      </c>
      <c r="AO335" s="697">
        <f>+AO337*MACRO!AO4</f>
        <v>-70.177158002567126</v>
      </c>
      <c r="AP335" s="697">
        <f>+AP337*MACRO!AP4</f>
        <v>-79.494624338467602</v>
      </c>
      <c r="AQ335" s="697">
        <f>+AQ337*MACRO!AQ4</f>
        <v>-74.04012082839651</v>
      </c>
      <c r="AR335" s="697">
        <f>+AR337*MACRO!AR4</f>
        <v>-70.434688857622419</v>
      </c>
      <c r="AS335" s="697">
        <f>+AS337*MACRO!AS4</f>
        <v>-68.525097567387419</v>
      </c>
      <c r="AT335" s="697">
        <f>+AT337*MACRO!AT4</f>
        <v>-70.502934534212073</v>
      </c>
      <c r="AU335" s="697">
        <f>+AU337*MACRO!AU4</f>
        <v>-68.245676589652433</v>
      </c>
      <c r="AV335" s="697">
        <f>+AV337*MACRO!AV4</f>
        <v>-68.41882054099338</v>
      </c>
      <c r="AW335" s="697">
        <f>+AW337*MACRO!AW4</f>
        <v>-68.489775539575078</v>
      </c>
      <c r="AX335" s="697">
        <f>+AX337*MACRO!AX4</f>
        <v>-68.937497888813198</v>
      </c>
      <c r="AZ335" s="697">
        <v>-70.502934534212073</v>
      </c>
      <c r="BD335" s="432"/>
      <c r="BE335" s="432"/>
      <c r="BF335" s="305">
        <f>+SUM(K335:N335)</f>
        <v>0</v>
      </c>
      <c r="BG335" s="305">
        <f>+SUM(O335:R335)</f>
        <v>-40.255524999999999</v>
      </c>
      <c r="BH335" s="305">
        <f>+SUM(S335:V335)</f>
        <v>-277.13276769531245</v>
      </c>
      <c r="BI335" s="305">
        <f>+SUM(W335:Z335)</f>
        <v>-222.96796718749999</v>
      </c>
      <c r="BJ335" s="305">
        <f>+SUM(AA335:AD335)</f>
        <v>-260.82724999999994</v>
      </c>
      <c r="BK335" s="305">
        <f>+SUM(AE335:AH335)</f>
        <v>-260.82724999999994</v>
      </c>
      <c r="BL335" s="305">
        <f>+SUM(AI335:AL335)</f>
        <v>-254.13917369421401</v>
      </c>
      <c r="BM335" s="2619">
        <f>+SUM(AM335:AP335)</f>
        <v>-286.27387378801336</v>
      </c>
      <c r="BN335" s="305">
        <f>+SUM(AQ335:AT335)</f>
        <v>-283.50284178761842</v>
      </c>
      <c r="BO335" s="305">
        <f>+SUM(AU335:AX335)</f>
        <v>-274.0917705590341</v>
      </c>
      <c r="BP335" s="697">
        <f>+BP337*MACRO!BP4</f>
        <v>-280.57561640746974</v>
      </c>
      <c r="BQ335" s="697">
        <f>+BQ337*MACRO!BQ4</f>
        <v>-284.78425065358181</v>
      </c>
      <c r="BR335" s="697">
        <f>+BR337*MACRO!BR4</f>
        <v>-289.05601441338558</v>
      </c>
      <c r="BS335" s="697">
        <f>+BS337*MACRO!BS4</f>
        <v>-293.39185462958642</v>
      </c>
    </row>
    <row r="336" spans="1:71" hidden="1">
      <c r="B336" s="431" t="s">
        <v>618</v>
      </c>
      <c r="K336" s="192"/>
      <c r="L336" s="192"/>
      <c r="M336" s="192"/>
      <c r="N336" s="192"/>
      <c r="O336" s="192"/>
      <c r="P336" s="192"/>
      <c r="Q336" s="192"/>
      <c r="R336" s="432">
        <f>+R334/MACRO!R$4</f>
        <v>771.82459937136082</v>
      </c>
      <c r="S336" s="432">
        <f>+S334/MACRO!S$4</f>
        <v>745.69625095638867</v>
      </c>
      <c r="T336" s="432">
        <f>+T334/MACRO!T$4</f>
        <v>759.50723432994778</v>
      </c>
      <c r="U336" s="432">
        <f>+U334/MACRO!U$4</f>
        <v>756.54438296848684</v>
      </c>
      <c r="V336" s="432">
        <f>+V334/MACRO!V$4</f>
        <v>768.18622455320508</v>
      </c>
      <c r="W336" s="432">
        <f>+W334/MACRO!W$4</f>
        <v>751.72823852611759</v>
      </c>
      <c r="X336" s="432">
        <f>+X334/MACRO!X$4</f>
        <v>764.59174152472588</v>
      </c>
      <c r="Y336" s="432">
        <f>+Y334/MACRO!Y$4</f>
        <v>757.64812834224597</v>
      </c>
      <c r="Z336" s="432">
        <f>+Z334/MACRO!Z$4</f>
        <v>818.40878020602668</v>
      </c>
      <c r="AA336" s="432">
        <f>+AA334/MACRO!AA$4</f>
        <v>861.24520800795096</v>
      </c>
      <c r="AB336" s="432">
        <f>+AB334/MACRO!AB$4</f>
        <v>976.57476353391007</v>
      </c>
      <c r="AC336" s="432">
        <f>+AC334/MACRO!AC$4</f>
        <v>891.53040602608849</v>
      </c>
      <c r="AD336" s="432">
        <f>+AD334/MACRO!AD$4</f>
        <v>862.31652272808037</v>
      </c>
      <c r="AE336" s="432">
        <f>+AE334/MACRO!AE$4</f>
        <v>1023.51774904558</v>
      </c>
      <c r="AF336" s="432">
        <f>+AF334/MACRO!AF$4</f>
        <v>923.26718544873381</v>
      </c>
      <c r="AG336" s="432">
        <f>+AG334/MACRO!AG$4</f>
        <v>896.05761240882646</v>
      </c>
      <c r="AH336" s="432">
        <f>+AH334/MACRO!AH$4</f>
        <v>918.00983730609153</v>
      </c>
      <c r="AI336" s="432">
        <f>+AI334/MACRO!AI$4</f>
        <v>958.25434439178503</v>
      </c>
      <c r="AJ336" s="432">
        <f t="shared" ref="AJ336:AL336" si="1711">+AI336</f>
        <v>958.25434439178503</v>
      </c>
      <c r="AK336" s="432">
        <f t="shared" si="1711"/>
        <v>958.25434439178503</v>
      </c>
      <c r="AL336" s="432">
        <f t="shared" si="1711"/>
        <v>958.25434439178503</v>
      </c>
      <c r="AM336" s="2590">
        <f t="shared" ref="AM336" si="1712">+AL336</f>
        <v>958.25434439178503</v>
      </c>
      <c r="AN336" s="433">
        <f t="shared" ref="AN336:AO336" si="1713">+AM336</f>
        <v>958.25434439178503</v>
      </c>
      <c r="AO336" s="433">
        <f t="shared" si="1713"/>
        <v>958.25434439178503</v>
      </c>
      <c r="AP336" s="433">
        <f t="shared" ref="AP336" si="1714">+AO336</f>
        <v>958.25434439178503</v>
      </c>
      <c r="AQ336" s="433">
        <f t="shared" ref="AQ336" si="1715">+AP336</f>
        <v>958.25434439178503</v>
      </c>
      <c r="AR336" s="433">
        <f t="shared" ref="AR336" si="1716">+AQ336</f>
        <v>958.25434439178503</v>
      </c>
      <c r="AS336" s="433">
        <f t="shared" ref="AS336" si="1717">+AR336</f>
        <v>958.25434439178503</v>
      </c>
      <c r="AT336" s="433">
        <f t="shared" ref="AT336" si="1718">+AS336</f>
        <v>958.25434439178503</v>
      </c>
      <c r="AU336" s="433">
        <f t="shared" ref="AU336" si="1719">+AT336</f>
        <v>958.25434439178503</v>
      </c>
      <c r="AV336" s="433">
        <f t="shared" ref="AV336" si="1720">+AU336</f>
        <v>958.25434439178503</v>
      </c>
      <c r="AW336" s="433">
        <f t="shared" ref="AW336" si="1721">+AV336</f>
        <v>958.25434439178503</v>
      </c>
      <c r="AX336" s="433">
        <f t="shared" ref="AX336" si="1722">+AW336</f>
        <v>958.25434439178503</v>
      </c>
      <c r="AZ336" s="433">
        <v>958.25434439178503</v>
      </c>
      <c r="BD336" s="266"/>
      <c r="BE336" s="266"/>
      <c r="BF336" s="266"/>
      <c r="BG336" s="266">
        <f>+R336</f>
        <v>771.82459937136082</v>
      </c>
      <c r="BH336" s="266">
        <f>+V336</f>
        <v>768.18622455320508</v>
      </c>
      <c r="BI336" s="266">
        <f>+Z336</f>
        <v>818.40878020602668</v>
      </c>
      <c r="BJ336" s="266">
        <f>+AD336</f>
        <v>862.31652272808037</v>
      </c>
      <c r="BK336" s="266">
        <f>+AE336</f>
        <v>1023.51774904558</v>
      </c>
      <c r="BL336" s="266">
        <f>+AL336</f>
        <v>958.25434439178503</v>
      </c>
      <c r="BM336" s="2608">
        <f>+AP336</f>
        <v>958.25434439178503</v>
      </c>
      <c r="BN336" s="266">
        <f>+AT336</f>
        <v>958.25434439178503</v>
      </c>
      <c r="BO336" s="266">
        <f>+AX336</f>
        <v>958.25434439178503</v>
      </c>
      <c r="BP336" s="433">
        <f t="shared" ref="BP336" si="1723">+BO336</f>
        <v>958.25434439178503</v>
      </c>
      <c r="BQ336" s="433">
        <f t="shared" ref="BQ336" si="1724">+BP336</f>
        <v>958.25434439178503</v>
      </c>
      <c r="BR336" s="433">
        <f t="shared" ref="BR336" si="1725">+BQ336</f>
        <v>958.25434439178503</v>
      </c>
      <c r="BS336" s="433">
        <f t="shared" ref="BS336" si="1726">+BR336</f>
        <v>958.25434439178503</v>
      </c>
    </row>
    <row r="337" spans="1:71" hidden="1">
      <c r="B337" s="114" t="s">
        <v>619</v>
      </c>
      <c r="K337" s="192"/>
      <c r="L337" s="192"/>
      <c r="M337" s="192"/>
      <c r="N337" s="192"/>
      <c r="O337" s="192"/>
      <c r="P337" s="192"/>
      <c r="Q337" s="192"/>
      <c r="R337" s="432">
        <f>-R338/4*R336</f>
        <v>-10.37139305405266</v>
      </c>
      <c r="S337" s="432">
        <f>-S338/4*S334</f>
        <v>-39.289570312499997</v>
      </c>
      <c r="T337" s="432">
        <f t="shared" ref="T337:Y337" si="1727">-T338/4*T336</f>
        <v>-10.205878461308673</v>
      </c>
      <c r="U337" s="432">
        <f t="shared" si="1727"/>
        <v>-10.166065146139042</v>
      </c>
      <c r="V337" s="432">
        <f t="shared" si="1727"/>
        <v>-10.322502392433693</v>
      </c>
      <c r="W337" s="432">
        <f t="shared" si="1727"/>
        <v>-10.101348205194705</v>
      </c>
      <c r="X337" s="432">
        <f t="shared" si="1727"/>
        <v>-10.274201526738503</v>
      </c>
      <c r="Y337" s="432">
        <f t="shared" si="1727"/>
        <v>-10.180896724598931</v>
      </c>
      <c r="Z337" s="432">
        <f t="shared" ref="Z337:AA337" si="1728">-Z338/4*Z336</f>
        <v>-10.997367984018483</v>
      </c>
      <c r="AA337" s="432">
        <f t="shared" si="1728"/>
        <v>-11.572982482606841</v>
      </c>
      <c r="AB337" s="432">
        <f t="shared" ref="AB337:AC337" si="1729">-AB338/4*AB336</f>
        <v>-13.122723384986916</v>
      </c>
      <c r="AC337" s="432">
        <f t="shared" si="1729"/>
        <v>-11.979939830975564</v>
      </c>
      <c r="AD337" s="432">
        <f t="shared" ref="AD337:AE337" si="1730">-AD338/4*AD336</f>
        <v>-11.58737827415858</v>
      </c>
      <c r="AE337" s="432">
        <f t="shared" si="1730"/>
        <v>-13.753519752799981</v>
      </c>
      <c r="AF337" s="432">
        <f t="shared" ref="AF337:AG337" si="1731">-AF338/4*AF336</f>
        <v>-12.40640280446736</v>
      </c>
      <c r="AG337" s="432">
        <f t="shared" si="1731"/>
        <v>-12.040774166743605</v>
      </c>
      <c r="AH337" s="432">
        <f t="shared" ref="AH337:AI337" si="1732">-AH338/4*AH336</f>
        <v>-12.335757188800605</v>
      </c>
      <c r="AI337" s="432">
        <f t="shared" si="1732"/>
        <v>-12.87654275276461</v>
      </c>
      <c r="AJ337" s="432">
        <f t="shared" ref="AJ337" si="1733">-AJ338*AJ336/4</f>
        <v>-12.87654275276461</v>
      </c>
      <c r="AK337" s="432">
        <f t="shared" ref="AK337:AL337" si="1734">-AK338*AK336/4</f>
        <v>-12.87654275276461</v>
      </c>
      <c r="AL337" s="432">
        <f t="shared" si="1734"/>
        <v>-12.87654275276461</v>
      </c>
      <c r="AM337" s="2590">
        <f t="shared" ref="AM337:AP337" si="1735">-AM338*AM336/4</f>
        <v>-12.87654275276461</v>
      </c>
      <c r="AN337" s="433">
        <f t="shared" ref="AN337" si="1736">-AN338*AN336/4</f>
        <v>-12.87654275276461</v>
      </c>
      <c r="AO337" s="433">
        <f t="shared" si="1735"/>
        <v>-12.87654275276461</v>
      </c>
      <c r="AP337" s="433">
        <f t="shared" si="1735"/>
        <v>-12.87654275276461</v>
      </c>
      <c r="AQ337" s="433">
        <f t="shared" ref="AQ337:AT337" si="1737">-AQ338*AQ336/4</f>
        <v>-12.87654275276461</v>
      </c>
      <c r="AR337" s="433">
        <f t="shared" si="1737"/>
        <v>-12.87654275276461</v>
      </c>
      <c r="AS337" s="433">
        <f t="shared" si="1737"/>
        <v>-12.87654275276461</v>
      </c>
      <c r="AT337" s="433">
        <f t="shared" si="1737"/>
        <v>-12.87654275276461</v>
      </c>
      <c r="AU337" s="433">
        <f t="shared" ref="AU337:AX337" si="1738">-AU338*AU336/4</f>
        <v>-12.87654275276461</v>
      </c>
      <c r="AV337" s="433">
        <f t="shared" si="1738"/>
        <v>-12.87654275276461</v>
      </c>
      <c r="AW337" s="433">
        <f t="shared" si="1738"/>
        <v>-12.87654275276461</v>
      </c>
      <c r="AX337" s="433">
        <f t="shared" si="1738"/>
        <v>-12.87654275276461</v>
      </c>
      <c r="AZ337" s="433">
        <v>-12.87654275276461</v>
      </c>
      <c r="BD337" s="432"/>
      <c r="BE337" s="432"/>
      <c r="BF337" s="305">
        <f>+SUM(K337:N337)</f>
        <v>0</v>
      </c>
      <c r="BG337" s="305">
        <f>+SUM(O337:R337)</f>
        <v>-10.37139305405266</v>
      </c>
      <c r="BH337" s="305">
        <f>+SUM(S337:V337)</f>
        <v>-69.984016312381399</v>
      </c>
      <c r="BI337" s="305">
        <f>+SUM(W337:Z337)</f>
        <v>-41.553814440550624</v>
      </c>
      <c r="BJ337" s="305">
        <f>+SUM(AA337:AD337)</f>
        <v>-48.263023972727908</v>
      </c>
      <c r="BK337" s="305">
        <f>+SUM(AE337:AH337)</f>
        <v>-50.536453912811552</v>
      </c>
      <c r="BL337" s="305">
        <f>+SUM(AI337:AL337)</f>
        <v>-51.506171011058441</v>
      </c>
      <c r="BM337" s="2619">
        <f>+SUM(AM337:AP337)</f>
        <v>-51.506171011058441</v>
      </c>
      <c r="BN337" s="305">
        <f>+SUM(AQ337:AT337)</f>
        <v>-51.506171011058441</v>
      </c>
      <c r="BO337" s="305">
        <f>+SUM(AU337:AX337)</f>
        <v>-51.506171011058441</v>
      </c>
      <c r="BP337" s="433">
        <f t="shared" ref="BP337" si="1739">-BP338*BP336</f>
        <v>-51.506171011058441</v>
      </c>
      <c r="BQ337" s="433">
        <f t="shared" ref="BQ337:BS337" si="1740">-BQ338*BQ336</f>
        <v>-51.506171011058441</v>
      </c>
      <c r="BR337" s="433">
        <f t="shared" si="1740"/>
        <v>-51.506171011058441</v>
      </c>
      <c r="BS337" s="433">
        <f t="shared" si="1740"/>
        <v>-51.506171011058441</v>
      </c>
    </row>
    <row r="338" spans="1:71" hidden="1">
      <c r="B338" s="114" t="s">
        <v>612</v>
      </c>
      <c r="K338" s="192"/>
      <c r="L338" s="192"/>
      <c r="M338" s="192"/>
      <c r="N338" s="192"/>
      <c r="O338" s="192"/>
      <c r="P338" s="192"/>
      <c r="Q338" s="192"/>
      <c r="R338" s="429">
        <v>5.3749999999999999E-2</v>
      </c>
      <c r="S338" s="429">
        <v>5.3749999999999999E-2</v>
      </c>
      <c r="T338" s="429">
        <v>5.3749999999999999E-2</v>
      </c>
      <c r="U338" s="429">
        <v>5.3749999999999999E-2</v>
      </c>
      <c r="V338" s="429">
        <v>5.3749999999999999E-2</v>
      </c>
      <c r="W338" s="429">
        <v>5.3749999999999999E-2</v>
      </c>
      <c r="X338" s="429">
        <v>5.3749999999999999E-2</v>
      </c>
      <c r="Y338" s="429">
        <v>5.3749999999999999E-2</v>
      </c>
      <c r="Z338" s="429">
        <v>5.3749999999999999E-2</v>
      </c>
      <c r="AA338" s="429">
        <v>5.3749999999999999E-2</v>
      </c>
      <c r="AB338" s="429">
        <v>5.3749999999999999E-2</v>
      </c>
      <c r="AC338" s="429">
        <v>5.3749999999999999E-2</v>
      </c>
      <c r="AD338" s="429">
        <v>5.3749999999999999E-2</v>
      </c>
      <c r="AE338" s="429">
        <v>5.3749999999999999E-2</v>
      </c>
      <c r="AF338" s="429">
        <v>5.3749999999999999E-2</v>
      </c>
      <c r="AG338" s="429">
        <v>5.3749999999999999E-2</v>
      </c>
      <c r="AH338" s="429">
        <v>5.3749999999999999E-2</v>
      </c>
      <c r="AI338" s="429">
        <v>5.3749999999999999E-2</v>
      </c>
      <c r="AJ338" s="429">
        <f t="shared" ref="AJ338:AL338" si="1741">+AI338</f>
        <v>5.3749999999999999E-2</v>
      </c>
      <c r="AK338" s="429">
        <f t="shared" si="1741"/>
        <v>5.3749999999999999E-2</v>
      </c>
      <c r="AL338" s="429">
        <f t="shared" si="1741"/>
        <v>5.3749999999999999E-2</v>
      </c>
      <c r="AM338" s="2585">
        <f t="shared" ref="AM338" si="1742">+AL338</f>
        <v>5.3749999999999999E-2</v>
      </c>
      <c r="AN338" s="306">
        <f t="shared" ref="AN338:AO338" si="1743">+AM338</f>
        <v>5.3749999999999999E-2</v>
      </c>
      <c r="AO338" s="306">
        <f t="shared" si="1743"/>
        <v>5.3749999999999999E-2</v>
      </c>
      <c r="AP338" s="306">
        <f t="shared" ref="AP338" si="1744">+AO338</f>
        <v>5.3749999999999999E-2</v>
      </c>
      <c r="AQ338" s="306">
        <f t="shared" ref="AQ338" si="1745">+AP338</f>
        <v>5.3749999999999999E-2</v>
      </c>
      <c r="AR338" s="306">
        <f t="shared" ref="AR338" si="1746">+AQ338</f>
        <v>5.3749999999999999E-2</v>
      </c>
      <c r="AS338" s="306">
        <f t="shared" ref="AS338" si="1747">+AR338</f>
        <v>5.3749999999999999E-2</v>
      </c>
      <c r="AT338" s="306">
        <f t="shared" ref="AT338" si="1748">+AS338</f>
        <v>5.3749999999999999E-2</v>
      </c>
      <c r="AU338" s="306">
        <f t="shared" ref="AU338" si="1749">+AT338</f>
        <v>5.3749999999999999E-2</v>
      </c>
      <c r="AV338" s="306">
        <f t="shared" ref="AV338" si="1750">+AU338</f>
        <v>5.3749999999999999E-2</v>
      </c>
      <c r="AW338" s="306">
        <f t="shared" ref="AW338" si="1751">+AV338</f>
        <v>5.3749999999999999E-2</v>
      </c>
      <c r="AX338" s="306">
        <f t="shared" ref="AX338" si="1752">+AW338</f>
        <v>5.3749999999999999E-2</v>
      </c>
      <c r="AZ338" s="306">
        <v>5.3749999999999999E-2</v>
      </c>
      <c r="BD338" s="429"/>
      <c r="BE338" s="429"/>
      <c r="BF338" s="429"/>
      <c r="BG338" s="429">
        <v>5.3749999999999999E-2</v>
      </c>
      <c r="BH338" s="429">
        <v>5.3749999999999999E-2</v>
      </c>
      <c r="BI338" s="429">
        <v>5.3749999999999999E-2</v>
      </c>
      <c r="BJ338" s="429">
        <v>5.3749999999999999E-2</v>
      </c>
      <c r="BK338" s="429">
        <v>5.3749999999999999E-2</v>
      </c>
      <c r="BL338" s="429">
        <v>5.3749999999999999E-2</v>
      </c>
      <c r="BM338" s="2620">
        <v>5.3749999999999999E-2</v>
      </c>
      <c r="BN338" s="429">
        <v>5.3749999999999999E-2</v>
      </c>
      <c r="BO338" s="429">
        <v>5.3749999999999999E-2</v>
      </c>
      <c r="BP338" s="306">
        <f t="shared" ref="BP338" si="1753">+BO338</f>
        <v>5.3749999999999999E-2</v>
      </c>
      <c r="BQ338" s="306">
        <f t="shared" ref="BQ338" si="1754">+BP338</f>
        <v>5.3749999999999999E-2</v>
      </c>
      <c r="BR338" s="306">
        <f t="shared" ref="BR338" si="1755">+BQ338</f>
        <v>5.3749999999999999E-2</v>
      </c>
      <c r="BS338" s="306">
        <f t="shared" ref="BS338" si="1756">+BR338</f>
        <v>5.3749999999999999E-2</v>
      </c>
    </row>
    <row r="339" spans="1:71" hidden="1">
      <c r="B339" s="114"/>
      <c r="K339" s="192"/>
      <c r="L339" s="192"/>
      <c r="M339" s="192"/>
      <c r="N339" s="192"/>
      <c r="O339" s="192"/>
      <c r="P339" s="192"/>
      <c r="Q339" s="192"/>
      <c r="R339" s="69"/>
      <c r="T339" s="69"/>
      <c r="U339" s="306"/>
      <c r="V339" s="306"/>
      <c r="W339" s="306"/>
      <c r="X339" s="306"/>
      <c r="Y339" s="306"/>
      <c r="Z339" s="306"/>
      <c r="AA339" s="306"/>
      <c r="AB339" s="306"/>
      <c r="AC339" s="306"/>
      <c r="AD339" s="306"/>
      <c r="AE339" s="306"/>
      <c r="AF339" s="306"/>
      <c r="AG339" s="306"/>
      <c r="AH339" s="306"/>
      <c r="AI339" s="306"/>
      <c r="AJ339" s="306"/>
      <c r="AK339" s="306"/>
      <c r="AL339" s="306"/>
      <c r="AM339" s="2585"/>
      <c r="AN339" s="306"/>
      <c r="AO339" s="306"/>
      <c r="AP339" s="306"/>
      <c r="AQ339" s="306"/>
      <c r="AR339" s="306"/>
      <c r="AS339" s="306"/>
      <c r="AT339" s="306"/>
      <c r="AU339" s="306"/>
      <c r="AV339" s="306"/>
      <c r="AW339" s="306"/>
      <c r="AX339" s="306"/>
      <c r="AZ339" s="306"/>
      <c r="BD339" s="306"/>
      <c r="BE339" s="306"/>
      <c r="BF339" s="306"/>
      <c r="BG339" s="306"/>
      <c r="BH339" s="306"/>
      <c r="BI339" s="306"/>
      <c r="BJ339" s="306"/>
      <c r="BK339" s="306"/>
      <c r="BL339" s="306"/>
      <c r="BM339" s="2585"/>
      <c r="BN339" s="306"/>
      <c r="BO339" s="306"/>
      <c r="BP339" s="306"/>
      <c r="BQ339" s="306"/>
      <c r="BR339" s="306"/>
      <c r="BS339" s="306"/>
    </row>
    <row r="340" spans="1:71" hidden="1">
      <c r="B340" s="431" t="s">
        <v>620</v>
      </c>
      <c r="K340" s="192"/>
      <c r="L340" s="192"/>
      <c r="M340" s="192"/>
      <c r="N340" s="192"/>
      <c r="O340" s="192"/>
      <c r="P340" s="192"/>
      <c r="Q340" s="192"/>
      <c r="R340" s="432">
        <f>+(Debt!C18+Debt!C19+Debt!C21)/1000</f>
        <v>17.137</v>
      </c>
      <c r="S340" s="432">
        <f>+(Debt!D18+Debt!D19+Debt!D21)/1000</f>
        <v>207.04300000000001</v>
      </c>
      <c r="T340" s="432">
        <f>+(Debt!D18+Debt!D19+Debt!D21)/1000</f>
        <v>207.04300000000001</v>
      </c>
      <c r="U340" s="432">
        <f>+(Debt!E18+Debt!E19+Debt!E21)/1000</f>
        <v>284.55099999999999</v>
      </c>
      <c r="V340" s="432">
        <f>+(Debt!F18+Debt!F19+Debt!F21)/1000</f>
        <v>291.47000000000003</v>
      </c>
      <c r="W340" s="432">
        <f>+(Debt!G17-Debt!G20)/1000</f>
        <v>374.87299999999999</v>
      </c>
      <c r="X340" s="432">
        <f>+(Debt!H17-Debt!H20)/1000</f>
        <v>389.21100000000001</v>
      </c>
      <c r="Y340" s="432">
        <f>+(Debt!I17-Debt!I20)/1000</f>
        <v>401.71199999999999</v>
      </c>
      <c r="Z340" s="432">
        <f>+(Debt!J17-Debt!J20)/1000</f>
        <v>401.71199999999999</v>
      </c>
      <c r="AA340" s="432">
        <f t="shared" ref="AA340:AI340" si="1757">+Z340</f>
        <v>401.71199999999999</v>
      </c>
      <c r="AB340" s="432">
        <f t="shared" si="1757"/>
        <v>401.71199999999999</v>
      </c>
      <c r="AC340" s="432">
        <f t="shared" si="1757"/>
        <v>401.71199999999999</v>
      </c>
      <c r="AD340" s="432">
        <f t="shared" si="1757"/>
        <v>401.71199999999999</v>
      </c>
      <c r="AE340" s="432">
        <f t="shared" si="1757"/>
        <v>401.71199999999999</v>
      </c>
      <c r="AF340" s="432">
        <f t="shared" si="1757"/>
        <v>401.71199999999999</v>
      </c>
      <c r="AG340" s="432">
        <f t="shared" si="1757"/>
        <v>401.71199999999999</v>
      </c>
      <c r="AH340" s="432">
        <f t="shared" si="1757"/>
        <v>401.71199999999999</v>
      </c>
      <c r="AI340" s="432">
        <f t="shared" si="1757"/>
        <v>401.71199999999999</v>
      </c>
      <c r="AJ340" s="432" t="e">
        <f>+JUROS!#REF!</f>
        <v>#REF!</v>
      </c>
      <c r="AK340" s="432" t="e">
        <f>+JUROS!#REF!</f>
        <v>#REF!</v>
      </c>
      <c r="AL340" s="432" t="e">
        <f>+JUROS!#REF!</f>
        <v>#REF!</v>
      </c>
      <c r="AM340" s="2587" t="e">
        <f>+JUROS!#REF!</f>
        <v>#REF!</v>
      </c>
      <c r="AN340" s="697" t="e">
        <f>+JUROS!#REF!</f>
        <v>#REF!</v>
      </c>
      <c r="AO340" s="697" t="e">
        <f>+JUROS!#REF!</f>
        <v>#REF!</v>
      </c>
      <c r="AP340" s="697" t="e">
        <f>+JUROS!#REF!</f>
        <v>#REF!</v>
      </c>
      <c r="AQ340" s="697" t="e">
        <f>+JUROS!#REF!</f>
        <v>#REF!</v>
      </c>
      <c r="AR340" s="697" t="e">
        <f>+JUROS!#REF!</f>
        <v>#REF!</v>
      </c>
      <c r="AS340" s="697" t="e">
        <f>+JUROS!#REF!</f>
        <v>#REF!</v>
      </c>
      <c r="AT340" s="697" t="e">
        <f>+JUROS!#REF!</f>
        <v>#REF!</v>
      </c>
      <c r="AU340" s="697" t="e">
        <f>+JUROS!#REF!</f>
        <v>#REF!</v>
      </c>
      <c r="AV340" s="697" t="e">
        <f>+JUROS!#REF!</f>
        <v>#REF!</v>
      </c>
      <c r="AW340" s="697" t="e">
        <f>+JUROS!#REF!</f>
        <v>#REF!</v>
      </c>
      <c r="AX340" s="697" t="e">
        <f>+JUROS!#REF!</f>
        <v>#REF!</v>
      </c>
      <c r="AZ340" s="697" t="e">
        <v>#REF!</v>
      </c>
      <c r="BD340" s="266"/>
      <c r="BE340" s="266"/>
      <c r="BF340" s="266"/>
      <c r="BG340" s="266">
        <f>+R340</f>
        <v>17.137</v>
      </c>
      <c r="BH340" s="266">
        <f>+V340</f>
        <v>291.47000000000003</v>
      </c>
      <c r="BI340" s="266">
        <f>+Z340</f>
        <v>401.71199999999999</v>
      </c>
      <c r="BJ340" s="266">
        <f>+AD340</f>
        <v>401.71199999999999</v>
      </c>
      <c r="BK340" s="266">
        <f>+AE340</f>
        <v>401.71199999999999</v>
      </c>
      <c r="BL340" s="266" t="e">
        <f>+AL340</f>
        <v>#REF!</v>
      </c>
      <c r="BM340" s="2608" t="e">
        <f>+AP340</f>
        <v>#REF!</v>
      </c>
      <c r="BN340" s="266" t="e">
        <f>+AT340</f>
        <v>#REF!</v>
      </c>
      <c r="BO340" s="266" t="e">
        <f>+AX340</f>
        <v>#REF!</v>
      </c>
      <c r="BP340" s="697" t="e">
        <f>+JUROS!#REF!</f>
        <v>#REF!</v>
      </c>
      <c r="BQ340" s="697" t="e">
        <f>+JUROS!#REF!</f>
        <v>#REF!</v>
      </c>
      <c r="BR340" s="697" t="e">
        <f>+JUROS!#REF!</f>
        <v>#REF!</v>
      </c>
      <c r="BS340" s="697" t="e">
        <f>+JUROS!#REF!</f>
        <v>#REF!</v>
      </c>
    </row>
    <row r="341" spans="1:71" hidden="1">
      <c r="B341" s="114" t="s">
        <v>615</v>
      </c>
      <c r="K341" s="192"/>
      <c r="L341" s="192"/>
      <c r="M341" s="192"/>
      <c r="N341" s="192"/>
      <c r="O341" s="192"/>
      <c r="P341" s="192"/>
      <c r="Q341" s="192"/>
      <c r="R341" s="432" t="e">
        <f>+#REF!-R316-R322-R335</f>
        <v>#REF!</v>
      </c>
      <c r="S341" s="432" t="e">
        <f>+#REF!-S316-S322-S335</f>
        <v>#REF!</v>
      </c>
      <c r="T341" s="432" t="e">
        <f>+#REF!-T316-T322-T335</f>
        <v>#REF!</v>
      </c>
      <c r="U341" s="432" t="e">
        <f>+#REF!-U316-U322-U335</f>
        <v>#REF!</v>
      </c>
      <c r="V341" s="432" t="e">
        <f>+#REF!-V316-V322-V335</f>
        <v>#REF!</v>
      </c>
      <c r="W341" s="432" t="e">
        <f>+#REF!-W316-W322-W335-W329</f>
        <v>#REF!</v>
      </c>
      <c r="X341" s="432" t="e">
        <f>+#REF!-X316-X322-X335-X329</f>
        <v>#REF!</v>
      </c>
      <c r="Y341" s="432" t="e">
        <f>+#REF!-Y316-Y322-Y335-Y329</f>
        <v>#REF!</v>
      </c>
      <c r="Z341" s="432" t="e">
        <f>+#REF!-Z316-Z322-Z335-Z329</f>
        <v>#REF!</v>
      </c>
      <c r="AA341" s="432" t="e">
        <f>+#REF!-AA316-AA322-AA335-AA329</f>
        <v>#REF!</v>
      </c>
      <c r="AB341" s="432" t="e">
        <f>+#REF!-AB316-AB322-AB335-AB329</f>
        <v>#REF!</v>
      </c>
      <c r="AC341" s="432" t="e">
        <f>+#REF!-AC316-AC322-AC335-AC329</f>
        <v>#REF!</v>
      </c>
      <c r="AD341" s="432" t="e">
        <f>+#REF!-AD316-AD322-AD335-AD329</f>
        <v>#REF!</v>
      </c>
      <c r="AE341" s="432" t="e">
        <f>+#REF!-AE316-AE322-AE335-AE329</f>
        <v>#REF!</v>
      </c>
      <c r="AF341" s="432" t="e">
        <f>+#REF!-AF316-AF322-AF335-AF329</f>
        <v>#REF!</v>
      </c>
      <c r="AG341" s="432" t="e">
        <f>+#REF!-AG316-AG322-AG335-AG329</f>
        <v>#REF!</v>
      </c>
      <c r="AH341" s="432" t="e">
        <f>+#REF!-AH316-AH322-AH335-AH329</f>
        <v>#REF!</v>
      </c>
      <c r="AI341" s="432" t="e">
        <f>+#REF!-AI316-AI322-AI335-AI329</f>
        <v>#REF!</v>
      </c>
      <c r="AJ341" s="432" t="e">
        <f>+AJ343*MACRO!AJ$4</f>
        <v>#REF!</v>
      </c>
      <c r="AK341" s="432" t="e">
        <f>+AK343*MACRO!AK$4</f>
        <v>#REF!</v>
      </c>
      <c r="AL341" s="432" t="e">
        <f>+AL343*MACRO!AL$4</f>
        <v>#REF!</v>
      </c>
      <c r="AM341" s="2587" t="e">
        <f>+AM343*MACRO!AM$4</f>
        <v>#REF!</v>
      </c>
      <c r="AN341" s="697" t="e">
        <f>+AN343*MACRO!AN$4</f>
        <v>#REF!</v>
      </c>
      <c r="AO341" s="697" t="e">
        <f>+AO343*MACRO!AO$4</f>
        <v>#REF!</v>
      </c>
      <c r="AP341" s="697" t="e">
        <f>+AP343*MACRO!AP$4</f>
        <v>#REF!</v>
      </c>
      <c r="AQ341" s="697" t="e">
        <f>+AQ343*MACRO!AQ$4</f>
        <v>#REF!</v>
      </c>
      <c r="AR341" s="697" t="e">
        <f>+AR343*MACRO!AR$4</f>
        <v>#REF!</v>
      </c>
      <c r="AS341" s="697" t="e">
        <f>+AS343*MACRO!AS$4</f>
        <v>#REF!</v>
      </c>
      <c r="AT341" s="697" t="e">
        <f>+AT343*MACRO!AT$4</f>
        <v>#REF!</v>
      </c>
      <c r="AU341" s="697" t="e">
        <f>+AU343*MACRO!AU$4</f>
        <v>#REF!</v>
      </c>
      <c r="AV341" s="697" t="e">
        <f>+AV343*MACRO!AV$4</f>
        <v>#REF!</v>
      </c>
      <c r="AW341" s="697" t="e">
        <f>+AW343*MACRO!AW$4</f>
        <v>#REF!</v>
      </c>
      <c r="AX341" s="697" t="e">
        <f>+AX343*MACRO!AX$4</f>
        <v>#REF!</v>
      </c>
      <c r="AZ341" s="697" t="e">
        <v>#REF!</v>
      </c>
      <c r="BD341" s="432"/>
      <c r="BE341" s="432"/>
      <c r="BF341" s="305">
        <f>+SUM(K341:N341)</f>
        <v>0</v>
      </c>
      <c r="BG341" s="305" t="e">
        <f>+SUM(O341:R341)</f>
        <v>#REF!</v>
      </c>
      <c r="BH341" s="305" t="e">
        <f>+SUM(S341:V341)</f>
        <v>#REF!</v>
      </c>
      <c r="BI341" s="305" t="e">
        <f>+SUM(W341:Z341)</f>
        <v>#REF!</v>
      </c>
      <c r="BJ341" s="305" t="e">
        <f>+SUM(AA341:AD341)</f>
        <v>#REF!</v>
      </c>
      <c r="BK341" s="305" t="e">
        <f>+SUM(AE341:AH341)</f>
        <v>#REF!</v>
      </c>
      <c r="BL341" s="305" t="e">
        <f>+SUM(AI341:AL341)</f>
        <v>#REF!</v>
      </c>
      <c r="BM341" s="2619" t="e">
        <f>+SUM(AM341:AP341)</f>
        <v>#REF!</v>
      </c>
      <c r="BN341" s="305" t="e">
        <f>+SUM(AQ341:AT341)</f>
        <v>#REF!</v>
      </c>
      <c r="BO341" s="305" t="e">
        <f>+SUM(AU341:AX341)</f>
        <v>#REF!</v>
      </c>
      <c r="BP341" s="697" t="e">
        <f>+BP343*MACRO!BP$4</f>
        <v>#REF!</v>
      </c>
      <c r="BQ341" s="697" t="e">
        <f>+BQ343*MACRO!BQ$4</f>
        <v>#REF!</v>
      </c>
      <c r="BR341" s="697" t="e">
        <f>+BR343*MACRO!BR$4</f>
        <v>#REF!</v>
      </c>
      <c r="BS341" s="697" t="e">
        <f>+BS343*MACRO!BS$4</f>
        <v>#REF!</v>
      </c>
    </row>
    <row r="342" spans="1:71" hidden="1">
      <c r="B342" s="431" t="s">
        <v>621</v>
      </c>
      <c r="K342" s="192"/>
      <c r="L342" s="192"/>
      <c r="M342" s="192"/>
      <c r="N342" s="192"/>
      <c r="O342" s="192"/>
      <c r="P342" s="192"/>
      <c r="Q342" s="192"/>
      <c r="R342" s="432">
        <f>+R340/MACRO!R$4</f>
        <v>4.4151594785386719</v>
      </c>
      <c r="S342" s="432">
        <f>+S340/MACRO!S$4</f>
        <v>52.803621525121144</v>
      </c>
      <c r="T342" s="432">
        <f>+T340/MACRO!T$4</f>
        <v>53.78159337091202</v>
      </c>
      <c r="U342" s="432">
        <f>+U340/MACRO!U$4</f>
        <v>68.451046427712285</v>
      </c>
      <c r="V342" s="432">
        <f>+V340/MACRO!V$4</f>
        <v>72.449106410479487</v>
      </c>
      <c r="W342" s="432">
        <f>+W340/MACRO!W$4</f>
        <v>72.017559026376958</v>
      </c>
      <c r="X342" s="432">
        <f>+X340/MACRO!X$4</f>
        <v>71.207120510803335</v>
      </c>
      <c r="Y342" s="432">
        <f>+Y340/MACRO!Y$4</f>
        <v>71.606417112299454</v>
      </c>
      <c r="Z342" s="432">
        <f>+Z340/MACRO!Z$4</f>
        <v>77.348993934726096</v>
      </c>
      <c r="AA342" s="432">
        <f>+AA340/MACRO!AA$4</f>
        <v>71.29632258980547</v>
      </c>
      <c r="AB342" s="432">
        <f>+AB340/MACRO!AB$4</f>
        <v>80.843630509156768</v>
      </c>
      <c r="AC342" s="432">
        <f>+AC340/MACRO!AC$4</f>
        <v>73.803417233143492</v>
      </c>
      <c r="AD342" s="432">
        <f>+AD340/MACRO!AD$4</f>
        <v>71.385009062799867</v>
      </c>
      <c r="AE342" s="432">
        <f>+AE340/MACRO!AE$4</f>
        <v>84.729704077112899</v>
      </c>
      <c r="AF342" s="432">
        <f>+AF340/MACRO!AF$4</f>
        <v>76.430677904830759</v>
      </c>
      <c r="AG342" s="432">
        <f>+AG340/MACRO!AG$4</f>
        <v>74.178192226017913</v>
      </c>
      <c r="AH342" s="432">
        <f>+AH340/MACRO!AH$4</f>
        <v>75.995459704880815</v>
      </c>
      <c r="AI342" s="432">
        <f>+AI340/MACRO!AI$4</f>
        <v>79.327014218009481</v>
      </c>
      <c r="AJ342" s="432" t="e">
        <f>+AJ340/MACRO!AJ$4</f>
        <v>#REF!</v>
      </c>
      <c r="AK342" s="432" t="e">
        <f>+AK340/MACRO!AK$4</f>
        <v>#REF!</v>
      </c>
      <c r="AL342" s="432" t="e">
        <f>+AL340/MACRO!AL$4</f>
        <v>#REF!</v>
      </c>
      <c r="AM342" s="2591" t="e">
        <f>+AM340/MACRO!AM$4</f>
        <v>#REF!</v>
      </c>
      <c r="AN342" s="432" t="e">
        <f>+AN340/MACRO!AN$4</f>
        <v>#REF!</v>
      </c>
      <c r="AO342" s="432" t="e">
        <f>+AO340/MACRO!AO$4</f>
        <v>#REF!</v>
      </c>
      <c r="AP342" s="432" t="e">
        <f>+AP340/MACRO!AP$4</f>
        <v>#REF!</v>
      </c>
      <c r="AQ342" s="432" t="e">
        <f>+AQ340/MACRO!AQ$4</f>
        <v>#REF!</v>
      </c>
      <c r="AR342" s="432" t="e">
        <f>+AR340/MACRO!AR$4</f>
        <v>#REF!</v>
      </c>
      <c r="AS342" s="432" t="e">
        <f>+AS340/MACRO!AS$4</f>
        <v>#REF!</v>
      </c>
      <c r="AT342" s="432" t="e">
        <f>+AT340/MACRO!AT$4</f>
        <v>#REF!</v>
      </c>
      <c r="AU342" s="432" t="e">
        <f>+AU340/MACRO!AU$4</f>
        <v>#REF!</v>
      </c>
      <c r="AV342" s="432" t="e">
        <f>+AV340/MACRO!AV$4</f>
        <v>#REF!</v>
      </c>
      <c r="AW342" s="432" t="e">
        <f>+AW340/MACRO!AW$4</f>
        <v>#REF!</v>
      </c>
      <c r="AX342" s="432" t="e">
        <f>+AX340/MACRO!AX$4</f>
        <v>#REF!</v>
      </c>
      <c r="AZ342" s="432" t="e">
        <v>#REF!</v>
      </c>
      <c r="BD342" s="266"/>
      <c r="BE342" s="266"/>
      <c r="BF342" s="266"/>
      <c r="BG342" s="266">
        <f>+R342</f>
        <v>4.4151594785386719</v>
      </c>
      <c r="BH342" s="266">
        <f>+V342</f>
        <v>72.449106410479487</v>
      </c>
      <c r="BI342" s="266">
        <f>+Z342</f>
        <v>77.348993934726096</v>
      </c>
      <c r="BJ342" s="266">
        <f>+AD342</f>
        <v>71.385009062799867</v>
      </c>
      <c r="BK342" s="266">
        <f>+AE342</f>
        <v>84.729704077112899</v>
      </c>
      <c r="BL342" s="266" t="e">
        <f>+AL342</f>
        <v>#REF!</v>
      </c>
      <c r="BM342" s="2608" t="e">
        <f>+AP342</f>
        <v>#REF!</v>
      </c>
      <c r="BN342" s="266" t="e">
        <f>+AT342</f>
        <v>#REF!</v>
      </c>
      <c r="BO342" s="266" t="e">
        <f>+AX342</f>
        <v>#REF!</v>
      </c>
      <c r="BP342" s="432" t="e">
        <f>+BP340/MACRO!BP$4</f>
        <v>#REF!</v>
      </c>
      <c r="BQ342" s="432" t="e">
        <f>+BQ340/MACRO!BQ$4</f>
        <v>#REF!</v>
      </c>
      <c r="BR342" s="432" t="e">
        <f>+BR340/MACRO!BR$4</f>
        <v>#REF!</v>
      </c>
      <c r="BS342" s="432" t="e">
        <f>+BS340/MACRO!BS$4</f>
        <v>#REF!</v>
      </c>
    </row>
    <row r="343" spans="1:71" hidden="1">
      <c r="B343" s="114" t="s">
        <v>619</v>
      </c>
      <c r="K343" s="192"/>
      <c r="L343" s="192"/>
      <c r="M343" s="192"/>
      <c r="N343" s="192"/>
      <c r="O343" s="192"/>
      <c r="P343" s="192"/>
      <c r="Q343" s="192"/>
      <c r="R343" s="432" t="e">
        <f>+R341/MACRO!R$4</f>
        <v>#REF!</v>
      </c>
      <c r="S343" s="432" t="e">
        <f>+S341/MACRO!S$4</f>
        <v>#REF!</v>
      </c>
      <c r="T343" s="432" t="e">
        <f>+T341/MACRO!T$4</f>
        <v>#REF!</v>
      </c>
      <c r="U343" s="432" t="e">
        <f>+U341/MACRO!U$4</f>
        <v>#REF!</v>
      </c>
      <c r="V343" s="432" t="e">
        <f>+V341/MACRO!V$4</f>
        <v>#REF!</v>
      </c>
      <c r="W343" s="432" t="e">
        <f>+W341/MACRO!W$4</f>
        <v>#REF!</v>
      </c>
      <c r="X343" s="432" t="e">
        <f>+X341/MACRO!X$4</f>
        <v>#REF!</v>
      </c>
      <c r="Y343" s="432" t="e">
        <f>+Y341/MACRO!Y$4</f>
        <v>#REF!</v>
      </c>
      <c r="Z343" s="432" t="e">
        <f>+Z341/MACRO!Z$4</f>
        <v>#REF!</v>
      </c>
      <c r="AA343" s="432" t="e">
        <f>+AA341/MACRO!AA$4</f>
        <v>#REF!</v>
      </c>
      <c r="AB343" s="432" t="e">
        <f>+AB341/MACRO!AB$4</f>
        <v>#REF!</v>
      </c>
      <c r="AC343" s="432" t="e">
        <f>+AC341/MACRO!AC$4</f>
        <v>#REF!</v>
      </c>
      <c r="AD343" s="432" t="e">
        <f>+AD341/MACRO!AD$4</f>
        <v>#REF!</v>
      </c>
      <c r="AE343" s="432" t="e">
        <f>+AE341/MACRO!AE$4</f>
        <v>#REF!</v>
      </c>
      <c r="AF343" s="432" t="e">
        <f>+AF341/MACRO!AF$4</f>
        <v>#REF!</v>
      </c>
      <c r="AG343" s="432" t="e">
        <f>+AG341/MACRO!AG$4</f>
        <v>#REF!</v>
      </c>
      <c r="AH343" s="432" t="e">
        <f>+AH341/MACRO!AH$4</f>
        <v>#REF!</v>
      </c>
      <c r="AI343" s="432" t="e">
        <f>+AI341/MACRO!AI$4</f>
        <v>#REF!</v>
      </c>
      <c r="AJ343" s="432" t="e">
        <f t="shared" ref="AJ343" si="1758">+AJ344*AJ342</f>
        <v>#REF!</v>
      </c>
      <c r="AK343" s="432" t="e">
        <f t="shared" ref="AK343:AL343" si="1759">+AK344*AK342</f>
        <v>#REF!</v>
      </c>
      <c r="AL343" s="432" t="e">
        <f t="shared" si="1759"/>
        <v>#REF!</v>
      </c>
      <c r="AM343" s="2587" t="e">
        <f t="shared" ref="AM343:AP343" si="1760">+AM344*AM342</f>
        <v>#REF!</v>
      </c>
      <c r="AN343" s="697" t="e">
        <f t="shared" ref="AN343" si="1761">+AN344*AN342</f>
        <v>#REF!</v>
      </c>
      <c r="AO343" s="697" t="e">
        <f t="shared" si="1760"/>
        <v>#REF!</v>
      </c>
      <c r="AP343" s="697" t="e">
        <f t="shared" si="1760"/>
        <v>#REF!</v>
      </c>
      <c r="AQ343" s="697" t="e">
        <f t="shared" ref="AQ343:AT343" si="1762">+AQ344*AQ342</f>
        <v>#REF!</v>
      </c>
      <c r="AR343" s="697" t="e">
        <f t="shared" si="1762"/>
        <v>#REF!</v>
      </c>
      <c r="AS343" s="697" t="e">
        <f t="shared" si="1762"/>
        <v>#REF!</v>
      </c>
      <c r="AT343" s="697" t="e">
        <f t="shared" si="1762"/>
        <v>#REF!</v>
      </c>
      <c r="AU343" s="697" t="e">
        <f t="shared" ref="AU343:AX343" si="1763">+AU344*AU342</f>
        <v>#REF!</v>
      </c>
      <c r="AV343" s="697" t="e">
        <f t="shared" si="1763"/>
        <v>#REF!</v>
      </c>
      <c r="AW343" s="697" t="e">
        <f t="shared" si="1763"/>
        <v>#REF!</v>
      </c>
      <c r="AX343" s="697" t="e">
        <f t="shared" si="1763"/>
        <v>#REF!</v>
      </c>
      <c r="AZ343" s="697" t="e">
        <v>#REF!</v>
      </c>
      <c r="BD343" s="432"/>
      <c r="BE343" s="432"/>
      <c r="BF343" s="305">
        <f>+SUM(K343:N343)</f>
        <v>0</v>
      </c>
      <c r="BG343" s="305" t="e">
        <f>+SUM(O343:R343)</f>
        <v>#REF!</v>
      </c>
      <c r="BH343" s="305" t="e">
        <f>+SUM(S343:V343)</f>
        <v>#REF!</v>
      </c>
      <c r="BI343" s="305" t="e">
        <f>+SUM(W343:Z343)</f>
        <v>#REF!</v>
      </c>
      <c r="BJ343" s="305" t="e">
        <f>+SUM(AA343:AD343)</f>
        <v>#REF!</v>
      </c>
      <c r="BK343" s="305" t="e">
        <f>+SUM(AE343:AH343)</f>
        <v>#REF!</v>
      </c>
      <c r="BL343" s="305" t="e">
        <f>+SUM(AI343:AL343)</f>
        <v>#REF!</v>
      </c>
      <c r="BM343" s="2619" t="e">
        <f>+SUM(AM343:AP343)</f>
        <v>#REF!</v>
      </c>
      <c r="BN343" s="305" t="e">
        <f>+SUM(AQ343:AT343)</f>
        <v>#REF!</v>
      </c>
      <c r="BO343" s="305" t="e">
        <f>+SUM(AU343:AX343)</f>
        <v>#REF!</v>
      </c>
      <c r="BP343" s="697" t="e">
        <f t="shared" ref="BP343" si="1764">+BP344*BP342</f>
        <v>#REF!</v>
      </c>
      <c r="BQ343" s="697" t="e">
        <f t="shared" ref="BQ343:BS343" si="1765">+BQ344*BQ342</f>
        <v>#REF!</v>
      </c>
      <c r="BR343" s="697" t="e">
        <f t="shared" si="1765"/>
        <v>#REF!</v>
      </c>
      <c r="BS343" s="697" t="e">
        <f t="shared" si="1765"/>
        <v>#REF!</v>
      </c>
    </row>
    <row r="344" spans="1:71" hidden="1">
      <c r="B344" s="114" t="s">
        <v>612</v>
      </c>
      <c r="K344" s="192"/>
      <c r="L344" s="192"/>
      <c r="M344" s="192"/>
      <c r="N344" s="192"/>
      <c r="O344" s="192"/>
      <c r="P344" s="192"/>
      <c r="Q344" s="192"/>
      <c r="R344" s="435" t="e">
        <f t="shared" ref="R344:W344" si="1766">+R343/R342</f>
        <v>#REF!</v>
      </c>
      <c r="S344" s="435" t="e">
        <f t="shared" si="1766"/>
        <v>#REF!</v>
      </c>
      <c r="T344" s="435" t="e">
        <f t="shared" si="1766"/>
        <v>#REF!</v>
      </c>
      <c r="U344" s="435" t="e">
        <f t="shared" si="1766"/>
        <v>#REF!</v>
      </c>
      <c r="V344" s="435" t="e">
        <f t="shared" si="1766"/>
        <v>#REF!</v>
      </c>
      <c r="W344" s="435" t="e">
        <f t="shared" si="1766"/>
        <v>#REF!</v>
      </c>
      <c r="X344" s="435" t="e">
        <f t="shared" ref="X344:Y344" si="1767">+X343/X342</f>
        <v>#REF!</v>
      </c>
      <c r="Y344" s="435" t="e">
        <f t="shared" si="1767"/>
        <v>#REF!</v>
      </c>
      <c r="Z344" s="435" t="e">
        <f t="shared" ref="Z344:AA344" si="1768">+Z343/Z342</f>
        <v>#REF!</v>
      </c>
      <c r="AA344" s="435" t="e">
        <f t="shared" si="1768"/>
        <v>#REF!</v>
      </c>
      <c r="AB344" s="435" t="e">
        <f t="shared" ref="AB344:AC344" si="1769">+AB343/AB342</f>
        <v>#REF!</v>
      </c>
      <c r="AC344" s="435" t="e">
        <f t="shared" si="1769"/>
        <v>#REF!</v>
      </c>
      <c r="AD344" s="435" t="e">
        <f t="shared" ref="AD344:AE344" si="1770">+AD343/AD342</f>
        <v>#REF!</v>
      </c>
      <c r="AE344" s="435" t="e">
        <f t="shared" si="1770"/>
        <v>#REF!</v>
      </c>
      <c r="AF344" s="435" t="e">
        <f t="shared" ref="AF344:AG344" si="1771">+AF343/AF342</f>
        <v>#REF!</v>
      </c>
      <c r="AG344" s="435" t="e">
        <f t="shared" si="1771"/>
        <v>#REF!</v>
      </c>
      <c r="AH344" s="435" t="e">
        <f t="shared" ref="AH344:AI344" si="1772">+AH343/AH342</f>
        <v>#REF!</v>
      </c>
      <c r="AI344" s="435" t="e">
        <f t="shared" si="1772"/>
        <v>#REF!</v>
      </c>
      <c r="AJ344" s="435" t="e">
        <f t="shared" ref="AJ344:AL344" si="1773">+AVERAGE(AF344:AI344)</f>
        <v>#REF!</v>
      </c>
      <c r="AK344" s="435" t="e">
        <f t="shared" si="1773"/>
        <v>#REF!</v>
      </c>
      <c r="AL344" s="435" t="e">
        <f t="shared" si="1773"/>
        <v>#REF!</v>
      </c>
      <c r="AM344" s="2592" t="e">
        <f t="shared" ref="AM344" si="1774">+AVERAGE(AI344:AL344)</f>
        <v>#REF!</v>
      </c>
      <c r="AN344" s="436" t="e">
        <f t="shared" ref="AN344:AO344" si="1775">+AVERAGE(AJ344:AM344)</f>
        <v>#REF!</v>
      </c>
      <c r="AO344" s="436" t="e">
        <f t="shared" si="1775"/>
        <v>#REF!</v>
      </c>
      <c r="AP344" s="436" t="e">
        <f t="shared" ref="AP344" si="1776">+AVERAGE(AL344:AO344)</f>
        <v>#REF!</v>
      </c>
      <c r="AQ344" s="436" t="e">
        <f t="shared" ref="AQ344" si="1777">+AVERAGE(AM344:AP344)</f>
        <v>#REF!</v>
      </c>
      <c r="AR344" s="436" t="e">
        <f t="shared" ref="AR344" si="1778">+AVERAGE(AN344:AQ344)</f>
        <v>#REF!</v>
      </c>
      <c r="AS344" s="436" t="e">
        <f t="shared" ref="AS344" si="1779">+AVERAGE(AO344:AR344)</f>
        <v>#REF!</v>
      </c>
      <c r="AT344" s="436" t="e">
        <f t="shared" ref="AT344" si="1780">+AVERAGE(AP344:AS344)</f>
        <v>#REF!</v>
      </c>
      <c r="AU344" s="436" t="e">
        <f t="shared" ref="AU344" si="1781">+AVERAGE(AQ344:AT344)</f>
        <v>#REF!</v>
      </c>
      <c r="AV344" s="436" t="e">
        <f t="shared" ref="AV344" si="1782">+AVERAGE(AR344:AU344)</f>
        <v>#REF!</v>
      </c>
      <c r="AW344" s="436" t="e">
        <f t="shared" ref="AW344" si="1783">+AVERAGE(AS344:AV344)</f>
        <v>#REF!</v>
      </c>
      <c r="AX344" s="436" t="e">
        <f t="shared" ref="AX344" si="1784">+AVERAGE(AT344:AW344)</f>
        <v>#REF!</v>
      </c>
      <c r="AZ344" s="436" t="e">
        <v>#REF!</v>
      </c>
      <c r="BD344" s="435"/>
      <c r="BE344" s="435"/>
      <c r="BF344" s="435"/>
      <c r="BG344" s="435" t="e">
        <f t="shared" ref="BG344:BJ344" si="1785">+BG343/BG342</f>
        <v>#REF!</v>
      </c>
      <c r="BH344" s="435" t="e">
        <f t="shared" si="1785"/>
        <v>#REF!</v>
      </c>
      <c r="BI344" s="435" t="e">
        <f t="shared" si="1785"/>
        <v>#REF!</v>
      </c>
      <c r="BJ344" s="435" t="e">
        <f t="shared" si="1785"/>
        <v>#REF!</v>
      </c>
      <c r="BK344" s="435" t="e">
        <f t="shared" ref="BK344:BL344" si="1786">+BK343/BK342</f>
        <v>#REF!</v>
      </c>
      <c r="BL344" s="435" t="e">
        <f t="shared" si="1786"/>
        <v>#REF!</v>
      </c>
      <c r="BM344" s="2506" t="e">
        <f t="shared" ref="BM344:BN344" si="1787">+BM343/BM342</f>
        <v>#REF!</v>
      </c>
      <c r="BN344" s="435" t="e">
        <f t="shared" si="1787"/>
        <v>#REF!</v>
      </c>
      <c r="BO344" s="435" t="e">
        <f t="shared" ref="BO344" si="1788">+BO343/BO342</f>
        <v>#REF!</v>
      </c>
      <c r="BP344" s="436" t="e">
        <f t="shared" ref="BP344" si="1789">+AVERAGE(BL344:BO344)</f>
        <v>#REF!</v>
      </c>
      <c r="BQ344" s="436" t="e">
        <f t="shared" ref="BQ344" si="1790">+AVERAGE(BM344:BP344)</f>
        <v>#REF!</v>
      </c>
      <c r="BR344" s="436" t="e">
        <f t="shared" ref="BR344" si="1791">+AVERAGE(BN344:BQ344)</f>
        <v>#REF!</v>
      </c>
      <c r="BS344" s="436" t="e">
        <f t="shared" ref="BS344" si="1792">+AVERAGE(BO344:BR344)</f>
        <v>#REF!</v>
      </c>
    </row>
    <row r="345" spans="1:71" hidden="1">
      <c r="B345" s="114"/>
      <c r="K345" s="192"/>
      <c r="L345" s="192"/>
      <c r="M345" s="192"/>
      <c r="N345" s="192"/>
      <c r="O345" s="192"/>
      <c r="P345" s="192"/>
      <c r="Q345" s="192"/>
      <c r="R345" s="435"/>
      <c r="S345" s="435"/>
      <c r="T345" s="435"/>
      <c r="U345" s="435"/>
      <c r="V345" s="435"/>
      <c r="W345" s="436"/>
      <c r="X345" s="436"/>
      <c r="Y345" s="436"/>
      <c r="Z345" s="436"/>
      <c r="AA345" s="436"/>
      <c r="AB345" s="436"/>
      <c r="AC345" s="436"/>
      <c r="AD345" s="436"/>
      <c r="AE345" s="436"/>
      <c r="AF345" s="436"/>
      <c r="AG345" s="436"/>
      <c r="AH345" s="436"/>
      <c r="AI345" s="436"/>
      <c r="AJ345" s="436"/>
      <c r="AK345" s="436"/>
      <c r="AL345" s="436"/>
      <c r="AM345" s="2592"/>
      <c r="AN345" s="436"/>
      <c r="AO345" s="436"/>
      <c r="AP345" s="436"/>
      <c r="AQ345" s="436"/>
      <c r="AR345" s="436"/>
      <c r="AS345" s="436"/>
      <c r="AT345" s="436"/>
      <c r="AU345" s="436"/>
      <c r="AV345" s="436"/>
      <c r="AW345" s="436"/>
      <c r="AX345" s="436"/>
      <c r="AZ345" s="436"/>
      <c r="BD345" s="436"/>
      <c r="BE345" s="436"/>
      <c r="BF345" s="436"/>
      <c r="BG345" s="436"/>
      <c r="BH345" s="436"/>
      <c r="BI345" s="436"/>
      <c r="BJ345" s="436"/>
      <c r="BK345" s="436"/>
      <c r="BL345" s="436"/>
      <c r="BM345" s="2592"/>
      <c r="BN345" s="436"/>
      <c r="BO345" s="436"/>
      <c r="BP345" s="436"/>
      <c r="BQ345" s="436"/>
      <c r="BR345" s="436"/>
      <c r="BS345" s="436"/>
    </row>
    <row r="346" spans="1:71" hidden="1">
      <c r="B346" s="114"/>
      <c r="K346" s="192"/>
      <c r="L346" s="192"/>
      <c r="M346" s="192"/>
      <c r="N346" s="192"/>
      <c r="O346" s="192"/>
      <c r="P346" s="192"/>
      <c r="Q346" s="192"/>
      <c r="R346" s="69"/>
      <c r="T346" s="69"/>
      <c r="U346" s="306"/>
      <c r="V346" s="306"/>
      <c r="W346" s="306"/>
      <c r="X346" s="306"/>
      <c r="Y346" s="306"/>
      <c r="Z346" s="306"/>
      <c r="AA346" s="306"/>
      <c r="AB346" s="306"/>
      <c r="AC346" s="306"/>
      <c r="AD346" s="306"/>
      <c r="AE346" s="306"/>
      <c r="AF346" s="306"/>
      <c r="AG346" s="306"/>
      <c r="AH346" s="306"/>
      <c r="AI346" s="306"/>
      <c r="AJ346" s="306"/>
      <c r="AK346" s="306"/>
      <c r="AL346" s="306"/>
      <c r="AM346" s="2585"/>
      <c r="AN346" s="306"/>
      <c r="AO346" s="306"/>
      <c r="AP346" s="306"/>
      <c r="AQ346" s="306"/>
      <c r="AR346" s="306"/>
      <c r="AS346" s="306"/>
      <c r="AT346" s="306"/>
      <c r="AU346" s="306"/>
      <c r="AV346" s="306"/>
      <c r="AW346" s="306"/>
      <c r="AX346" s="306"/>
      <c r="AZ346" s="306"/>
      <c r="BD346" s="306"/>
      <c r="BE346" s="306"/>
      <c r="BF346" s="306"/>
      <c r="BG346" s="306"/>
      <c r="BH346" s="306"/>
      <c r="BI346" s="306"/>
      <c r="BJ346" s="306"/>
      <c r="BK346" s="306"/>
      <c r="BL346" s="306"/>
      <c r="BM346" s="2585"/>
      <c r="BN346" s="306"/>
      <c r="BO346" s="306"/>
      <c r="BP346" s="306"/>
      <c r="BQ346" s="306"/>
      <c r="BR346" s="306"/>
      <c r="BS346" s="306"/>
    </row>
    <row r="347" spans="1:71" s="1008" customFormat="1" hidden="1">
      <c r="A347" s="1006"/>
      <c r="B347" s="1007" t="s">
        <v>622</v>
      </c>
      <c r="R347" s="1009" t="e">
        <f t="shared" ref="R347:V347" si="1793">+R341+R335+R322+R316</f>
        <v>#REF!</v>
      </c>
      <c r="S347" s="1009" t="e">
        <f t="shared" si="1793"/>
        <v>#REF!</v>
      </c>
      <c r="T347" s="1009" t="e">
        <f t="shared" si="1793"/>
        <v>#REF!</v>
      </c>
      <c r="U347" s="1009" t="e">
        <f t="shared" si="1793"/>
        <v>#REF!</v>
      </c>
      <c r="V347" s="1009" t="e">
        <f t="shared" si="1793"/>
        <v>#REF!</v>
      </c>
      <c r="W347" s="1009" t="e">
        <f t="shared" ref="W347:X347" si="1794">+W341+W335+W322+W316+W329</f>
        <v>#REF!</v>
      </c>
      <c r="X347" s="1009" t="e">
        <f t="shared" si="1794"/>
        <v>#REF!</v>
      </c>
      <c r="Y347" s="1009" t="e">
        <f t="shared" ref="Y347:Z347" si="1795">+Y341+Y335+Y322+Y316+Y329</f>
        <v>#REF!</v>
      </c>
      <c r="Z347" s="1009" t="e">
        <f t="shared" si="1795"/>
        <v>#REF!</v>
      </c>
      <c r="AA347" s="1009" t="e">
        <f t="shared" ref="AA347:AB347" si="1796">+AA341+AA335+AA322+AA316+AA329</f>
        <v>#REF!</v>
      </c>
      <c r="AB347" s="1009" t="e">
        <f t="shared" si="1796"/>
        <v>#REF!</v>
      </c>
      <c r="AC347" s="1009" t="e">
        <f t="shared" ref="AC347:AD347" si="1797">+AC341+AC335+AC322+AC316+AC329</f>
        <v>#REF!</v>
      </c>
      <c r="AD347" s="1009" t="e">
        <f t="shared" si="1797"/>
        <v>#REF!</v>
      </c>
      <c r="AE347" s="1009" t="e">
        <f t="shared" ref="AE347:AF347" si="1798">+AE341+AE335+AE322+AE316+AE329</f>
        <v>#REF!</v>
      </c>
      <c r="AF347" s="1009" t="e">
        <f t="shared" si="1798"/>
        <v>#REF!</v>
      </c>
      <c r="AG347" s="1009" t="e">
        <f t="shared" ref="AG347:AH347" si="1799">+AG341+AG335+AG322+AG316+AG329</f>
        <v>#REF!</v>
      </c>
      <c r="AH347" s="1009" t="e">
        <f t="shared" si="1799"/>
        <v>#REF!</v>
      </c>
      <c r="AI347" s="1009" t="e">
        <f t="shared" ref="AI347" si="1800">+AI341+AI335+AI322+AI316+AI329</f>
        <v>#REF!</v>
      </c>
      <c r="AJ347" s="1009" t="e">
        <f t="shared" ref="AJ347" si="1801">+AJ341+AJ335+AJ322+AJ316+AJ329</f>
        <v>#REF!</v>
      </c>
      <c r="AK347" s="1009" t="e">
        <f t="shared" ref="AK347:AL347" si="1802">+AK341+AK335+AK322+AK316+AK329</f>
        <v>#REF!</v>
      </c>
      <c r="AL347" s="1009" t="e">
        <f t="shared" si="1802"/>
        <v>#REF!</v>
      </c>
      <c r="AM347" s="2593" t="e">
        <f t="shared" ref="AM347:AP347" si="1803">+AM341+AM335+AM322+AM316+AM329</f>
        <v>#REF!</v>
      </c>
      <c r="AN347" s="1009" t="e">
        <f t="shared" ref="AN347" si="1804">+AN341+AN335+AN322+AN316+AN329</f>
        <v>#REF!</v>
      </c>
      <c r="AO347" s="1009" t="e">
        <f t="shared" si="1803"/>
        <v>#REF!</v>
      </c>
      <c r="AP347" s="1009" t="e">
        <f t="shared" si="1803"/>
        <v>#REF!</v>
      </c>
      <c r="AQ347" s="1009" t="e">
        <f t="shared" ref="AQ347:AT347" si="1805">+AQ341+AQ335+AQ322+AQ316+AQ329</f>
        <v>#REF!</v>
      </c>
      <c r="AR347" s="1009" t="e">
        <f t="shared" si="1805"/>
        <v>#REF!</v>
      </c>
      <c r="AS347" s="1009" t="e">
        <f t="shared" si="1805"/>
        <v>#REF!</v>
      </c>
      <c r="AT347" s="1009" t="e">
        <f t="shared" si="1805"/>
        <v>#REF!</v>
      </c>
      <c r="AU347" s="1009" t="e">
        <f t="shared" ref="AU347:AX347" si="1806">+AU341+AU335+AU322+AU316+AU329</f>
        <v>#REF!</v>
      </c>
      <c r="AV347" s="1009" t="e">
        <f t="shared" si="1806"/>
        <v>#REF!</v>
      </c>
      <c r="AW347" s="1009" t="e">
        <f t="shared" si="1806"/>
        <v>#REF!</v>
      </c>
      <c r="AX347" s="1009" t="e">
        <f t="shared" si="1806"/>
        <v>#REF!</v>
      </c>
      <c r="AZ347" s="1009" t="e">
        <v>#REF!</v>
      </c>
      <c r="BA347" s="1085"/>
      <c r="BD347" s="1009">
        <f t="shared" ref="BD347:BJ347" si="1807">+BD341+BD335+BD322+BD316+BD329</f>
        <v>0</v>
      </c>
      <c r="BE347" s="1009">
        <f t="shared" si="1807"/>
        <v>0</v>
      </c>
      <c r="BF347" s="1009">
        <f t="shared" si="1807"/>
        <v>0</v>
      </c>
      <c r="BG347" s="1009" t="e">
        <f t="shared" si="1807"/>
        <v>#REF!</v>
      </c>
      <c r="BH347" s="1009" t="e">
        <f t="shared" si="1807"/>
        <v>#REF!</v>
      </c>
      <c r="BI347" s="1009" t="e">
        <f t="shared" si="1807"/>
        <v>#REF!</v>
      </c>
      <c r="BJ347" s="1009" t="e">
        <f t="shared" si="1807"/>
        <v>#REF!</v>
      </c>
      <c r="BK347" s="1009" t="e">
        <f t="shared" ref="BK347:BL347" si="1808">+BK341+BK335+BK322+BK316+BK329</f>
        <v>#REF!</v>
      </c>
      <c r="BL347" s="1009" t="e">
        <f t="shared" si="1808"/>
        <v>#REF!</v>
      </c>
      <c r="BM347" s="2593" t="e">
        <f t="shared" ref="BM347:BN347" si="1809">+BM341+BM335+BM322+BM316+BM329</f>
        <v>#REF!</v>
      </c>
      <c r="BN347" s="1009" t="e">
        <f t="shared" si="1809"/>
        <v>#REF!</v>
      </c>
      <c r="BO347" s="1009" t="e">
        <f t="shared" ref="BO347" si="1810">+BO341+BO335+BO322+BO316+BO329</f>
        <v>#REF!</v>
      </c>
      <c r="BP347" s="1009" t="e">
        <f t="shared" ref="BP347" si="1811">+BP341+BP335+BP322+BP316+BP329</f>
        <v>#REF!</v>
      </c>
      <c r="BQ347" s="1009" t="e">
        <f t="shared" ref="BQ347:BS347" si="1812">+BQ341+BQ335+BQ322+BQ316+BQ329</f>
        <v>#REF!</v>
      </c>
      <c r="BR347" s="1009" t="e">
        <f t="shared" si="1812"/>
        <v>#REF!</v>
      </c>
      <c r="BS347" s="1009" t="e">
        <f t="shared" si="1812"/>
        <v>#REF!</v>
      </c>
    </row>
    <row r="348" spans="1:71" s="70" customFormat="1">
      <c r="B348" s="2289" t="s">
        <v>623</v>
      </c>
      <c r="U348" s="2283"/>
      <c r="V348" s="2283"/>
      <c r="W348" s="2283"/>
      <c r="X348" s="2283"/>
      <c r="Y348" s="2283"/>
      <c r="Z348" s="2283"/>
      <c r="AA348" s="2283"/>
      <c r="AB348" s="2283"/>
      <c r="AC348" s="2283"/>
      <c r="AD348" s="2283"/>
      <c r="AE348" s="2283"/>
      <c r="AF348" s="2283"/>
      <c r="AG348" s="2283"/>
      <c r="AH348" s="2283"/>
      <c r="AI348" s="2283"/>
      <c r="AJ348" s="2283"/>
      <c r="AK348" s="2283"/>
      <c r="AL348" s="1253">
        <v>1962.1880000000001</v>
      </c>
      <c r="AM348" s="2594">
        <v>1901.1010000000001</v>
      </c>
      <c r="AN348" s="1253">
        <v>1076.3699999999999</v>
      </c>
      <c r="AO348" s="1253">
        <v>2422.6709999999998</v>
      </c>
      <c r="AP348" s="2283">
        <f>+AO348</f>
        <v>2422.6709999999998</v>
      </c>
      <c r="AQ348" s="2283">
        <f t="shared" ref="AQ348:AT348" si="1813">+AP348</f>
        <v>2422.6709999999998</v>
      </c>
      <c r="AR348" s="2283">
        <f t="shared" si="1813"/>
        <v>2422.6709999999998</v>
      </c>
      <c r="AS348" s="1253">
        <v>2460.5210000000002</v>
      </c>
      <c r="AT348" s="2283">
        <f t="shared" si="1813"/>
        <v>2460.5210000000002</v>
      </c>
      <c r="AU348" s="2283">
        <f t="shared" ref="AU348" si="1814">+AT348</f>
        <v>2460.5210000000002</v>
      </c>
      <c r="AV348" s="2283">
        <f t="shared" ref="AV348" si="1815">+AU348</f>
        <v>2460.5210000000002</v>
      </c>
      <c r="AW348" s="2283">
        <f t="shared" ref="AW348" si="1816">+AV348</f>
        <v>2460.5210000000002</v>
      </c>
      <c r="AX348" s="2283">
        <f t="shared" ref="AX348" si="1817">+AW348</f>
        <v>2460.5210000000002</v>
      </c>
      <c r="AZ348" s="2283">
        <v>2460.5210000000002</v>
      </c>
      <c r="BA348" s="1084"/>
      <c r="BM348" s="2608">
        <f t="shared" ref="BM348" si="1818">+AP348</f>
        <v>2422.6709999999998</v>
      </c>
      <c r="BN348" s="266">
        <f t="shared" ref="BN348" si="1819">+AT348</f>
        <v>2460.5210000000002</v>
      </c>
      <c r="BO348" s="266">
        <f>+AX348</f>
        <v>2460.5210000000002</v>
      </c>
      <c r="BP348" s="2283">
        <f t="shared" ref="BP348:BS348" si="1820">+BO348</f>
        <v>2460.5210000000002</v>
      </c>
      <c r="BQ348" s="2283">
        <f>+BP348+2500</f>
        <v>4960.5210000000006</v>
      </c>
      <c r="BR348" s="2283">
        <f t="shared" si="1820"/>
        <v>4960.5210000000006</v>
      </c>
      <c r="BS348" s="2283">
        <f t="shared" si="1820"/>
        <v>4960.5210000000006</v>
      </c>
    </row>
    <row r="349" spans="1:71">
      <c r="B349" s="115" t="s">
        <v>624</v>
      </c>
      <c r="K349" s="192"/>
      <c r="L349" s="192"/>
      <c r="M349" s="192"/>
      <c r="N349" s="192"/>
      <c r="O349" s="192"/>
      <c r="P349" s="192"/>
      <c r="Q349" s="192"/>
      <c r="R349" s="192"/>
      <c r="S349" s="192"/>
      <c r="T349" s="192"/>
      <c r="U349" s="306"/>
      <c r="V349" s="306"/>
      <c r="W349" s="306"/>
      <c r="X349" s="306"/>
      <c r="Y349" s="306"/>
      <c r="Z349" s="306"/>
      <c r="AA349" s="306"/>
      <c r="AB349" s="306"/>
      <c r="AC349" s="306"/>
      <c r="AD349" s="306"/>
      <c r="AE349" s="306"/>
      <c r="AF349" s="306"/>
      <c r="AG349" s="306"/>
      <c r="AH349" s="306"/>
      <c r="AI349" s="306"/>
      <c r="AJ349" s="306"/>
      <c r="AK349" s="306"/>
      <c r="AL349" s="2286">
        <f t="shared" ref="AL349:AT349" si="1821">+AL309+(1.5%/4)</f>
        <v>3.3244284160460852E-2</v>
      </c>
      <c r="AM349" s="2595">
        <f t="shared" si="1821"/>
        <v>3.0991497638393452E-2</v>
      </c>
      <c r="AN349" s="2286">
        <f t="shared" si="1821"/>
        <v>2.9257360290891512E-2</v>
      </c>
      <c r="AO349" s="2286">
        <f t="shared" si="1821"/>
        <v>2.9095057941852822E-2</v>
      </c>
      <c r="AP349" s="2286">
        <f t="shared" si="1821"/>
        <v>3.08069411275976E-2</v>
      </c>
      <c r="AQ349" s="2286">
        <f t="shared" si="1821"/>
        <v>3.610401804962779E-2</v>
      </c>
      <c r="AR349" s="2286">
        <f t="shared" si="1821"/>
        <v>3.8744813649531057E-2</v>
      </c>
      <c r="AS349" s="2286">
        <f t="shared" si="1821"/>
        <v>3.9308076341622117E-2</v>
      </c>
      <c r="AT349" s="2286">
        <f t="shared" si="1821"/>
        <v>3.9308076341622117E-2</v>
      </c>
      <c r="AU349" s="2286">
        <f t="shared" ref="AU349:AX349" si="1822">+AU309+(1.5%/4)</f>
        <v>3.8744813649531057E-2</v>
      </c>
      <c r="AV349" s="2286">
        <f t="shared" si="1822"/>
        <v>3.648251637831032E-2</v>
      </c>
      <c r="AW349" s="2286">
        <f t="shared" si="1822"/>
        <v>3.4775984771220431E-2</v>
      </c>
      <c r="AX349" s="2286">
        <f t="shared" si="1822"/>
        <v>3.3633571953558844E-2</v>
      </c>
      <c r="AZ349" s="306">
        <v>3.9308076341622117E-2</v>
      </c>
      <c r="BD349" s="192"/>
      <c r="BE349" s="192"/>
      <c r="BF349" s="192"/>
      <c r="BG349" s="192"/>
      <c r="BH349" s="192"/>
      <c r="BI349" s="192"/>
      <c r="BJ349" s="192"/>
      <c r="BK349" s="192"/>
      <c r="BL349" s="192"/>
      <c r="BM349" s="104">
        <f>+BM350/BM348</f>
        <v>9.7220195410659918E-2</v>
      </c>
      <c r="BN349" s="2288">
        <f>+BN350/BN348</f>
        <v>0.15231359072235581</v>
      </c>
      <c r="BO349" s="2288">
        <f>+BO350/BO348</f>
        <v>0.14363688675262062</v>
      </c>
      <c r="BP349" s="2286">
        <f>+BP309+(1.5%)</f>
        <v>0.13</v>
      </c>
      <c r="BQ349" s="2286">
        <f>+BQ309+(1.5%)</f>
        <v>0.125</v>
      </c>
      <c r="BR349" s="2286">
        <f>+BR309+(1.5%)</f>
        <v>0.115</v>
      </c>
      <c r="BS349" s="2286">
        <f>+BS309+(1.5%)</f>
        <v>0.105</v>
      </c>
    </row>
    <row r="350" spans="1:71">
      <c r="B350" s="115" t="s">
        <v>625</v>
      </c>
      <c r="K350" s="192"/>
      <c r="L350" s="192"/>
      <c r="M350" s="192"/>
      <c r="N350" s="192"/>
      <c r="O350" s="192"/>
      <c r="P350" s="192"/>
      <c r="Q350" s="192"/>
      <c r="R350" s="192"/>
      <c r="S350" s="192"/>
      <c r="T350" s="192"/>
      <c r="U350" s="306"/>
      <c r="V350" s="306"/>
      <c r="W350" s="306"/>
      <c r="X350" s="306"/>
      <c r="Y350" s="306"/>
      <c r="Z350" s="306"/>
      <c r="AA350" s="306"/>
      <c r="AB350" s="306"/>
      <c r="AC350" s="306"/>
      <c r="AD350" s="306"/>
      <c r="AE350" s="306"/>
      <c r="AF350" s="306"/>
      <c r="AG350" s="306"/>
      <c r="AH350" s="306"/>
      <c r="AI350" s="306"/>
      <c r="AJ350" s="306"/>
      <c r="AK350" s="306"/>
      <c r="AL350" s="136">
        <f>+AL349*AL348</f>
        <v>65.231535448246362</v>
      </c>
      <c r="AM350" s="2596">
        <f>+AM349*AM348</f>
        <v>58.917967151847435</v>
      </c>
      <c r="AN350" s="136">
        <f>+AN349*AN348</f>
        <v>31.491744896306894</v>
      </c>
      <c r="AO350" s="136">
        <f>+AO349*AO348</f>
        <v>70.487753119046516</v>
      </c>
      <c r="AP350" s="683">
        <f t="shared" ref="AP350:AT350" si="1823">+AP349*AP348</f>
        <v>74.635082868538007</v>
      </c>
      <c r="AQ350" s="683">
        <f t="shared" si="1823"/>
        <v>87.468157512309801</v>
      </c>
      <c r="AR350" s="683">
        <f t="shared" si="1823"/>
        <v>93.865936429123053</v>
      </c>
      <c r="AS350" s="683">
        <f t="shared" si="1823"/>
        <v>96.718347308164397</v>
      </c>
      <c r="AT350" s="683">
        <f t="shared" si="1823"/>
        <v>96.718347308164397</v>
      </c>
      <c r="AU350" s="683">
        <f t="shared" ref="AU350:AX350" si="1824">+AU349*AU348</f>
        <v>95.332427625757816</v>
      </c>
      <c r="AV350" s="683">
        <f t="shared" si="1824"/>
        <v>89.765997681676495</v>
      </c>
      <c r="AW350" s="683">
        <f t="shared" si="1824"/>
        <v>85.567040825268066</v>
      </c>
      <c r="AX350" s="683">
        <f t="shared" si="1824"/>
        <v>82.75611009674256</v>
      </c>
      <c r="AZ350" s="306">
        <v>96.718347308164397</v>
      </c>
      <c r="BD350" s="192"/>
      <c r="BE350" s="192"/>
      <c r="BF350" s="192"/>
      <c r="BG350" s="192"/>
      <c r="BH350" s="192"/>
      <c r="BI350" s="192"/>
      <c r="BJ350" s="192"/>
      <c r="BK350" s="192"/>
      <c r="BL350" s="192"/>
      <c r="BM350" s="2619">
        <f t="shared" ref="BM350" si="1825">+SUM(AM350:AP350)</f>
        <v>235.53254803573884</v>
      </c>
      <c r="BN350" s="305">
        <f t="shared" ref="BN350" si="1826">+SUM(AQ350:AT350)</f>
        <v>374.77078855776165</v>
      </c>
      <c r="BO350" s="305">
        <f>+SUM(AU350:AX350)</f>
        <v>353.4215762294449</v>
      </c>
      <c r="BP350" s="683">
        <f t="shared" ref="BP350" si="1827">+BP349*BP348</f>
        <v>319.86773000000005</v>
      </c>
      <c r="BQ350" s="683">
        <f t="shared" ref="BQ350" si="1828">+BQ349*BQ348</f>
        <v>620.06512500000008</v>
      </c>
      <c r="BR350" s="683">
        <f t="shared" ref="BR350" si="1829">+BR349*BR348</f>
        <v>570.45991500000014</v>
      </c>
      <c r="BS350" s="683">
        <f t="shared" ref="BS350" si="1830">+BS349*BS348</f>
        <v>520.85470500000008</v>
      </c>
    </row>
    <row r="351" spans="1:71">
      <c r="B351" s="115"/>
      <c r="K351" s="192"/>
      <c r="L351" s="192"/>
      <c r="M351" s="192"/>
      <c r="N351" s="192"/>
      <c r="O351" s="192"/>
      <c r="P351" s="192"/>
      <c r="Q351" s="192"/>
      <c r="R351" s="192"/>
      <c r="S351" s="192"/>
      <c r="T351" s="192"/>
      <c r="U351" s="306"/>
      <c r="V351" s="306"/>
      <c r="W351" s="306"/>
      <c r="X351" s="306"/>
      <c r="Y351" s="306"/>
      <c r="Z351" s="306"/>
      <c r="AA351" s="306"/>
      <c r="AB351" s="306"/>
      <c r="AC351" s="306"/>
      <c r="AD351" s="306"/>
      <c r="AE351" s="306"/>
      <c r="AF351" s="306"/>
      <c r="AG351" s="306"/>
      <c r="AH351" s="306"/>
      <c r="AI351" s="306"/>
      <c r="AJ351" s="306"/>
      <c r="AK351" s="306"/>
      <c r="AL351" s="136"/>
      <c r="AM351" s="2596"/>
      <c r="AN351" s="136"/>
      <c r="AO351" s="136"/>
      <c r="AP351" s="306"/>
      <c r="AQ351" s="306"/>
      <c r="AR351" s="306"/>
      <c r="AS351" s="306"/>
      <c r="AT351" s="306"/>
      <c r="AU351" s="306"/>
      <c r="AV351" s="306"/>
      <c r="AW351" s="306"/>
      <c r="AX351" s="306"/>
      <c r="AZ351" s="306"/>
      <c r="BD351" s="192"/>
      <c r="BE351" s="192"/>
      <c r="BF351" s="192"/>
      <c r="BG351" s="192"/>
      <c r="BH351" s="192"/>
      <c r="BI351" s="192"/>
      <c r="BJ351" s="192"/>
      <c r="BK351" s="192"/>
      <c r="BL351" s="192"/>
      <c r="BM351" s="2584"/>
      <c r="BN351" s="192"/>
      <c r="BO351" s="192"/>
      <c r="BP351" s="306"/>
      <c r="BQ351" s="306"/>
      <c r="BR351" s="306"/>
      <c r="BS351" s="306"/>
    </row>
    <row r="352" spans="1:71">
      <c r="B352" s="115" t="s">
        <v>626</v>
      </c>
      <c r="K352" s="192"/>
      <c r="L352" s="192"/>
      <c r="M352" s="192"/>
      <c r="N352" s="192"/>
      <c r="O352" s="192"/>
      <c r="P352" s="192"/>
      <c r="Q352" s="192"/>
      <c r="R352" s="192"/>
      <c r="S352" s="192"/>
      <c r="T352" s="192"/>
      <c r="U352" s="306"/>
      <c r="V352" s="306"/>
      <c r="W352" s="306"/>
      <c r="X352" s="306"/>
      <c r="Y352" s="306"/>
      <c r="Z352" s="306"/>
      <c r="AA352" s="306"/>
      <c r="AB352" s="306"/>
      <c r="AC352" s="306"/>
      <c r="AD352" s="306"/>
      <c r="AE352" s="306"/>
      <c r="AF352" s="306"/>
      <c r="AG352" s="306"/>
      <c r="AH352" s="306"/>
      <c r="AI352" s="306"/>
      <c r="AJ352" s="306"/>
      <c r="AK352" s="306"/>
      <c r="AL352" s="2285">
        <v>3497.067</v>
      </c>
      <c r="AM352" s="2597">
        <v>3647.1080000000002</v>
      </c>
      <c r="AN352" s="2285">
        <v>4012.357</v>
      </c>
      <c r="AO352" s="2285">
        <v>3956.8440000000001</v>
      </c>
      <c r="AP352" s="2283">
        <f>+AP353*MACRO!AP4</f>
        <v>4482.1967189724774</v>
      </c>
      <c r="AQ352" s="2283">
        <f>+AQ353*MACRO!AQ4</f>
        <v>4174.6519266055047</v>
      </c>
      <c r="AR352" s="1253">
        <v>3925.4690000000001</v>
      </c>
      <c r="AS352" s="1253">
        <v>3873.3890000000001</v>
      </c>
      <c r="AT352" s="2283">
        <f>+AT353*MACRO!AT4</f>
        <v>3985.1864614127062</v>
      </c>
      <c r="AU352" s="2283">
        <f>+AU353*MACRO!AU4</f>
        <v>3857.5946971832309</v>
      </c>
      <c r="AV352" s="2283">
        <f>+AV353*MACRO!AV4</f>
        <v>3867.3816788928307</v>
      </c>
      <c r="AW352" s="2283">
        <f>+AW353*MACRO!AW4</f>
        <v>3871.3924183263803</v>
      </c>
      <c r="AX352" s="2283">
        <f>+AX353*MACRO!AX4</f>
        <v>3896.69997547196</v>
      </c>
      <c r="AZ352" s="306">
        <v>3985.1864614127062</v>
      </c>
      <c r="BD352" s="192"/>
      <c r="BE352" s="192"/>
      <c r="BF352" s="192"/>
      <c r="BG352" s="192"/>
      <c r="BH352" s="192"/>
      <c r="BI352" s="192"/>
      <c r="BJ352" s="192"/>
      <c r="BK352" s="192"/>
      <c r="BL352" s="192"/>
      <c r="BM352" s="2608">
        <f t="shared" ref="BM352:BM353" si="1831">+AP352</f>
        <v>4482.1967189724774</v>
      </c>
      <c r="BN352" s="266">
        <f t="shared" ref="BN352:BN353" si="1832">+AT352</f>
        <v>3985.1864614127062</v>
      </c>
      <c r="BO352" s="266">
        <f>+AX352</f>
        <v>3896.69997547196</v>
      </c>
      <c r="BP352" s="2283">
        <f>+BP353*MACRO!BP4</f>
        <v>3964.8922250427195</v>
      </c>
      <c r="BQ352" s="2283">
        <f>+BQ353*MACRO!BQ4</f>
        <v>0</v>
      </c>
      <c r="BR352" s="2283">
        <f>+BR353*MACRO!BR4</f>
        <v>0</v>
      </c>
      <c r="BS352" s="2283">
        <f>+BS353*MACRO!BS4</f>
        <v>0</v>
      </c>
    </row>
    <row r="353" spans="2:71">
      <c r="B353" s="115" t="s">
        <v>627</v>
      </c>
      <c r="K353" s="192"/>
      <c r="L353" s="192"/>
      <c r="M353" s="192"/>
      <c r="N353" s="192"/>
      <c r="O353" s="192"/>
      <c r="P353" s="192"/>
      <c r="Q353" s="192"/>
      <c r="R353" s="192"/>
      <c r="S353" s="192"/>
      <c r="T353" s="192"/>
      <c r="U353" s="306"/>
      <c r="V353" s="306"/>
      <c r="W353" s="306"/>
      <c r="X353" s="306"/>
      <c r="Y353" s="306"/>
      <c r="Z353" s="306"/>
      <c r="AA353" s="306"/>
      <c r="AB353" s="306"/>
      <c r="AC353" s="306"/>
      <c r="AD353" s="306"/>
      <c r="AE353" s="306"/>
      <c r="AF353" s="306"/>
      <c r="AG353" s="306"/>
      <c r="AH353" s="306"/>
      <c r="AI353" s="306"/>
      <c r="AJ353" s="306"/>
      <c r="AK353" s="306"/>
      <c r="AL353" s="1020">
        <f>+AL352/MACRO!AL4</f>
        <v>720.65840992457652</v>
      </c>
      <c r="AM353" s="2588">
        <f>+AM352/MACRO!AM4</f>
        <v>727.31239405723409</v>
      </c>
      <c r="AN353" s="1020">
        <f>+AN352/MACRO!AN4</f>
        <v>717.24799342164067</v>
      </c>
      <c r="AO353" s="1020">
        <f>+AO352/MACRO!AO4</f>
        <v>726.02642201834863</v>
      </c>
      <c r="AP353" s="2284">
        <f>+AO353</f>
        <v>726.02642201834863</v>
      </c>
      <c r="AQ353" s="2284">
        <f t="shared" ref="AQ353:AT353" si="1833">+AP353</f>
        <v>726.02642201834863</v>
      </c>
      <c r="AR353" s="1020">
        <f>+AR352/MACRO!AR4</f>
        <v>717.63601462522854</v>
      </c>
      <c r="AS353" s="1020">
        <f>+AS352/MACRO!AS4</f>
        <v>727.84805607230771</v>
      </c>
      <c r="AT353" s="2284">
        <f t="shared" si="1833"/>
        <v>727.84805607230771</v>
      </c>
      <c r="AU353" s="2284">
        <f t="shared" ref="AU353" si="1834">+AT353</f>
        <v>727.84805607230771</v>
      </c>
      <c r="AV353" s="2284">
        <f t="shared" ref="AV353" si="1835">+AU353</f>
        <v>727.84805607230771</v>
      </c>
      <c r="AW353" s="2284">
        <f t="shared" ref="AW353" si="1836">+AV353</f>
        <v>727.84805607230771</v>
      </c>
      <c r="AX353" s="2284">
        <f t="shared" ref="AX353" si="1837">+AW353</f>
        <v>727.84805607230771</v>
      </c>
      <c r="AZ353" s="306">
        <v>727.84805607230771</v>
      </c>
      <c r="BD353" s="192"/>
      <c r="BE353" s="192"/>
      <c r="BF353" s="192"/>
      <c r="BG353" s="192"/>
      <c r="BH353" s="192"/>
      <c r="BI353" s="192"/>
      <c r="BJ353" s="192"/>
      <c r="BK353" s="192"/>
      <c r="BL353" s="192"/>
      <c r="BM353" s="2608">
        <f t="shared" si="1831"/>
        <v>726.02642201834863</v>
      </c>
      <c r="BN353" s="266">
        <f t="shared" si="1832"/>
        <v>727.84805607230771</v>
      </c>
      <c r="BO353" s="266">
        <f>+AX353</f>
        <v>727.84805607230771</v>
      </c>
      <c r="BP353" s="2284">
        <f t="shared" ref="BP353:BS353" si="1838">+BO353</f>
        <v>727.84805607230771</v>
      </c>
      <c r="BQ353" s="2284">
        <v>0</v>
      </c>
      <c r="BR353" s="2284">
        <v>0</v>
      </c>
      <c r="BS353" s="2284">
        <f t="shared" si="1838"/>
        <v>0</v>
      </c>
    </row>
    <row r="354" spans="2:71">
      <c r="B354" s="2290">
        <v>0.05</v>
      </c>
      <c r="K354" s="192"/>
      <c r="L354" s="192"/>
      <c r="M354" s="192"/>
      <c r="N354" s="192"/>
      <c r="O354" s="192"/>
      <c r="P354" s="192"/>
      <c r="Q354" s="192"/>
      <c r="R354" s="192"/>
      <c r="S354" s="192"/>
      <c r="T354" s="192"/>
      <c r="U354" s="306"/>
      <c r="V354" s="306"/>
      <c r="W354" s="306"/>
      <c r="X354" s="306"/>
      <c r="Y354" s="306"/>
      <c r="Z354" s="306"/>
      <c r="AA354" s="306"/>
      <c r="AB354" s="306"/>
      <c r="AC354" s="306"/>
      <c r="AD354" s="306"/>
      <c r="AE354" s="306"/>
      <c r="AF354" s="306"/>
      <c r="AG354" s="306"/>
      <c r="AH354" s="306"/>
      <c r="AI354" s="306"/>
      <c r="AJ354" s="306"/>
      <c r="AK354" s="306"/>
      <c r="AL354" s="1020">
        <f t="shared" ref="AL354:AT354" si="1839">+$B$354/4*AL352</f>
        <v>43.713337500000002</v>
      </c>
      <c r="AM354" s="2588">
        <f t="shared" si="1839"/>
        <v>45.588850000000008</v>
      </c>
      <c r="AN354" s="1020">
        <f t="shared" si="1839"/>
        <v>50.154462500000001</v>
      </c>
      <c r="AO354" s="1020">
        <f t="shared" si="1839"/>
        <v>49.460550000000005</v>
      </c>
      <c r="AP354" s="693">
        <f t="shared" si="1839"/>
        <v>56.027458987155967</v>
      </c>
      <c r="AQ354" s="693">
        <f t="shared" si="1839"/>
        <v>52.183149082568811</v>
      </c>
      <c r="AR354" s="1020">
        <f t="shared" si="1839"/>
        <v>49.068362500000006</v>
      </c>
      <c r="AS354" s="1020">
        <f t="shared" si="1839"/>
        <v>48.417362500000003</v>
      </c>
      <c r="AT354" s="693">
        <f t="shared" si="1839"/>
        <v>49.814830767658833</v>
      </c>
      <c r="AU354" s="693">
        <f t="shared" ref="AU354:AX354" si="1840">+$B$354/4*AU352</f>
        <v>48.219933714790386</v>
      </c>
      <c r="AV354" s="693">
        <f t="shared" si="1840"/>
        <v>48.342270986160386</v>
      </c>
      <c r="AW354" s="693">
        <f t="shared" si="1840"/>
        <v>48.392405229079756</v>
      </c>
      <c r="AX354" s="693">
        <f t="shared" si="1840"/>
        <v>48.708749693399504</v>
      </c>
      <c r="AZ354" s="306">
        <v>49.814830767658833</v>
      </c>
      <c r="BD354" s="192"/>
      <c r="BE354" s="192"/>
      <c r="BF354" s="192"/>
      <c r="BG354" s="192"/>
      <c r="BH354" s="192"/>
      <c r="BI354" s="192"/>
      <c r="BJ354" s="192"/>
      <c r="BK354" s="192"/>
      <c r="BL354" s="192"/>
      <c r="BM354" s="2619">
        <f t="shared" ref="BM354" si="1841">+SUM(AM354:AP354)</f>
        <v>201.23132148715598</v>
      </c>
      <c r="BN354" s="305">
        <f t="shared" ref="BN354" si="1842">+SUM(AQ354:AT354)</f>
        <v>199.48370485022764</v>
      </c>
      <c r="BO354" s="305">
        <f>+SUM(AU354:AX354)</f>
        <v>193.66335962343004</v>
      </c>
      <c r="BP354" s="693">
        <f t="shared" ref="BP354:BS354" si="1843">+$B$354*BP352</f>
        <v>198.244611252136</v>
      </c>
      <c r="BQ354" s="693">
        <f t="shared" si="1843"/>
        <v>0</v>
      </c>
      <c r="BR354" s="693">
        <f t="shared" si="1843"/>
        <v>0</v>
      </c>
      <c r="BS354" s="693">
        <f t="shared" si="1843"/>
        <v>0</v>
      </c>
    </row>
    <row r="355" spans="2:71">
      <c r="B355" s="2290"/>
      <c r="K355" s="192"/>
      <c r="L355" s="192"/>
      <c r="M355" s="192"/>
      <c r="N355" s="192"/>
      <c r="O355" s="192"/>
      <c r="P355" s="192"/>
      <c r="Q355" s="192"/>
      <c r="R355" s="192"/>
      <c r="S355" s="192"/>
      <c r="T355" s="192"/>
      <c r="U355" s="306"/>
      <c r="V355" s="306"/>
      <c r="W355" s="306"/>
      <c r="X355" s="306"/>
      <c r="Y355" s="306"/>
      <c r="Z355" s="306"/>
      <c r="AA355" s="306"/>
      <c r="AB355" s="306"/>
      <c r="AC355" s="306"/>
      <c r="AD355" s="306"/>
      <c r="AE355" s="306"/>
      <c r="AF355" s="306"/>
      <c r="AG355" s="306"/>
      <c r="AH355" s="306"/>
      <c r="AI355" s="306"/>
      <c r="AJ355" s="306"/>
      <c r="AK355" s="306"/>
      <c r="AL355" s="306"/>
      <c r="AM355" s="2588"/>
      <c r="AN355" s="1020"/>
      <c r="AO355" s="1020"/>
      <c r="AP355" s="693"/>
      <c r="AQ355" s="693"/>
      <c r="AR355" s="693"/>
      <c r="AS355" s="693"/>
      <c r="AT355" s="693"/>
      <c r="AU355" s="693"/>
      <c r="AV355" s="693"/>
      <c r="AW355" s="693"/>
      <c r="AX355" s="693"/>
      <c r="AZ355" s="306"/>
      <c r="BD355" s="192"/>
      <c r="BE355" s="192"/>
      <c r="BF355" s="192"/>
      <c r="BG355" s="192"/>
      <c r="BH355" s="192"/>
      <c r="BI355" s="192"/>
      <c r="BJ355" s="192"/>
      <c r="BK355" s="192"/>
      <c r="BL355" s="192"/>
      <c r="BM355" s="2584"/>
      <c r="BN355" s="192"/>
      <c r="BO355" s="192"/>
      <c r="BP355" s="306"/>
      <c r="BQ355" s="306"/>
      <c r="BR355" s="306"/>
      <c r="BS355" s="306"/>
    </row>
    <row r="356" spans="2:71" s="1020" customFormat="1">
      <c r="B356" s="2291" t="s">
        <v>628</v>
      </c>
      <c r="AL356" s="1020">
        <f>+AL304-AL348-AL352</f>
        <v>652.44499999999971</v>
      </c>
      <c r="AM356" s="2588">
        <f>+AM304-AM348-AM352</f>
        <v>-3113.5720000000001</v>
      </c>
      <c r="AN356" s="1020">
        <f>+AN304-AN348-AN352</f>
        <v>-3479.777</v>
      </c>
      <c r="AO356" s="1020">
        <f>+AO304-AO348-AO352</f>
        <v>-3953.0449999999996</v>
      </c>
      <c r="AP356" s="1020">
        <f t="shared" ref="AP356:AT356" si="1844">+AP304-AP348-AP352</f>
        <v>-4515.4687189724773</v>
      </c>
      <c r="AQ356" s="1020">
        <f t="shared" si="1844"/>
        <v>-4170.5859266055049</v>
      </c>
      <c r="AR356" s="1020">
        <f t="shared" si="1844"/>
        <v>-3914.4889999999996</v>
      </c>
      <c r="AS356" s="1020">
        <f t="shared" si="1844"/>
        <v>-0.20199999999977081</v>
      </c>
      <c r="AT356" s="1020">
        <f t="shared" si="1844"/>
        <v>0</v>
      </c>
      <c r="AU356" s="1020">
        <f t="shared" ref="AU356:AX356" si="1845">+AU304-AU348-AU352</f>
        <v>0</v>
      </c>
      <c r="AV356" s="1020">
        <f t="shared" si="1845"/>
        <v>0</v>
      </c>
      <c r="AW356" s="1020">
        <f t="shared" si="1845"/>
        <v>0</v>
      </c>
      <c r="AX356" s="1020">
        <f t="shared" si="1845"/>
        <v>0</v>
      </c>
      <c r="AZ356" s="1020">
        <v>0</v>
      </c>
      <c r="BA356" s="2287"/>
      <c r="BM356" s="2608">
        <f t="shared" ref="BM356" si="1846">+AP356</f>
        <v>-4515.4687189724773</v>
      </c>
      <c r="BN356" s="266">
        <f t="shared" ref="BN356" si="1847">+AT356</f>
        <v>0</v>
      </c>
      <c r="BO356" s="266">
        <f>+AX356</f>
        <v>0</v>
      </c>
      <c r="BP356" s="1020">
        <f t="shared" ref="BP356:BS356" si="1848">+BP304-BP348-BP352</f>
        <v>0</v>
      </c>
      <c r="BQ356" s="1020">
        <f t="shared" si="1848"/>
        <v>0</v>
      </c>
      <c r="BR356" s="1020">
        <f t="shared" si="1848"/>
        <v>0</v>
      </c>
      <c r="BS356" s="1020">
        <f t="shared" si="1848"/>
        <v>0</v>
      </c>
    </row>
    <row r="357" spans="2:71">
      <c r="B357" s="115" t="s">
        <v>625</v>
      </c>
      <c r="K357" s="192"/>
      <c r="L357" s="192"/>
      <c r="M357" s="192"/>
      <c r="N357" s="192"/>
      <c r="O357" s="192"/>
      <c r="P357" s="192"/>
      <c r="Q357" s="192"/>
      <c r="R357" s="192"/>
      <c r="S357" s="192"/>
      <c r="T357" s="192"/>
      <c r="U357" s="306"/>
      <c r="V357" s="306"/>
      <c r="W357" s="306"/>
      <c r="X357" s="306"/>
      <c r="Y357" s="306"/>
      <c r="Z357" s="306"/>
      <c r="AA357" s="306"/>
      <c r="AB357" s="306"/>
      <c r="AC357" s="306"/>
      <c r="AD357" s="306"/>
      <c r="AE357" s="306"/>
      <c r="AF357" s="306"/>
      <c r="AG357" s="306"/>
      <c r="AH357" s="306"/>
      <c r="AI357" s="306"/>
      <c r="AJ357" s="306"/>
      <c r="AK357" s="306"/>
      <c r="AL357" s="1020" t="e">
        <f>-#REF!-AL350-AL354</f>
        <v>#REF!</v>
      </c>
      <c r="AM357" s="1020">
        <f t="shared" ref="AM357:AN357" si="1849">-AM300-AM350-AM354</f>
        <v>-7.2978171518474397</v>
      </c>
      <c r="AN357" s="1020">
        <f t="shared" si="1849"/>
        <v>166.45479260369311</v>
      </c>
      <c r="AO357" s="1020">
        <f>-AO300-AO350-AO354</f>
        <v>-12.448303119046521</v>
      </c>
      <c r="AP357" s="683">
        <f>+AP358*AP356</f>
        <v>-225.77343594862387</v>
      </c>
      <c r="AQ357" s="683">
        <f t="shared" ref="AQ357:AT357" si="1850">+AQ358*AQ356</f>
        <v>-208.52929633027526</v>
      </c>
      <c r="AR357" s="683">
        <f t="shared" si="1850"/>
        <v>-195.72444999999999</v>
      </c>
      <c r="AS357" s="1020">
        <f>-AS300-AS350-AS354</f>
        <v>-0.32970980816438811</v>
      </c>
      <c r="AT357" s="683">
        <f t="shared" si="1850"/>
        <v>0</v>
      </c>
      <c r="AU357" s="683">
        <f t="shared" ref="AU357:AX357" si="1851">+AU358*AU356</f>
        <v>0</v>
      </c>
      <c r="AV357" s="683">
        <f t="shared" si="1851"/>
        <v>0</v>
      </c>
      <c r="AW357" s="683">
        <f t="shared" si="1851"/>
        <v>0</v>
      </c>
      <c r="AX357" s="683">
        <f t="shared" si="1851"/>
        <v>0</v>
      </c>
      <c r="AZ357" s="306">
        <v>0</v>
      </c>
      <c r="BD357" s="192"/>
      <c r="BE357" s="192"/>
      <c r="BF357" s="192"/>
      <c r="BG357" s="192"/>
      <c r="BH357" s="192"/>
      <c r="BI357" s="192"/>
      <c r="BJ357" s="192"/>
      <c r="BK357" s="192"/>
      <c r="BL357" s="192"/>
      <c r="BM357" s="2588"/>
      <c r="BN357" s="1020"/>
      <c r="BO357" s="1020"/>
      <c r="BP357" s="683"/>
      <c r="BQ357" s="683"/>
      <c r="BR357" s="683"/>
      <c r="BS357" s="683"/>
    </row>
    <row r="358" spans="2:71">
      <c r="B358" s="115" t="s">
        <v>289</v>
      </c>
      <c r="AL358" s="140" t="e">
        <f>+AL357/AL356</f>
        <v>#REF!</v>
      </c>
      <c r="AM358" s="140">
        <f t="shared" ref="AM358:AN358" si="1852">+AM357/AM356</f>
        <v>2.3438729381711552E-3</v>
      </c>
      <c r="AN358" s="140">
        <f t="shared" si="1852"/>
        <v>-4.7834902237612671E-2</v>
      </c>
      <c r="AO358" s="140">
        <f>+AO357/AO356</f>
        <v>3.1490415917467479E-3</v>
      </c>
      <c r="AP358" s="314">
        <v>0.05</v>
      </c>
      <c r="AQ358" s="314">
        <v>0.05</v>
      </c>
      <c r="AR358" s="314">
        <v>0.05</v>
      </c>
      <c r="AS358" s="140">
        <f>+AS357/AS356</f>
        <v>1.6322267730928821</v>
      </c>
      <c r="AT358" s="2638">
        <f>+AT359+AT309</f>
        <v>1.6322267730928821</v>
      </c>
      <c r="AU358" s="2638">
        <f t="shared" ref="AU358:AX358" si="1853">+AU359+AU309</f>
        <v>1.6316635104007911</v>
      </c>
      <c r="AV358" s="2638">
        <f t="shared" si="1853"/>
        <v>1.6294012131295703</v>
      </c>
      <c r="AW358" s="2638">
        <f t="shared" si="1853"/>
        <v>1.6276946815224804</v>
      </c>
      <c r="AX358" s="2638">
        <f t="shared" si="1853"/>
        <v>1.6265522687048188</v>
      </c>
      <c r="AZ358">
        <v>1.6322267730928821</v>
      </c>
      <c r="BM358" s="2563"/>
      <c r="BN358" s="140"/>
      <c r="BO358" s="140"/>
      <c r="BP358" s="314"/>
      <c r="BQ358" s="314"/>
      <c r="BR358" s="314"/>
      <c r="BS358" s="314"/>
    </row>
    <row r="359" spans="2:71">
      <c r="B359" s="115"/>
      <c r="AL359" s="140"/>
      <c r="AM359" s="140"/>
      <c r="AN359" s="140"/>
      <c r="AO359" s="140"/>
      <c r="AP359" s="314"/>
      <c r="AQ359" s="314"/>
      <c r="AR359" s="314"/>
      <c r="AS359" s="140">
        <f>+AS358-AS309</f>
        <v>1.59666869675126</v>
      </c>
      <c r="AT359" s="154">
        <f>+AS359</f>
        <v>1.59666869675126</v>
      </c>
      <c r="AU359" s="154">
        <f t="shared" ref="AU359:AX359" si="1854">+AT359</f>
        <v>1.59666869675126</v>
      </c>
      <c r="AV359" s="154">
        <f t="shared" si="1854"/>
        <v>1.59666869675126</v>
      </c>
      <c r="AW359" s="154">
        <f t="shared" si="1854"/>
        <v>1.59666869675126</v>
      </c>
      <c r="AX359" s="154">
        <f t="shared" si="1854"/>
        <v>1.59666869675126</v>
      </c>
      <c r="AZ359">
        <v>1.59666869675126</v>
      </c>
      <c r="BM359" s="2563"/>
      <c r="BN359" s="140"/>
      <c r="BO359" s="140"/>
      <c r="BP359" s="314"/>
      <c r="BQ359" s="314"/>
      <c r="BR359" s="314"/>
      <c r="BS359" s="314"/>
    </row>
    <row r="360" spans="2:71">
      <c r="B360" s="115"/>
      <c r="AL360" s="140"/>
      <c r="AM360" s="140"/>
      <c r="AN360" s="140"/>
      <c r="AO360" s="140"/>
      <c r="AP360" s="314"/>
      <c r="AQ360" s="314"/>
      <c r="AR360" s="314"/>
      <c r="AS360" s="140"/>
      <c r="AT360" s="314"/>
      <c r="AU360" s="314"/>
      <c r="AV360" s="314"/>
      <c r="AW360" s="314"/>
      <c r="AX360" s="314"/>
      <c r="BM360" s="2563"/>
      <c r="BN360" s="140"/>
      <c r="BO360" s="140"/>
      <c r="BP360" s="314"/>
      <c r="BQ360" s="314"/>
      <c r="BR360" s="314"/>
      <c r="BS360" s="314"/>
    </row>
    <row r="361" spans="2:71">
      <c r="B361" s="114"/>
    </row>
    <row r="362" spans="2:71" s="1177" customFormat="1">
      <c r="B362" s="1177" t="s">
        <v>604</v>
      </c>
      <c r="R362" s="2631" t="e">
        <f>+#REF!</f>
        <v>#REF!</v>
      </c>
      <c r="S362" s="2631" t="e">
        <f>+#REF!</f>
        <v>#REF!</v>
      </c>
      <c r="T362" s="2631" t="e">
        <f>+#REF!</f>
        <v>#REF!</v>
      </c>
      <c r="U362" s="2631" t="e">
        <f>+#REF!</f>
        <v>#REF!</v>
      </c>
      <c r="V362" s="2631" t="e">
        <f>+#REF!</f>
        <v>#REF!</v>
      </c>
      <c r="W362" s="2631" t="e">
        <f>+#REF!</f>
        <v>#REF!</v>
      </c>
      <c r="X362" s="2631" t="e">
        <f>+#REF!</f>
        <v>#REF!</v>
      </c>
      <c r="Y362" s="2631" t="e">
        <f>+#REF!</f>
        <v>#REF!</v>
      </c>
      <c r="Z362" s="2631" t="e">
        <f>+#REF!</f>
        <v>#REF!</v>
      </c>
      <c r="AA362" s="2631" t="e">
        <f>+#REF!</f>
        <v>#REF!</v>
      </c>
      <c r="AB362" s="2631" t="e">
        <f>+#REF!</f>
        <v>#REF!</v>
      </c>
      <c r="AC362" s="2631" t="e">
        <f>+#REF!</f>
        <v>#REF!</v>
      </c>
      <c r="AD362" s="2631" t="e">
        <f>+#REF!</f>
        <v>#REF!</v>
      </c>
      <c r="AE362" s="2631" t="e">
        <f>+#REF!</f>
        <v>#REF!</v>
      </c>
      <c r="AF362" s="2631" t="e">
        <f>+#REF!</f>
        <v>#REF!</v>
      </c>
      <c r="AG362" s="2631" t="e">
        <f>+#REF!</f>
        <v>#REF!</v>
      </c>
      <c r="AH362" s="2631" t="e">
        <f>+#REF!</f>
        <v>#REF!</v>
      </c>
      <c r="AI362" s="2631" t="e">
        <f>+#REF!</f>
        <v>#REF!</v>
      </c>
      <c r="AJ362" s="2631" t="e">
        <f>+#REF!</f>
        <v>#REF!</v>
      </c>
      <c r="AK362" s="2631" t="e">
        <f>+#REF!</f>
        <v>#REF!</v>
      </c>
      <c r="AL362" s="2631" t="e">
        <f>+#REF!</f>
        <v>#REF!</v>
      </c>
      <c r="AM362" s="2631">
        <f>+AM29</f>
        <v>-33.299999999999997</v>
      </c>
      <c r="AN362" s="2631">
        <f>+AN29</f>
        <v>-21.241</v>
      </c>
      <c r="AO362" s="2631">
        <f>+AO29</f>
        <v>-21.7</v>
      </c>
      <c r="AP362" s="2631">
        <f>+AP29</f>
        <v>-19</v>
      </c>
      <c r="AQ362" s="2631">
        <f>+AQ29</f>
        <v>-32.5</v>
      </c>
      <c r="AR362" s="2631">
        <f>+AR29</f>
        <v>-19.8</v>
      </c>
      <c r="AS362" s="2631">
        <f>+AS29</f>
        <v>-34.544000000000004</v>
      </c>
      <c r="AT362" s="2632">
        <f>+AT363*AT368</f>
        <v>-25.433696799639236</v>
      </c>
      <c r="AU362" s="2632">
        <f>+AU363*AU368</f>
        <v>-28.630454932096274</v>
      </c>
      <c r="AV362" s="2632">
        <f>+AV363*AV368</f>
        <v>-28.211229233388259</v>
      </c>
      <c r="AW362" s="2632">
        <f>+AW363*AW368</f>
        <v>-30.084207933103031</v>
      </c>
      <c r="AX362" s="2632">
        <f>+AX363*AX368</f>
        <v>-28.293430133316782</v>
      </c>
      <c r="AZ362" s="2632">
        <v>-24.619565164598921</v>
      </c>
      <c r="BD362" s="2631"/>
      <c r="BE362" s="2631"/>
      <c r="BF362" s="2631"/>
      <c r="BG362" s="2631"/>
      <c r="BH362" s="2631" t="e">
        <f>+#REF!</f>
        <v>#REF!</v>
      </c>
      <c r="BI362" s="2631" t="e">
        <f>+#REF!</f>
        <v>#REF!</v>
      </c>
      <c r="BJ362" s="2631" t="e">
        <f>+#REF!</f>
        <v>#REF!</v>
      </c>
      <c r="BK362" s="2631" t="e">
        <f>+#REF!</f>
        <v>#REF!</v>
      </c>
      <c r="BL362" s="2631" t="e">
        <f>+#REF!</f>
        <v>#REF!</v>
      </c>
      <c r="BM362" s="2633">
        <f>+BM29</f>
        <v>-95.241</v>
      </c>
      <c r="BN362" s="2631">
        <f>+BN29</f>
        <v>-115.06740651249052</v>
      </c>
      <c r="BO362" s="2631">
        <f>+BO29</f>
        <v>-115.21932223190436</v>
      </c>
      <c r="BP362" s="2632">
        <f>+BP363*BP368</f>
        <v>-111.12160248817376</v>
      </c>
      <c r="BQ362" s="2632">
        <f>+BQ363*BQ368</f>
        <v>-100.29695721194618</v>
      </c>
      <c r="BR362" s="2632">
        <f>+BR363*BR368</f>
        <v>-110.12668068832475</v>
      </c>
      <c r="BS362" s="2632">
        <f>+BS363*BS368</f>
        <v>-109.22926793281857</v>
      </c>
    </row>
    <row r="363" spans="2:71">
      <c r="B363" s="114" t="s">
        <v>470</v>
      </c>
      <c r="R363" s="140" t="e">
        <f t="shared" ref="R363:AS363" si="1855">+R362/R368</f>
        <v>#REF!</v>
      </c>
      <c r="S363" s="140" t="e">
        <f t="shared" si="1855"/>
        <v>#REF!</v>
      </c>
      <c r="T363" s="140" t="e">
        <f t="shared" si="1855"/>
        <v>#REF!</v>
      </c>
      <c r="U363" s="140" t="e">
        <f t="shared" si="1855"/>
        <v>#REF!</v>
      </c>
      <c r="V363" s="140" t="e">
        <f t="shared" si="1855"/>
        <v>#REF!</v>
      </c>
      <c r="W363" s="140" t="e">
        <f t="shared" si="1855"/>
        <v>#REF!</v>
      </c>
      <c r="X363" s="140" t="e">
        <f t="shared" si="1855"/>
        <v>#REF!</v>
      </c>
      <c r="Y363" s="140" t="e">
        <f t="shared" si="1855"/>
        <v>#REF!</v>
      </c>
      <c r="Z363" s="140" t="e">
        <f t="shared" si="1855"/>
        <v>#REF!</v>
      </c>
      <c r="AA363" s="140" t="e">
        <f t="shared" si="1855"/>
        <v>#REF!</v>
      </c>
      <c r="AB363" s="140" t="e">
        <f t="shared" si="1855"/>
        <v>#REF!</v>
      </c>
      <c r="AC363" s="140" t="e">
        <f t="shared" si="1855"/>
        <v>#REF!</v>
      </c>
      <c r="AD363" s="140" t="e">
        <f t="shared" si="1855"/>
        <v>#REF!</v>
      </c>
      <c r="AE363" s="140" t="e">
        <f t="shared" si="1855"/>
        <v>#REF!</v>
      </c>
      <c r="AF363" s="140" t="e">
        <f t="shared" si="1855"/>
        <v>#REF!</v>
      </c>
      <c r="AG363" s="140" t="e">
        <f t="shared" si="1855"/>
        <v>#REF!</v>
      </c>
      <c r="AH363" s="140" t="e">
        <f t="shared" si="1855"/>
        <v>#REF!</v>
      </c>
      <c r="AI363" s="140" t="e">
        <f t="shared" si="1855"/>
        <v>#REF!</v>
      </c>
      <c r="AJ363" s="140" t="e">
        <f t="shared" si="1855"/>
        <v>#REF!</v>
      </c>
      <c r="AK363" s="140" t="e">
        <f t="shared" si="1855"/>
        <v>#REF!</v>
      </c>
      <c r="AL363" s="140" t="e">
        <f t="shared" si="1855"/>
        <v>#REF!</v>
      </c>
      <c r="AM363" s="2563">
        <f t="shared" si="1855"/>
        <v>-3.7150583699260997E-2</v>
      </c>
      <c r="AN363" s="140">
        <f t="shared" si="1855"/>
        <v>-3.2486640421633496E-2</v>
      </c>
      <c r="AO363" s="140">
        <f t="shared" si="1855"/>
        <v>-3.2578424675529398E-2</v>
      </c>
      <c r="AP363" s="140">
        <f t="shared" si="1855"/>
        <v>-2.8149232414878201E-2</v>
      </c>
      <c r="AQ363" s="140">
        <f t="shared" si="1855"/>
        <v>-5.1032625550072812E-2</v>
      </c>
      <c r="AR363" s="140">
        <f t="shared" si="1855"/>
        <v>-3.4887931330683845E-2</v>
      </c>
      <c r="AS363" s="140">
        <f t="shared" si="1855"/>
        <v>-6.2718383672594941E-2</v>
      </c>
      <c r="AT363" s="1130">
        <f t="shared" ref="AT363" si="1856">+AVERAGE(AP363:AS363)</f>
        <v>-4.4197043242057449E-2</v>
      </c>
      <c r="AU363" s="1130">
        <f t="shared" ref="AU363" si="1857">+AVERAGE(AQ363:AT363)</f>
        <v>-4.8208995948852258E-2</v>
      </c>
      <c r="AV363" s="1130">
        <f t="shared" ref="AV363" si="1858">+AVERAGE(AR363:AU363)</f>
        <v>-4.7503088548547123E-2</v>
      </c>
      <c r="AW363" s="1130">
        <f t="shared" ref="AW363" si="1859">+AVERAGE(AS363:AV363)</f>
        <v>-5.0656877853012941E-2</v>
      </c>
      <c r="AX363" s="1130">
        <f t="shared" ref="AX363" si="1860">+AVERAGE(AT363:AW363)</f>
        <v>-4.7641501398117445E-2</v>
      </c>
      <c r="AZ363" s="1130">
        <v>-4.4197043242057449E-2</v>
      </c>
      <c r="BD363" s="140"/>
      <c r="BE363" s="140"/>
      <c r="BF363" s="140"/>
      <c r="BG363" s="140"/>
      <c r="BH363" s="140" t="e">
        <f>+BH362/BH368</f>
        <v>#REF!</v>
      </c>
      <c r="BI363" s="140" t="e">
        <f>+BI362/BI368</f>
        <v>#REF!</v>
      </c>
      <c r="BJ363" s="140" t="e">
        <f>+BJ362/BJ368</f>
        <v>#REF!</v>
      </c>
      <c r="BK363" s="140" t="e">
        <f>+BK362/BK368</f>
        <v>#REF!</v>
      </c>
      <c r="BL363" s="140" t="e">
        <f>+BL362/BL368</f>
        <v>#REF!</v>
      </c>
      <c r="BM363" s="2563">
        <f t="shared" ref="BM363:BN363" si="1861">+BM362/BM368</f>
        <v>-0.10388699517329769</v>
      </c>
      <c r="BN363" s="140">
        <f t="shared" si="1861"/>
        <v>-0.18021068620440286</v>
      </c>
      <c r="BO363" s="140">
        <f>+BO362/BO368</f>
        <v>-0.19401046374852979</v>
      </c>
      <c r="BP363" s="1130">
        <f>+AVERAGE(BN363:BO363)</f>
        <v>-0.18711057497646633</v>
      </c>
      <c r="BQ363" s="1130">
        <f t="shared" ref="BQ363" si="1862">+AVERAGE(BM363:BP363)</f>
        <v>-0.16630468002567417</v>
      </c>
      <c r="BR363" s="1130">
        <f t="shared" ref="BR363" si="1863">+AVERAGE(BN363:BQ363)</f>
        <v>-0.1819091012387683</v>
      </c>
      <c r="BS363" s="1130">
        <f t="shared" ref="BS363" si="1864">+AVERAGE(BO363:BR363)</f>
        <v>-0.18233370499735968</v>
      </c>
    </row>
    <row r="364" spans="2:71">
      <c r="B364" s="114"/>
    </row>
    <row r="365" spans="2:71">
      <c r="B365" s="114" t="s">
        <v>629</v>
      </c>
      <c r="K365" s="69"/>
      <c r="L365" s="69"/>
      <c r="M365" s="69"/>
      <c r="N365" s="69"/>
      <c r="O365" s="69"/>
      <c r="P365" s="69"/>
      <c r="Q365" s="69"/>
      <c r="R365" s="69">
        <f t="shared" ref="R365:AX365" si="1865">+R118</f>
        <v>68.763999999999996</v>
      </c>
      <c r="S365" s="69">
        <f t="shared" si="1865"/>
        <v>451.6</v>
      </c>
      <c r="T365" s="69">
        <f t="shared" si="1865"/>
        <v>456.13400000000001</v>
      </c>
      <c r="U365" s="69">
        <f t="shared" si="1865"/>
        <v>504.2</v>
      </c>
      <c r="V365" s="69">
        <f t="shared" si="1865"/>
        <v>542.1</v>
      </c>
      <c r="W365" s="69">
        <f t="shared" si="1865"/>
        <v>956.4</v>
      </c>
      <c r="X365" s="69">
        <f t="shared" si="1865"/>
        <v>1081.0999999999999</v>
      </c>
      <c r="Y365" s="69">
        <f t="shared" si="1865"/>
        <v>1129.2</v>
      </c>
      <c r="Z365" s="69">
        <f t="shared" si="1865"/>
        <v>1059.7</v>
      </c>
      <c r="AA365" s="69">
        <f t="shared" si="1865"/>
        <v>1120.8</v>
      </c>
      <c r="AB365" s="69">
        <f t="shared" si="1865"/>
        <v>969.8</v>
      </c>
      <c r="AC365" s="69">
        <f t="shared" si="1865"/>
        <v>981.2</v>
      </c>
      <c r="AD365" s="69">
        <f t="shared" si="1865"/>
        <v>1005.5</v>
      </c>
      <c r="AE365" s="69">
        <f t="shared" si="1865"/>
        <v>847.3</v>
      </c>
      <c r="AF365" s="69">
        <f t="shared" si="1865"/>
        <v>890.6</v>
      </c>
      <c r="AG365" s="69">
        <f t="shared" si="1865"/>
        <v>854.7</v>
      </c>
      <c r="AH365" s="69">
        <f t="shared" si="1865"/>
        <v>878.4</v>
      </c>
      <c r="AI365" s="69">
        <f t="shared" si="1865"/>
        <v>635</v>
      </c>
      <c r="AJ365" s="69">
        <f t="shared" si="1865"/>
        <v>607.6</v>
      </c>
      <c r="AK365" s="69">
        <f t="shared" si="1865"/>
        <v>628.5</v>
      </c>
      <c r="AL365" s="69">
        <f t="shared" si="1865"/>
        <v>298.60000000000002</v>
      </c>
      <c r="AM365" s="2541">
        <f t="shared" si="1865"/>
        <v>155.35300000000001</v>
      </c>
      <c r="AN365" s="69">
        <f t="shared" si="1865"/>
        <v>156.196</v>
      </c>
      <c r="AO365" s="69">
        <f t="shared" si="1865"/>
        <v>162.95699999999999</v>
      </c>
      <c r="AP365" s="69">
        <f t="shared" si="1865"/>
        <v>111.209</v>
      </c>
      <c r="AQ365" s="69">
        <f t="shared" si="1865"/>
        <v>175.59100000000001</v>
      </c>
      <c r="AR365" s="69">
        <f t="shared" si="1865"/>
        <v>174.21299999999999</v>
      </c>
      <c r="AS365" s="69">
        <f t="shared" si="1865"/>
        <v>180.26599999999999</v>
      </c>
      <c r="AT365" s="69">
        <f t="shared" si="1865"/>
        <v>192.42699999999999</v>
      </c>
      <c r="AU365" s="69">
        <f t="shared" si="1865"/>
        <v>192.42699999999999</v>
      </c>
      <c r="AV365" s="69">
        <f t="shared" si="1865"/>
        <v>192.42699999999999</v>
      </c>
      <c r="AW365" s="69">
        <f t="shared" si="1865"/>
        <v>192.42699999999999</v>
      </c>
      <c r="AX365" s="69">
        <f t="shared" si="1865"/>
        <v>192.42699999999999</v>
      </c>
      <c r="AZ365" s="69">
        <v>180.26599999999999</v>
      </c>
      <c r="BD365" s="69"/>
      <c r="BE365" s="69"/>
      <c r="BF365" s="69"/>
      <c r="BG365" s="69"/>
      <c r="BH365" s="69">
        <f t="shared" ref="BH365:BS365" si="1866">+BH118</f>
        <v>542.1</v>
      </c>
      <c r="BI365" s="69">
        <f t="shared" si="1866"/>
        <v>1059.7</v>
      </c>
      <c r="BJ365" s="69">
        <f t="shared" si="1866"/>
        <v>1005.5</v>
      </c>
      <c r="BK365" s="69">
        <f t="shared" si="1866"/>
        <v>878.4</v>
      </c>
      <c r="BL365" s="69">
        <f t="shared" si="1866"/>
        <v>298.60000000000002</v>
      </c>
      <c r="BM365" s="2541">
        <f t="shared" si="1866"/>
        <v>111.209</v>
      </c>
      <c r="BN365" s="69">
        <f t="shared" si="1866"/>
        <v>192.42699999999999</v>
      </c>
      <c r="BO365" s="69">
        <f t="shared" si="1866"/>
        <v>192.42699999999999</v>
      </c>
      <c r="BP365" s="69">
        <f t="shared" si="1866"/>
        <v>192.42699999999999</v>
      </c>
      <c r="BQ365" s="69">
        <f t="shared" si="1866"/>
        <v>198.39511355049842</v>
      </c>
      <c r="BR365" s="69">
        <f t="shared" si="1866"/>
        <v>193.91902838762459</v>
      </c>
      <c r="BS365" s="69">
        <f t="shared" si="1866"/>
        <v>194.29203548453074</v>
      </c>
    </row>
    <row r="366" spans="2:71">
      <c r="B366" s="114" t="s">
        <v>630</v>
      </c>
      <c r="K366" s="69"/>
      <c r="L366" s="69"/>
      <c r="M366" s="69"/>
      <c r="N366" s="69"/>
      <c r="O366" s="69"/>
      <c r="P366" s="69"/>
      <c r="Q366" s="69"/>
      <c r="R366" s="69">
        <f t="shared" ref="R366:AX366" si="1867">+R132</f>
        <v>377.471</v>
      </c>
      <c r="S366" s="69">
        <f t="shared" si="1867"/>
        <v>1796.6</v>
      </c>
      <c r="T366" s="69">
        <f t="shared" si="1867"/>
        <v>1815.6869999999999</v>
      </c>
      <c r="U366" s="69">
        <f t="shared" si="1867"/>
        <v>2041.2</v>
      </c>
      <c r="V366" s="69">
        <f t="shared" si="1867"/>
        <v>1975.5</v>
      </c>
      <c r="W366" s="69">
        <f t="shared" si="1867"/>
        <v>2971.6</v>
      </c>
      <c r="X366" s="69">
        <f t="shared" si="1867"/>
        <v>3026.1</v>
      </c>
      <c r="Y366" s="69">
        <f t="shared" si="1867"/>
        <v>3052.6</v>
      </c>
      <c r="Z366" s="69">
        <f t="shared" si="1867"/>
        <v>2798.8</v>
      </c>
      <c r="AA366" s="69">
        <f t="shared" si="1867"/>
        <v>2799.8</v>
      </c>
      <c r="AB366" s="69">
        <f t="shared" si="1867"/>
        <v>2418.9</v>
      </c>
      <c r="AC366" s="69">
        <f t="shared" si="1867"/>
        <v>2514.6</v>
      </c>
      <c r="AD366" s="69">
        <f t="shared" si="1867"/>
        <v>2542.3000000000002</v>
      </c>
      <c r="AE366" s="69">
        <f t="shared" si="1867"/>
        <v>2214.4</v>
      </c>
      <c r="AF366" s="69">
        <f t="shared" si="1867"/>
        <v>2451.3000000000002</v>
      </c>
      <c r="AG366" s="69">
        <f t="shared" si="1867"/>
        <v>2440</v>
      </c>
      <c r="AH366" s="69">
        <f t="shared" si="1867"/>
        <v>2392.3000000000002</v>
      </c>
      <c r="AI366" s="69">
        <f t="shared" si="1867"/>
        <v>1644.7</v>
      </c>
      <c r="AJ366" s="69">
        <f t="shared" si="1867"/>
        <v>1539.1</v>
      </c>
      <c r="AK366" s="69">
        <f t="shared" si="1867"/>
        <v>1497.9</v>
      </c>
      <c r="AL366" s="69">
        <f t="shared" si="1867"/>
        <v>851.8</v>
      </c>
      <c r="AM366" s="2541">
        <f t="shared" si="1867"/>
        <v>486.95100000000002</v>
      </c>
      <c r="AN366" s="69">
        <f t="shared" si="1867"/>
        <v>509.17599999999999</v>
      </c>
      <c r="AO366" s="69">
        <f t="shared" si="1867"/>
        <v>503.84100000000001</v>
      </c>
      <c r="AP366" s="69">
        <f t="shared" si="1867"/>
        <v>571.94100000000003</v>
      </c>
      <c r="AQ366" s="69">
        <f t="shared" si="1867"/>
        <v>414.95400000000001</v>
      </c>
      <c r="AR366" s="69">
        <f t="shared" si="1867"/>
        <v>370.30500000000001</v>
      </c>
      <c r="AS366" s="69">
        <f t="shared" si="1867"/>
        <v>376.77499999999998</v>
      </c>
      <c r="AT366" s="69">
        <f t="shared" si="1867"/>
        <v>401.45499999999998</v>
      </c>
      <c r="AU366" s="69">
        <f t="shared" si="1867"/>
        <v>401.45499999999998</v>
      </c>
      <c r="AV366" s="69">
        <f t="shared" si="1867"/>
        <v>401.45499999999998</v>
      </c>
      <c r="AW366" s="69">
        <f t="shared" si="1867"/>
        <v>401.45499999999998</v>
      </c>
      <c r="AX366" s="69">
        <f t="shared" si="1867"/>
        <v>401.45499999999998</v>
      </c>
      <c r="AZ366" s="69">
        <v>376.77499999999998</v>
      </c>
      <c r="BD366" s="69"/>
      <c r="BE366" s="69"/>
      <c r="BF366" s="69"/>
      <c r="BG366" s="69"/>
      <c r="BH366" s="69">
        <f t="shared" ref="BH366:BS366" si="1868">+BH132</f>
        <v>1975.5</v>
      </c>
      <c r="BI366" s="69">
        <f t="shared" si="1868"/>
        <v>2798.8</v>
      </c>
      <c r="BJ366" s="69">
        <f t="shared" si="1868"/>
        <v>2542.3000000000002</v>
      </c>
      <c r="BK366" s="69">
        <f t="shared" si="1868"/>
        <v>2392.3000000000002</v>
      </c>
      <c r="BL366" s="69">
        <f t="shared" si="1868"/>
        <v>851.8</v>
      </c>
      <c r="BM366" s="2541">
        <f t="shared" si="1868"/>
        <v>571.94100000000003</v>
      </c>
      <c r="BN366" s="69">
        <f t="shared" si="1868"/>
        <v>401.45499999999998</v>
      </c>
      <c r="BO366" s="69">
        <f t="shared" si="1868"/>
        <v>401.45499999999998</v>
      </c>
      <c r="BP366" s="69">
        <f t="shared" si="1868"/>
        <v>401.45499999999998</v>
      </c>
      <c r="BQ366" s="69">
        <f t="shared" si="1868"/>
        <v>413.90610626583253</v>
      </c>
      <c r="BR366" s="69">
        <f t="shared" si="1868"/>
        <v>404.56777656645818</v>
      </c>
      <c r="BS366" s="69">
        <f t="shared" si="1868"/>
        <v>405.34597070807274</v>
      </c>
    </row>
    <row r="367" spans="2:71" s="105" customFormat="1">
      <c r="B367" s="1581" t="s">
        <v>631</v>
      </c>
      <c r="K367" s="106"/>
      <c r="L367" s="106"/>
      <c r="M367" s="106"/>
      <c r="N367" s="106"/>
      <c r="O367" s="106"/>
      <c r="P367" s="106"/>
      <c r="Q367" s="106"/>
      <c r="R367" s="106">
        <f t="shared" ref="R367:W367" si="1869">+R366+R365</f>
        <v>446.23500000000001</v>
      </c>
      <c r="S367" s="106">
        <f t="shared" si="1869"/>
        <v>2248.1999999999998</v>
      </c>
      <c r="T367" s="106">
        <f t="shared" si="1869"/>
        <v>2271.8209999999999</v>
      </c>
      <c r="U367" s="106">
        <f t="shared" si="1869"/>
        <v>2545.4</v>
      </c>
      <c r="V367" s="106">
        <f>+V366+V365</f>
        <v>2517.6</v>
      </c>
      <c r="W367" s="106">
        <f t="shared" si="1869"/>
        <v>3928</v>
      </c>
      <c r="X367" s="106">
        <f t="shared" ref="X367:Y367" si="1870">+X366+X365</f>
        <v>4107.2</v>
      </c>
      <c r="Y367" s="106">
        <f t="shared" si="1870"/>
        <v>4181.8</v>
      </c>
      <c r="Z367" s="106">
        <f t="shared" ref="Z367:AA367" si="1871">+Z366+Z365</f>
        <v>3858.5</v>
      </c>
      <c r="AA367" s="106">
        <f t="shared" si="1871"/>
        <v>3920.6000000000004</v>
      </c>
      <c r="AB367" s="106">
        <f t="shared" ref="AB367:AC367" si="1872">+AB366+AB365</f>
        <v>3388.7</v>
      </c>
      <c r="AC367" s="106">
        <f t="shared" si="1872"/>
        <v>3495.8</v>
      </c>
      <c r="AD367" s="106">
        <f t="shared" ref="AD367:AE367" si="1873">+AD366+AD365</f>
        <v>3547.8</v>
      </c>
      <c r="AE367" s="106">
        <f t="shared" si="1873"/>
        <v>3061.7</v>
      </c>
      <c r="AF367" s="106">
        <f t="shared" ref="AF367:AG367" si="1874">+AF366+AF365</f>
        <v>3341.9</v>
      </c>
      <c r="AG367" s="106">
        <f t="shared" si="1874"/>
        <v>3294.7</v>
      </c>
      <c r="AH367" s="106">
        <f t="shared" ref="AH367:AI367" si="1875">+AH366+AH365</f>
        <v>3270.7000000000003</v>
      </c>
      <c r="AI367" s="106">
        <f t="shared" si="1875"/>
        <v>2279.6999999999998</v>
      </c>
      <c r="AJ367" s="106">
        <f t="shared" ref="AJ367:AK367" si="1876">+AJ366+AJ365</f>
        <v>2146.6999999999998</v>
      </c>
      <c r="AK367" s="106">
        <f t="shared" si="1876"/>
        <v>2126.4</v>
      </c>
      <c r="AL367" s="106">
        <f t="shared" ref="AL367:AO367" si="1877">+AL366+AL365</f>
        <v>1150.4000000000001</v>
      </c>
      <c r="AM367" s="2573">
        <f t="shared" si="1877"/>
        <v>642.30400000000009</v>
      </c>
      <c r="AN367" s="106">
        <f t="shared" si="1877"/>
        <v>665.37199999999996</v>
      </c>
      <c r="AO367" s="106">
        <f t="shared" si="1877"/>
        <v>666.798</v>
      </c>
      <c r="AP367" s="106">
        <f t="shared" ref="AP367" si="1878">+AP366+AP365</f>
        <v>683.15000000000009</v>
      </c>
      <c r="AQ367" s="106">
        <f t="shared" ref="AQ367:AT367" si="1879">+AQ366+AQ365</f>
        <v>590.54500000000007</v>
      </c>
      <c r="AR367" s="106">
        <f t="shared" si="1879"/>
        <v>544.51800000000003</v>
      </c>
      <c r="AS367" s="106">
        <f t="shared" si="1879"/>
        <v>557.04099999999994</v>
      </c>
      <c r="AT367" s="106">
        <f t="shared" si="1879"/>
        <v>593.88199999999995</v>
      </c>
      <c r="AU367" s="106">
        <f t="shared" ref="AU367:AX367" si="1880">+AU366+AU365</f>
        <v>593.88199999999995</v>
      </c>
      <c r="AV367" s="106">
        <f t="shared" si="1880"/>
        <v>593.88199999999995</v>
      </c>
      <c r="AW367" s="106">
        <f t="shared" si="1880"/>
        <v>593.88199999999995</v>
      </c>
      <c r="AX367" s="106">
        <f t="shared" si="1880"/>
        <v>593.88199999999995</v>
      </c>
      <c r="AZ367" s="106">
        <v>557.04099999999994</v>
      </c>
      <c r="BA367" s="1070"/>
      <c r="BD367" s="106"/>
      <c r="BE367" s="106"/>
      <c r="BF367" s="106"/>
      <c r="BG367" s="106"/>
      <c r="BH367" s="106">
        <f t="shared" ref="BH367:BP367" si="1881">+BH366+BH365</f>
        <v>2517.6</v>
      </c>
      <c r="BI367" s="106">
        <f t="shared" si="1881"/>
        <v>3858.5</v>
      </c>
      <c r="BJ367" s="106">
        <f t="shared" ref="BJ367:BO367" si="1882">+BJ366+BJ365</f>
        <v>3547.8</v>
      </c>
      <c r="BK367" s="106">
        <f t="shared" si="1882"/>
        <v>3270.7000000000003</v>
      </c>
      <c r="BL367" s="106">
        <f t="shared" si="1882"/>
        <v>1150.4000000000001</v>
      </c>
      <c r="BM367" s="2573">
        <f t="shared" si="1882"/>
        <v>683.15000000000009</v>
      </c>
      <c r="BN367" s="106">
        <f t="shared" si="1882"/>
        <v>593.88199999999995</v>
      </c>
      <c r="BO367" s="106">
        <f t="shared" si="1882"/>
        <v>593.88199999999995</v>
      </c>
      <c r="BP367" s="106">
        <f t="shared" si="1881"/>
        <v>593.88199999999995</v>
      </c>
      <c r="BQ367" s="106">
        <f t="shared" ref="BQ367:BS367" si="1883">+BQ366+BQ365</f>
        <v>612.30121981633101</v>
      </c>
      <c r="BR367" s="106">
        <f t="shared" si="1883"/>
        <v>598.4868049540828</v>
      </c>
      <c r="BS367" s="106">
        <f t="shared" si="1883"/>
        <v>599.63800619260348</v>
      </c>
    </row>
    <row r="368" spans="2:71" s="1177" customFormat="1">
      <c r="B368" s="2292" t="s">
        <v>632</v>
      </c>
      <c r="K368" s="2293"/>
      <c r="L368" s="2293"/>
      <c r="M368" s="2293"/>
      <c r="N368" s="2293"/>
      <c r="O368" s="2293"/>
      <c r="P368" s="2293"/>
      <c r="Q368" s="2293"/>
      <c r="R368" s="2293">
        <f t="shared" ref="R368:AL368" si="1884">+AVERAGE(Q367:R367)</f>
        <v>446.23500000000001</v>
      </c>
      <c r="S368" s="2293">
        <f t="shared" si="1884"/>
        <v>1347.2175</v>
      </c>
      <c r="T368" s="2293">
        <f>+AVERAGE(S367:T367)</f>
        <v>2260.0104999999999</v>
      </c>
      <c r="U368" s="2293">
        <f t="shared" si="1884"/>
        <v>2408.6104999999998</v>
      </c>
      <c r="V368" s="2293">
        <f t="shared" si="1884"/>
        <v>2531.5</v>
      </c>
      <c r="W368" s="2293">
        <f t="shared" si="1884"/>
        <v>3222.8</v>
      </c>
      <c r="X368" s="2293">
        <f t="shared" si="1884"/>
        <v>4017.6</v>
      </c>
      <c r="Y368" s="2293">
        <f t="shared" si="1884"/>
        <v>4144.5</v>
      </c>
      <c r="Z368" s="2293">
        <f t="shared" si="1884"/>
        <v>4020.15</v>
      </c>
      <c r="AA368" s="2293">
        <f t="shared" si="1884"/>
        <v>3889.55</v>
      </c>
      <c r="AB368" s="2293">
        <f t="shared" si="1884"/>
        <v>3654.65</v>
      </c>
      <c r="AC368" s="2293">
        <f t="shared" si="1884"/>
        <v>3442.25</v>
      </c>
      <c r="AD368" s="2293">
        <f t="shared" si="1884"/>
        <v>3521.8</v>
      </c>
      <c r="AE368" s="2293">
        <f t="shared" si="1884"/>
        <v>3304.75</v>
      </c>
      <c r="AF368" s="2293">
        <f t="shared" si="1884"/>
        <v>3201.8</v>
      </c>
      <c r="AG368" s="2293">
        <f t="shared" si="1884"/>
        <v>3318.3</v>
      </c>
      <c r="AH368" s="2293">
        <f t="shared" si="1884"/>
        <v>3282.7</v>
      </c>
      <c r="AI368" s="2293">
        <f t="shared" si="1884"/>
        <v>2775.2</v>
      </c>
      <c r="AJ368" s="2293">
        <f t="shared" si="1884"/>
        <v>2213.1999999999998</v>
      </c>
      <c r="AK368" s="2293">
        <f t="shared" si="1884"/>
        <v>2136.5500000000002</v>
      </c>
      <c r="AL368" s="2293">
        <f t="shared" si="1884"/>
        <v>1638.4</v>
      </c>
      <c r="AM368" s="2598">
        <f t="shared" ref="AM368" si="1885">+AVERAGE(AL367:AM367)</f>
        <v>896.35200000000009</v>
      </c>
      <c r="AN368" s="2293">
        <f t="shared" ref="AN368" si="1886">+AVERAGE(AM367:AN367)</f>
        <v>653.83799999999997</v>
      </c>
      <c r="AO368" s="2293">
        <f t="shared" ref="AO368" si="1887">+AVERAGE(AN367:AO367)</f>
        <v>666.08500000000004</v>
      </c>
      <c r="AP368" s="2293">
        <f t="shared" ref="AP368" si="1888">+AVERAGE(AO367:AP367)</f>
        <v>674.97400000000005</v>
      </c>
      <c r="AQ368" s="2293">
        <f t="shared" ref="AQ368" si="1889">+AVERAGE(AP367:AQ367)</f>
        <v>636.84750000000008</v>
      </c>
      <c r="AR368" s="2293">
        <f t="shared" ref="AR368" si="1890">+AVERAGE(AQ367:AR367)</f>
        <v>567.53150000000005</v>
      </c>
      <c r="AS368" s="2293">
        <f t="shared" ref="AS368" si="1891">+AVERAGE(AR367:AS367)</f>
        <v>550.77949999999998</v>
      </c>
      <c r="AT368" s="2293">
        <f t="shared" ref="AT368" si="1892">+AVERAGE(AS367:AT367)</f>
        <v>575.46149999999989</v>
      </c>
      <c r="AU368" s="2293">
        <f t="shared" ref="AU368" si="1893">+AVERAGE(AT367:AU367)</f>
        <v>593.88199999999995</v>
      </c>
      <c r="AV368" s="2293">
        <f t="shared" ref="AV368" si="1894">+AVERAGE(AU367:AV367)</f>
        <v>593.88199999999995</v>
      </c>
      <c r="AW368" s="2293">
        <f t="shared" ref="AW368" si="1895">+AVERAGE(AV367:AW367)</f>
        <v>593.88199999999995</v>
      </c>
      <c r="AX368" s="2293">
        <f t="shared" ref="AX368" si="1896">+AVERAGE(AW367:AX367)</f>
        <v>593.88199999999995</v>
      </c>
      <c r="AZ368" s="2293">
        <v>557.04099999999994</v>
      </c>
      <c r="BD368" s="2293"/>
      <c r="BE368" s="2293"/>
      <c r="BF368" s="2293"/>
      <c r="BG368" s="2293"/>
      <c r="BH368" s="2293">
        <f t="shared" ref="BH368:BP368" si="1897">+AVERAGE(BG367:BH367)</f>
        <v>2517.6</v>
      </c>
      <c r="BI368" s="2293">
        <f t="shared" si="1897"/>
        <v>3188.05</v>
      </c>
      <c r="BJ368" s="2293">
        <f t="shared" si="1897"/>
        <v>3703.15</v>
      </c>
      <c r="BK368" s="2293">
        <f t="shared" si="1897"/>
        <v>3409.25</v>
      </c>
      <c r="BL368" s="2293">
        <f t="shared" si="1897"/>
        <v>2210.5500000000002</v>
      </c>
      <c r="BM368" s="2598">
        <f t="shared" si="1897"/>
        <v>916.77500000000009</v>
      </c>
      <c r="BN368" s="2293">
        <f t="shared" si="1897"/>
        <v>638.51600000000008</v>
      </c>
      <c r="BO368" s="2293">
        <f t="shared" si="1897"/>
        <v>593.88199999999995</v>
      </c>
      <c r="BP368" s="2293">
        <f t="shared" si="1897"/>
        <v>593.88199999999995</v>
      </c>
      <c r="BQ368" s="2293">
        <f t="shared" ref="BQ368" si="1898">+AVERAGE(BP367:BQ367)</f>
        <v>603.09160990816554</v>
      </c>
      <c r="BR368" s="2293">
        <f t="shared" ref="BR368" si="1899">+AVERAGE(BQ367:BR367)</f>
        <v>605.39401238520691</v>
      </c>
      <c r="BS368" s="2293">
        <f t="shared" ref="BS368" si="1900">+AVERAGE(BR367:BS367)</f>
        <v>599.06240557334309</v>
      </c>
    </row>
    <row r="369" spans="2:2">
      <c r="B369" s="114"/>
    </row>
    <row r="370" spans="2:2">
      <c r="B370" s="114"/>
    </row>
    <row r="371" spans="2:2">
      <c r="B371" s="114"/>
    </row>
    <row r="372" spans="2:2">
      <c r="B372" s="114"/>
    </row>
    <row r="373" spans="2:2">
      <c r="B373" s="114"/>
    </row>
    <row r="374" spans="2:2">
      <c r="B374" s="114"/>
    </row>
    <row r="375" spans="2:2">
      <c r="B375" s="114"/>
    </row>
    <row r="376" spans="2:2">
      <c r="B376" s="114"/>
    </row>
    <row r="377" spans="2:2">
      <c r="B377" s="114"/>
    </row>
    <row r="378" spans="2:2">
      <c r="B378" s="114"/>
    </row>
    <row r="379" spans="2:2">
      <c r="B379" s="114"/>
    </row>
    <row r="380" spans="2:2">
      <c r="B380" s="114"/>
    </row>
    <row r="381" spans="2:2">
      <c r="B381" s="114"/>
    </row>
    <row r="382" spans="2:2">
      <c r="B382" s="114"/>
    </row>
    <row r="383" spans="2:2">
      <c r="B383" s="114"/>
    </row>
    <row r="384" spans="2:2">
      <c r="B384" s="114"/>
    </row>
    <row r="385" spans="2:2">
      <c r="B385" s="114"/>
    </row>
    <row r="386" spans="2:2">
      <c r="B386" s="114"/>
    </row>
    <row r="387" spans="2:2">
      <c r="B387" s="114"/>
    </row>
    <row r="388" spans="2:2">
      <c r="B388" s="114"/>
    </row>
    <row r="389" spans="2:2">
      <c r="B389" s="130"/>
    </row>
    <row r="390" spans="2:2">
      <c r="B390" s="114"/>
    </row>
    <row r="391" spans="2:2">
      <c r="B391" s="114"/>
    </row>
    <row r="392" spans="2:2">
      <c r="B392" s="130"/>
    </row>
    <row r="393" spans="2:2">
      <c r="B393" s="114"/>
    </row>
    <row r="394" spans="2:2">
      <c r="B394" s="114"/>
    </row>
    <row r="395" spans="2:2">
      <c r="B395" s="130"/>
    </row>
    <row r="396" spans="2:2">
      <c r="B396" s="130"/>
    </row>
    <row r="397" spans="2:2">
      <c r="B397" s="130"/>
    </row>
    <row r="398" spans="2:2">
      <c r="B398" s="130"/>
    </row>
    <row r="399" spans="2:2">
      <c r="B399" s="130"/>
    </row>
    <row r="400" spans="2:2">
      <c r="B400" s="130"/>
    </row>
    <row r="401" spans="2:2">
      <c r="B401" s="130"/>
    </row>
    <row r="402" spans="2:2">
      <c r="B402" s="130"/>
    </row>
    <row r="403" spans="2:2">
      <c r="B403" s="114"/>
    </row>
    <row r="404" spans="2:2">
      <c r="B404" s="116"/>
    </row>
    <row r="405" spans="2:2">
      <c r="B405" s="114"/>
    </row>
    <row r="406" spans="2:2">
      <c r="B406" s="114"/>
    </row>
    <row r="407" spans="2:2">
      <c r="B407" s="114"/>
    </row>
    <row r="408" spans="2:2">
      <c r="B408" s="114"/>
    </row>
    <row r="409" spans="2:2">
      <c r="B409" s="114"/>
    </row>
    <row r="410" spans="2:2">
      <c r="B410" s="114"/>
    </row>
    <row r="411" spans="2:2">
      <c r="B411" s="114"/>
    </row>
    <row r="412" spans="2:2">
      <c r="B412" s="114"/>
    </row>
    <row r="413" spans="2:2">
      <c r="B413" s="117"/>
    </row>
    <row r="414" spans="2:2">
      <c r="B414" s="114"/>
    </row>
    <row r="415" spans="2:2">
      <c r="B415" s="114"/>
    </row>
    <row r="416" spans="2:2">
      <c r="B416" s="114"/>
    </row>
    <row r="417" spans="2:2">
      <c r="B417" s="114"/>
    </row>
    <row r="418" spans="2:2">
      <c r="B418" s="114"/>
    </row>
    <row r="419" spans="2:2">
      <c r="B419" s="114"/>
    </row>
    <row r="420" spans="2:2">
      <c r="B420" s="114"/>
    </row>
    <row r="421" spans="2:2">
      <c r="B421" s="114"/>
    </row>
    <row r="422" spans="2:2">
      <c r="B422" s="114"/>
    </row>
    <row r="423" spans="2:2">
      <c r="B423" s="114"/>
    </row>
    <row r="424" spans="2:2">
      <c r="B424" s="114"/>
    </row>
    <row r="425" spans="2:2">
      <c r="B425" s="114"/>
    </row>
    <row r="426" spans="2:2">
      <c r="B426" s="114"/>
    </row>
    <row r="427" spans="2:2">
      <c r="B427" s="114"/>
    </row>
    <row r="428" spans="2:2">
      <c r="B428" s="114"/>
    </row>
    <row r="429" spans="2:2">
      <c r="B429" s="114"/>
    </row>
    <row r="430" spans="2:2">
      <c r="B430" s="114"/>
    </row>
    <row r="431" spans="2:2">
      <c r="B431" s="114"/>
    </row>
    <row r="432" spans="2:2">
      <c r="B432" s="114"/>
    </row>
    <row r="433" spans="2:2">
      <c r="B433" s="114"/>
    </row>
    <row r="434" spans="2:2">
      <c r="B434" s="114"/>
    </row>
    <row r="435" spans="2:2">
      <c r="B435" s="114"/>
    </row>
    <row r="436" spans="2:2">
      <c r="B436" s="114"/>
    </row>
    <row r="437" spans="2:2">
      <c r="B437" s="114"/>
    </row>
    <row r="438" spans="2:2">
      <c r="B438" s="114"/>
    </row>
    <row r="439" spans="2:2">
      <c r="B439" s="114"/>
    </row>
    <row r="440" spans="2:2">
      <c r="B440" s="114"/>
    </row>
    <row r="441" spans="2:2">
      <c r="B441" s="114"/>
    </row>
    <row r="442" spans="2:2">
      <c r="B442" s="114"/>
    </row>
    <row r="443" spans="2:2">
      <c r="B443" s="114"/>
    </row>
    <row r="444" spans="2:2">
      <c r="B444" s="114"/>
    </row>
    <row r="445" spans="2:2">
      <c r="B445" s="114"/>
    </row>
    <row r="446" spans="2:2">
      <c r="B446" s="114"/>
    </row>
    <row r="447" spans="2:2">
      <c r="B447" s="114"/>
    </row>
    <row r="448" spans="2:2">
      <c r="B448" s="114"/>
    </row>
    <row r="449" spans="2:2">
      <c r="B449" s="114"/>
    </row>
    <row r="450" spans="2:2">
      <c r="B450" s="114"/>
    </row>
    <row r="451" spans="2:2">
      <c r="B451" s="114"/>
    </row>
    <row r="452" spans="2:2">
      <c r="B452" s="114"/>
    </row>
    <row r="453" spans="2:2">
      <c r="B453" s="114"/>
    </row>
    <row r="454" spans="2:2">
      <c r="B454" s="114"/>
    </row>
    <row r="455" spans="2:2">
      <c r="B455" s="114"/>
    </row>
    <row r="456" spans="2:2">
      <c r="B456" s="114"/>
    </row>
    <row r="457" spans="2:2">
      <c r="B457" s="114"/>
    </row>
    <row r="458" spans="2:2">
      <c r="B458" s="114"/>
    </row>
    <row r="459" spans="2:2">
      <c r="B459" s="114"/>
    </row>
    <row r="460" spans="2:2">
      <c r="B460" s="114"/>
    </row>
    <row r="461" spans="2:2">
      <c r="B461" s="114"/>
    </row>
    <row r="462" spans="2:2">
      <c r="B462" s="114"/>
    </row>
    <row r="463" spans="2:2">
      <c r="B463" s="114"/>
    </row>
    <row r="464" spans="2:2">
      <c r="B464" s="114"/>
    </row>
    <row r="465" spans="2:2">
      <c r="B465" s="114"/>
    </row>
    <row r="466" spans="2:2">
      <c r="B466" s="114"/>
    </row>
    <row r="467" spans="2:2">
      <c r="B467" s="114"/>
    </row>
    <row r="468" spans="2:2">
      <c r="B468" s="114"/>
    </row>
    <row r="469" spans="2:2">
      <c r="B469" s="114"/>
    </row>
  </sheetData>
  <phoneticPr fontId="108" type="noConversion"/>
  <pageMargins left="0.7" right="0.7" top="0.75" bottom="0.75" header="0.3" footer="0.3"/>
  <pageSetup paperSize="9" orientation="portrait" r:id="rId1"/>
  <ignoredErrors>
    <ignoredError sqref="J129:Q129 AY271 BD41:BJ41 BD27:BD28 BE230:BI230 BD271:BI271 A271:Z271 B170:Z172 BU271:XFD271 BB271" formulaRange="1"/>
    <ignoredError sqref="BD108:BI108 BE11:BJ11 BE20 BE15:BH15 BE16:BG16 S342:V343 BE17:BJ19 BE9:BJ9 A321:X341 BG342:BJ342 BE13:BJ14 BE12 BD332:BH332 BD321:BJ331 AY321:AY341 BD333:BJ341 AC324:AC327 BA216:BB218 BA321:BB341 BU321:XFD341 A216:AD218 AY216:AY218 BD216:BL218 BU216:XFD218" formula="1"/>
  </ignoredError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Y74"/>
  <sheetViews>
    <sheetView showGridLines="0" topLeftCell="B1" workbookViewId="0">
      <pane xSplit="2" ySplit="2" topLeftCell="Q9" activePane="bottomRight" state="frozen"/>
      <selection pane="topRight" activeCell="D1" sqref="D1"/>
      <selection pane="bottomLeft" activeCell="B3" sqref="B3"/>
      <selection pane="bottomRight" activeCell="C35" sqref="C35"/>
    </sheetView>
  </sheetViews>
  <sheetFormatPr defaultColWidth="9.140625" defaultRowHeight="15"/>
  <cols>
    <col min="1" max="1" width="18.140625" bestFit="1" customWidth="1"/>
    <col min="2" max="2" width="13.85546875" bestFit="1" customWidth="1"/>
    <col min="3" max="3" width="19.42578125" style="1155" bestFit="1" customWidth="1"/>
    <col min="4" max="4" width="9.5703125" bestFit="1" customWidth="1"/>
    <col min="33" max="39" width="0" hidden="1" customWidth="1"/>
    <col min="40" max="43" width="12" hidden="1" customWidth="1"/>
  </cols>
  <sheetData>
    <row r="2" spans="2:51">
      <c r="C2" s="1155" t="s">
        <v>633</v>
      </c>
      <c r="D2" s="282" t="s">
        <v>434</v>
      </c>
      <c r="E2" s="282" t="s">
        <v>435</v>
      </c>
      <c r="F2" s="282" t="s">
        <v>436</v>
      </c>
      <c r="G2" s="282" t="s">
        <v>437</v>
      </c>
      <c r="H2" s="282" t="s">
        <v>438</v>
      </c>
      <c r="I2" s="282" t="s">
        <v>439</v>
      </c>
      <c r="J2" s="282" t="s">
        <v>440</v>
      </c>
      <c r="K2" s="282" t="s">
        <v>441</v>
      </c>
      <c r="L2" s="282" t="s">
        <v>442</v>
      </c>
      <c r="M2" s="282" t="s">
        <v>443</v>
      </c>
      <c r="N2" s="282" t="s">
        <v>444</v>
      </c>
      <c r="O2" s="282" t="s">
        <v>445</v>
      </c>
      <c r="P2" s="282" t="s">
        <v>446</v>
      </c>
      <c r="Q2" s="282" t="s">
        <v>447</v>
      </c>
      <c r="R2" s="282" t="s">
        <v>448</v>
      </c>
      <c r="S2" s="282" t="s">
        <v>449</v>
      </c>
      <c r="T2" s="282" t="s">
        <v>450</v>
      </c>
      <c r="U2" s="282" t="s">
        <v>451</v>
      </c>
      <c r="V2" s="282" t="s">
        <v>452</v>
      </c>
      <c r="W2" s="282" t="s">
        <v>453</v>
      </c>
      <c r="X2" s="282" t="s">
        <v>454</v>
      </c>
      <c r="Y2" s="282" t="s">
        <v>455</v>
      </c>
      <c r="Z2" s="282" t="s">
        <v>456</v>
      </c>
      <c r="AA2" s="282" t="s">
        <v>457</v>
      </c>
      <c r="AB2" s="282" t="s">
        <v>458</v>
      </c>
      <c r="AC2" s="282" t="s">
        <v>459</v>
      </c>
      <c r="AD2" s="282" t="s">
        <v>460</v>
      </c>
      <c r="AE2" s="282" t="s">
        <v>461</v>
      </c>
      <c r="AF2" s="275"/>
      <c r="AG2" s="282" t="s">
        <v>439</v>
      </c>
      <c r="AH2" s="1086" t="s">
        <v>297</v>
      </c>
      <c r="AI2" s="275"/>
      <c r="AJ2" s="281">
        <v>2015</v>
      </c>
      <c r="AK2" s="281">
        <f>+AJ2+1</f>
        <v>2016</v>
      </c>
      <c r="AL2" s="281">
        <f>+AK2+1</f>
        <v>2017</v>
      </c>
      <c r="AM2" s="281">
        <v>2018</v>
      </c>
      <c r="AN2" s="281">
        <v>2019</v>
      </c>
      <c r="AO2" s="281">
        <f>+AN2+1</f>
        <v>2020</v>
      </c>
      <c r="AP2" s="281">
        <f>+AO2+1</f>
        <v>2021</v>
      </c>
      <c r="AQ2" s="281">
        <f>+AP2+1</f>
        <v>2022</v>
      </c>
      <c r="AR2" s="282">
        <v>2023</v>
      </c>
      <c r="AS2" s="282">
        <f>+AR2+1</f>
        <v>2024</v>
      </c>
      <c r="AT2" s="282">
        <f t="shared" ref="AT2:AV2" si="0">+AS2+1</f>
        <v>2025</v>
      </c>
      <c r="AU2" s="282">
        <f t="shared" si="0"/>
        <v>2026</v>
      </c>
      <c r="AV2" s="282">
        <f t="shared" si="0"/>
        <v>2027</v>
      </c>
      <c r="AW2" s="282">
        <f t="shared" ref="AW2" si="1">+AV2+1</f>
        <v>2028</v>
      </c>
      <c r="AX2" s="282">
        <f t="shared" ref="AX2" si="2">+AW2+1</f>
        <v>2029</v>
      </c>
      <c r="AY2" s="282">
        <f t="shared" ref="AY2" si="3">+AX2+1</f>
        <v>2030</v>
      </c>
    </row>
    <row r="3" spans="2:51" s="842" customFormat="1">
      <c r="C3" s="1170" t="s">
        <v>609</v>
      </c>
      <c r="D3" s="845">
        <f>+MACRO!S5</f>
        <v>6.5000000000000002E-2</v>
      </c>
      <c r="E3" s="845">
        <f>+MACRO!T5</f>
        <v>6.5000000000000002E-2</v>
      </c>
      <c r="F3" s="845">
        <f>+MACRO!U5</f>
        <v>6.0999999999999999E-2</v>
      </c>
      <c r="G3" s="845">
        <f>+MACRO!V5</f>
        <v>5.0500000000000003E-2</v>
      </c>
      <c r="H3" s="845">
        <f>+MACRO!W5</f>
        <v>4.2700000000000002E-2</v>
      </c>
      <c r="I3" s="845">
        <f>+MACRO!X5</f>
        <v>3.1699999999999999E-2</v>
      </c>
      <c r="J3" s="845">
        <f>+MACRO!Y5</f>
        <v>2.0899999999999998E-2</v>
      </c>
      <c r="K3" s="845">
        <f>+MACRO!Z5</f>
        <v>0.02</v>
      </c>
      <c r="L3" s="845">
        <f>+MACRO!AA5</f>
        <v>2.1299999999999999E-2</v>
      </c>
      <c r="M3" s="845">
        <f>+MACRO!AB5</f>
        <v>3.3500000000000002E-2</v>
      </c>
      <c r="N3" s="845">
        <f>+MACRO!AC5</f>
        <v>4.99E-2</v>
      </c>
      <c r="O3" s="845">
        <f>+MACRO!AD5</f>
        <v>7.6799999999999993E-2</v>
      </c>
      <c r="P3" s="845">
        <f>+MACRO!AE5</f>
        <v>0.1042</v>
      </c>
      <c r="Q3" s="845">
        <f>+MACRO!AF5</f>
        <v>0.1249</v>
      </c>
      <c r="R3" s="845">
        <f>+MACRO!AG5</f>
        <v>0.13600000000000001</v>
      </c>
      <c r="S3" s="845">
        <f>+MACRO!AH5</f>
        <v>0.13750000000000001</v>
      </c>
      <c r="T3" s="845">
        <f>+MACRO!AI5</f>
        <v>0.13750000000000001</v>
      </c>
      <c r="U3" s="845">
        <f>+MACRO!AJ5</f>
        <v>0.13750000000000001</v>
      </c>
      <c r="V3" s="845">
        <f>+MACRO!AK5</f>
        <v>0.1336</v>
      </c>
      <c r="W3" s="845">
        <f>+MACRO!AL5</f>
        <v>0.12330000000000001</v>
      </c>
      <c r="X3" s="845">
        <f>+MACRO!AM5</f>
        <v>0.1135</v>
      </c>
      <c r="Y3" s="845">
        <f>+MACRO!AN5</f>
        <v>0.106</v>
      </c>
      <c r="Z3" s="845">
        <f>+MACRO!AO5</f>
        <v>0.1053</v>
      </c>
      <c r="AA3" s="845">
        <f>+MACRO!AP5</f>
        <v>0.11269999999999999</v>
      </c>
      <c r="AB3" s="845">
        <f>+MACRO!AQ5</f>
        <v>0.13583333333333333</v>
      </c>
      <c r="AC3" s="845">
        <f>+MACRO!AR5</f>
        <v>0.14749999999999999</v>
      </c>
      <c r="AD3" s="845">
        <f>+MACRO!AS5</f>
        <v>0.15</v>
      </c>
      <c r="AE3" s="845">
        <f>+MACRO!AT5</f>
        <v>0.15</v>
      </c>
      <c r="AF3" s="845"/>
      <c r="AG3" s="845">
        <f>+MACRO!AU6</f>
        <v>3.4994813649531054E-2</v>
      </c>
      <c r="AH3" s="845">
        <f>+MACRO!AX6</f>
        <v>2.9883571953558841E-2</v>
      </c>
      <c r="AI3" s="845">
        <f>+MACRO!BC6</f>
        <v>0.1096</v>
      </c>
      <c r="AJ3" s="845">
        <f>+MACRO!BD6</f>
        <v>0.135075</v>
      </c>
      <c r="AK3" s="845">
        <f>+MACRO!BE6</f>
        <v>0.14177499999999998</v>
      </c>
      <c r="AL3" s="845">
        <f>+MACRO!BF6</f>
        <v>0.10147500000000001</v>
      </c>
      <c r="AM3" s="845">
        <f>+MACRO!BG6</f>
        <v>6.5812499999999996E-2</v>
      </c>
      <c r="AN3" s="845">
        <f>+MACRO!BH6</f>
        <v>6.0374999999999998E-2</v>
      </c>
      <c r="AO3" s="845">
        <f>+MACRO!BI6</f>
        <v>2.8825E-2</v>
      </c>
      <c r="AP3" s="845">
        <f>+MACRO!BJ6</f>
        <v>4.5374999999999999E-2</v>
      </c>
      <c r="AQ3" s="845">
        <f>+MACRO!BK6</f>
        <v>0.12564999999999998</v>
      </c>
      <c r="AR3" s="845">
        <f>+MACRO!BL5</f>
        <v>0.13297500000000001</v>
      </c>
      <c r="AS3" s="845">
        <f>+MACRO!BM5</f>
        <v>0.109375</v>
      </c>
      <c r="AT3" s="845">
        <f>+MACRO!BN5</f>
        <v>0.14583333333333334</v>
      </c>
      <c r="AU3" s="845">
        <f>+MACRO!BO5</f>
        <v>0.13500000000000001</v>
      </c>
      <c r="AV3" s="845">
        <f>+MACRO!BP5</f>
        <v>0.115</v>
      </c>
      <c r="AW3" s="845">
        <f>+MACRO!BQ5</f>
        <v>0.11</v>
      </c>
      <c r="AX3" s="845">
        <f>+MACRO!BR5</f>
        <v>0.1</v>
      </c>
      <c r="AY3" s="845">
        <f>+MACRO!BS5</f>
        <v>0.09</v>
      </c>
    </row>
    <row r="4" spans="2:51" s="842" customFormat="1">
      <c r="C4" s="1170" t="s">
        <v>94</v>
      </c>
      <c r="D4" s="845">
        <f>+MACRO!S20</f>
        <v>3.8774088919715677E-2</v>
      </c>
      <c r="E4" s="845">
        <f>+MACRO!T20</f>
        <v>3.4521524402123749E-2</v>
      </c>
      <c r="F4" s="845">
        <f>+MACRO!U20</f>
        <v>2.8861207423910074E-2</v>
      </c>
      <c r="G4" s="845">
        <f>+MACRO!V20</f>
        <v>4.2901847469440035E-2</v>
      </c>
      <c r="H4" s="845">
        <f>+MACRO!W20</f>
        <v>3.3037948222438551E-2</v>
      </c>
      <c r="I4" s="845">
        <f>+MACRO!X20</f>
        <v>2.1344340229452863E-2</v>
      </c>
      <c r="J4" s="845">
        <f>+MACRO!Y20</f>
        <v>3.1327558396467392E-2</v>
      </c>
      <c r="K4" s="845">
        <f>+MACRO!Z20</f>
        <v>4.4908326166231971E-2</v>
      </c>
      <c r="L4" s="845">
        <f>+MACRO!AA20</f>
        <v>6.0497768072431679E-2</v>
      </c>
      <c r="M4" s="845">
        <f>+MACRO!AB20</f>
        <v>8.2864397709391691E-2</v>
      </c>
      <c r="N4" s="845">
        <f>+MACRO!AC20</f>
        <v>0.10158242117829164</v>
      </c>
      <c r="O4" s="845">
        <f>+MACRO!AD20</f>
        <v>9.9766038912527444E-2</v>
      </c>
      <c r="P4" s="845">
        <f>+MACRO!AE20</f>
        <v>0.11248383512888172</v>
      </c>
      <c r="Q4" s="845">
        <f>+MACRO!AF20</f>
        <v>0.11828315088198793</v>
      </c>
      <c r="R4" s="845">
        <f>+MACRO!AG20</f>
        <v>7.1375847145604077E-2</v>
      </c>
      <c r="S4" s="845">
        <f>+MACRO!AH20</f>
        <v>5.7740343796136129E-2</v>
      </c>
      <c r="T4" s="845">
        <f>+MACRO!AI20</f>
        <v>4.6058266757504018E-2</v>
      </c>
      <c r="U4" s="845">
        <f>+MACRO!AJ20</f>
        <v>3.1319285308083478E-2</v>
      </c>
      <c r="V4" s="845">
        <f>+MACRO!AK20</f>
        <v>5.1596567293465734E-2</v>
      </c>
      <c r="W4" s="845">
        <f>+MACRO!AL20</f>
        <v>4.7250271699456059E-2</v>
      </c>
      <c r="X4" s="845">
        <f>+MACRO!AM20</f>
        <v>4.0433004596154953E-2</v>
      </c>
      <c r="Y4" s="845">
        <f>+MACRO!AN20</f>
        <v>4.3463804430081909E-2</v>
      </c>
      <c r="Z4" s="845">
        <f>+MACRO!AO20</f>
        <v>4.3567815358847239E-2</v>
      </c>
      <c r="AA4" s="845">
        <f>+MACRO!AP20</f>
        <v>4.6425617126184093E-2</v>
      </c>
      <c r="AB4" s="845">
        <f>+MACRO!AQ20</f>
        <v>5.2872927209356879E-2</v>
      </c>
      <c r="AC4" s="845">
        <f>+MACRO!AR20</f>
        <v>5.1614952061645569E-2</v>
      </c>
      <c r="AD4" s="845">
        <f>+MACRO!AS20</f>
        <v>5.1723687586976652E-2</v>
      </c>
      <c r="AE4" s="845">
        <f>+MACRO!AT20</f>
        <v>4.2643849045688853E-2</v>
      </c>
      <c r="AF4" s="845"/>
      <c r="AG4" s="845"/>
      <c r="AH4" s="845"/>
      <c r="AI4" s="845"/>
      <c r="AJ4" s="845"/>
      <c r="AK4" s="845"/>
      <c r="AL4" s="845"/>
      <c r="AM4" s="845"/>
      <c r="AN4" s="845"/>
      <c r="AO4" s="845"/>
      <c r="AP4" s="845"/>
      <c r="AQ4" s="845"/>
      <c r="AR4" s="845">
        <f>+MACRO!BL8</f>
        <v>4.7250271699456059E-2</v>
      </c>
      <c r="AS4" s="845">
        <f>+MACRO!BM8</f>
        <v>4.6425617126184315E-2</v>
      </c>
      <c r="AT4" s="845">
        <f>+MACRO!BN8</f>
        <v>4.2643849045688853E-2</v>
      </c>
      <c r="AU4" s="845">
        <f>+MACRO!BO8</f>
        <v>3.9553578245000276E-2</v>
      </c>
      <c r="AV4" s="845">
        <f>+MACRO!BP8</f>
        <v>4.2500000000000003E-2</v>
      </c>
      <c r="AW4" s="845">
        <f>+MACRO!BQ8</f>
        <v>0.04</v>
      </c>
      <c r="AX4" s="845">
        <f>+MACRO!BR8</f>
        <v>0.04</v>
      </c>
      <c r="AY4" s="845">
        <f>+MACRO!BS8</f>
        <v>0.04</v>
      </c>
    </row>
    <row r="5" spans="2:51" s="842" customFormat="1">
      <c r="C5" s="1170" t="s">
        <v>634</v>
      </c>
      <c r="D5" s="845"/>
      <c r="E5" s="845"/>
      <c r="F5" s="845"/>
      <c r="G5" s="845"/>
      <c r="H5" s="845"/>
      <c r="I5" s="845"/>
      <c r="J5" s="845"/>
      <c r="K5" s="845"/>
      <c r="L5" s="845"/>
      <c r="M5" s="845"/>
      <c r="N5" s="845"/>
      <c r="O5" s="845"/>
      <c r="P5" s="845"/>
      <c r="Q5" s="845"/>
      <c r="R5" s="845"/>
      <c r="S5" s="845"/>
      <c r="T5" s="845"/>
      <c r="U5" s="845"/>
      <c r="V5" s="845"/>
      <c r="W5" s="845"/>
      <c r="X5" s="845"/>
      <c r="Y5" s="845"/>
      <c r="Z5" s="845"/>
      <c r="AA5" s="845"/>
      <c r="AB5" s="845"/>
      <c r="AC5" s="845"/>
      <c r="AD5" s="845"/>
      <c r="AE5" s="845"/>
      <c r="AF5" s="845"/>
      <c r="AG5" s="845"/>
      <c r="AH5" s="845"/>
      <c r="AI5" s="845"/>
      <c r="AJ5" s="845"/>
      <c r="AK5" s="845"/>
      <c r="AL5" s="845"/>
      <c r="AM5" s="845"/>
      <c r="AN5" s="845"/>
      <c r="AO5" s="845"/>
      <c r="AP5" s="845"/>
      <c r="AQ5" s="845"/>
      <c r="AR5" s="845"/>
      <c r="AS5" s="845"/>
      <c r="AT5" s="845"/>
      <c r="AU5" s="845"/>
      <c r="AV5" s="845"/>
      <c r="AW5" s="845"/>
      <c r="AX5" s="845"/>
      <c r="AY5" s="845"/>
    </row>
    <row r="7" spans="2:51" s="1177" customFormat="1">
      <c r="C7" s="1177" t="s">
        <v>635</v>
      </c>
      <c r="D7" s="1178">
        <f t="shared" ref="D7:L7" si="4">-(D12+D34+D52)</f>
        <v>-151.35456010170239</v>
      </c>
      <c r="E7" s="1178">
        <f t="shared" si="4"/>
        <v>-148.53500320869745</v>
      </c>
      <c r="F7" s="1178">
        <f t="shared" si="4"/>
        <v>-153.0477430810908</v>
      </c>
      <c r="G7" s="1178">
        <f t="shared" si="4"/>
        <v>-150.00879901329128</v>
      </c>
      <c r="H7" s="1178">
        <f t="shared" si="4"/>
        <v>-173.04381305593458</v>
      </c>
      <c r="I7" s="1178">
        <f t="shared" si="4"/>
        <v>-172.50704661547564</v>
      </c>
      <c r="J7" s="1178">
        <f t="shared" si="4"/>
        <v>-174.94385701511277</v>
      </c>
      <c r="K7" s="1178">
        <f t="shared" si="4"/>
        <v>-168.25606217923175</v>
      </c>
      <c r="L7" s="1178">
        <f t="shared" si="4"/>
        <v>-183.31752654481153</v>
      </c>
      <c r="M7" s="1178">
        <f t="shared" ref="M7:AA7" si="5">-(M12+M34+M52)</f>
        <v>-177.3878768012726</v>
      </c>
      <c r="N7" s="1178">
        <f t="shared" si="5"/>
        <v>-199.1311033362721</v>
      </c>
      <c r="O7" s="1178">
        <f t="shared" si="5"/>
        <v>-212.09136014606565</v>
      </c>
      <c r="P7" s="1178">
        <f t="shared" si="5"/>
        <v>-203.45520699920326</v>
      </c>
      <c r="Q7" s="1178">
        <f t="shared" si="5"/>
        <v>-224.2260373164998</v>
      </c>
      <c r="R7" s="1178">
        <f t="shared" si="5"/>
        <v>-219.45372972329244</v>
      </c>
      <c r="S7" s="1178">
        <f t="shared" si="5"/>
        <v>-213.28460641289084</v>
      </c>
      <c r="T7" s="1178">
        <f t="shared" si="5"/>
        <v>-204.9147482671759</v>
      </c>
      <c r="U7" s="1178">
        <f t="shared" si="5"/>
        <v>-194.44051800498923</v>
      </c>
      <c r="V7" s="1178">
        <f t="shared" si="5"/>
        <v>-204.30645015660241</v>
      </c>
      <c r="W7" s="1178">
        <f t="shared" si="5"/>
        <v>-155.44043222681475</v>
      </c>
      <c r="X7" s="1178">
        <f t="shared" si="5"/>
        <v>-84.174940381375777</v>
      </c>
      <c r="Y7" s="1178">
        <f t="shared" si="5"/>
        <v>-84.00107456778575</v>
      </c>
      <c r="Z7" s="1178">
        <f t="shared" si="5"/>
        <v>-83.937899836313434</v>
      </c>
      <c r="AA7" s="1178">
        <f t="shared" si="5"/>
        <v>-85.644451355195173</v>
      </c>
      <c r="AB7" s="1178">
        <f t="shared" ref="AB7:AE7" si="6">-(AB12+AB34+AB52)</f>
        <v>-90.326692402609282</v>
      </c>
      <c r="AC7" s="1178">
        <f t="shared" si="6"/>
        <v>-91.504422042380412</v>
      </c>
      <c r="AD7" s="1178">
        <f t="shared" si="6"/>
        <v>-91.856087399391697</v>
      </c>
      <c r="AE7" s="1178">
        <f t="shared" si="6"/>
        <v>-89.472856778267186</v>
      </c>
      <c r="AN7" s="1178" t="e">
        <f>-(AN12+AN34+AN52)</f>
        <v>#REF!</v>
      </c>
      <c r="AO7" s="1178" t="e">
        <f>-(AO12+AO34+AO52)</f>
        <v>#REF!</v>
      </c>
      <c r="AP7" s="1178" t="e">
        <f>-(AP12+AP34+AP52+#REF!)</f>
        <v>#REF!</v>
      </c>
      <c r="AQ7" s="1178" t="e">
        <f>-(AQ12+AQ34+AQ52+#REF!)</f>
        <v>#REF!</v>
      </c>
      <c r="AR7" s="1178">
        <f t="shared" ref="AR7:AV7" si="7">-(AR12+AR34+AR52)</f>
        <v>-827.20848233225888</v>
      </c>
      <c r="AS7" s="1178">
        <f t="shared" si="7"/>
        <v>-337.75836614067009</v>
      </c>
      <c r="AT7" s="1178">
        <f t="shared" si="7"/>
        <v>-355.7372604464021</v>
      </c>
      <c r="AU7" s="1178">
        <f t="shared" si="7"/>
        <v>-346.89195179942578</v>
      </c>
      <c r="AV7" s="1178">
        <f t="shared" si="7"/>
        <v>-339.64540000000005</v>
      </c>
      <c r="AW7" s="1178">
        <f t="shared" ref="AW7:AY7" si="8">-(AW12+AW34+AW52)</f>
        <v>-334.43565000000001</v>
      </c>
      <c r="AX7" s="1178">
        <f t="shared" si="8"/>
        <v>-329.26564999999999</v>
      </c>
      <c r="AY7" s="1178">
        <f t="shared" si="8"/>
        <v>-324.09564999999998</v>
      </c>
    </row>
    <row r="8" spans="2:51">
      <c r="C8" s="1171" t="s">
        <v>587</v>
      </c>
      <c r="D8" s="108" t="e">
        <f>D7-PROJ!#REF!</f>
        <v>#REF!</v>
      </c>
      <c r="E8" s="108" t="e">
        <f>E7-PROJ!#REF!</f>
        <v>#REF!</v>
      </c>
      <c r="F8" s="108" t="e">
        <f>F7-PROJ!#REF!</f>
        <v>#REF!</v>
      </c>
      <c r="G8" s="108" t="e">
        <f>G7-PROJ!#REF!</f>
        <v>#REF!</v>
      </c>
      <c r="H8" s="108" t="e">
        <f>H7-PROJ!#REF!</f>
        <v>#REF!</v>
      </c>
      <c r="I8" s="108" t="e">
        <f>I7-PROJ!#REF!</f>
        <v>#REF!</v>
      </c>
      <c r="J8" s="108" t="e">
        <f>J7-PROJ!#REF!</f>
        <v>#REF!</v>
      </c>
      <c r="K8" s="108" t="e">
        <f>K7-PROJ!#REF!</f>
        <v>#REF!</v>
      </c>
      <c r="L8" s="108" t="e">
        <f>L7-PROJ!#REF!</f>
        <v>#REF!</v>
      </c>
      <c r="M8" s="108" t="e">
        <f>M7-PROJ!#REF!</f>
        <v>#REF!</v>
      </c>
      <c r="N8" s="108" t="e">
        <f>N7-PROJ!#REF!</f>
        <v>#REF!</v>
      </c>
      <c r="O8" s="108" t="e">
        <f>O7-PROJ!#REF!</f>
        <v>#REF!</v>
      </c>
      <c r="P8" s="108" t="e">
        <f>P7-PROJ!#REF!</f>
        <v>#REF!</v>
      </c>
      <c r="Q8" s="108" t="e">
        <f>Q7-PROJ!#REF!</f>
        <v>#REF!</v>
      </c>
      <c r="R8" s="108" t="e">
        <f>R7-PROJ!#REF!</f>
        <v>#REF!</v>
      </c>
      <c r="S8" s="108" t="e">
        <f>S7-PROJ!#REF!</f>
        <v>#REF!</v>
      </c>
      <c r="T8" s="108" t="e">
        <f>T7-PROJ!#REF!</f>
        <v>#REF!</v>
      </c>
      <c r="U8" s="108" t="e">
        <f>U7-PROJ!#REF!</f>
        <v>#REF!</v>
      </c>
      <c r="V8" s="108" t="e">
        <f>V7-PROJ!#REF!</f>
        <v>#REF!</v>
      </c>
      <c r="W8" s="108" t="e">
        <f>W7-PROJ!#REF!</f>
        <v>#REF!</v>
      </c>
      <c r="X8" s="108" t="e">
        <f>X7-PROJ!#REF!</f>
        <v>#REF!</v>
      </c>
      <c r="Y8" s="108" t="e">
        <f>Y7-PROJ!#REF!</f>
        <v>#REF!</v>
      </c>
      <c r="Z8" s="108" t="e">
        <f>Z7-PROJ!#REF!</f>
        <v>#REF!</v>
      </c>
      <c r="AA8" s="108" t="e">
        <f>AA7-PROJ!#REF!</f>
        <v>#REF!</v>
      </c>
      <c r="AB8" s="108" t="e">
        <f>AB7-PROJ!#REF!</f>
        <v>#REF!</v>
      </c>
      <c r="AC8" s="108" t="e">
        <f>AC7-PROJ!#REF!</f>
        <v>#REF!</v>
      </c>
      <c r="AD8" s="108" t="e">
        <f>AD7-PROJ!#REF!</f>
        <v>#REF!</v>
      </c>
      <c r="AE8" s="108" t="e">
        <f>AE7-PROJ!#REF!</f>
        <v>#REF!</v>
      </c>
      <c r="AN8" s="108" t="e">
        <f>AN7-PROJ!#REF!</f>
        <v>#REF!</v>
      </c>
      <c r="AO8" s="108" t="e">
        <f>AO7-PROJ!#REF!</f>
        <v>#REF!</v>
      </c>
      <c r="AP8" s="108" t="e">
        <f>AP7-PROJ!#REF!</f>
        <v>#REF!</v>
      </c>
      <c r="AQ8" s="108" t="e">
        <f>AQ7-PROJ!#REF!</f>
        <v>#REF!</v>
      </c>
      <c r="AR8" s="108" t="e">
        <f>AR7-PROJ!#REF!</f>
        <v>#REF!</v>
      </c>
      <c r="AS8" s="108" t="e">
        <f>AS7-PROJ!#REF!</f>
        <v>#REF!</v>
      </c>
      <c r="AT8" s="108" t="e">
        <f>AT7-PROJ!#REF!</f>
        <v>#REF!</v>
      </c>
      <c r="AU8" s="108" t="e">
        <f>AU7-PROJ!#REF!</f>
        <v>#REF!</v>
      </c>
      <c r="AV8" s="108" t="e">
        <f>AV7-PROJ!#REF!</f>
        <v>#REF!</v>
      </c>
      <c r="AW8" s="108" t="e">
        <f>AW7-PROJ!#REF!</f>
        <v>#REF!</v>
      </c>
      <c r="AX8" s="108" t="e">
        <f>AX7-PROJ!#REF!</f>
        <v>#REF!</v>
      </c>
      <c r="AY8" s="108" t="e">
        <f>AY7-PROJ!#REF!</f>
        <v>#REF!</v>
      </c>
    </row>
    <row r="9" spans="2:51">
      <c r="C9" s="1127"/>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R9" s="108"/>
      <c r="AS9" s="108"/>
      <c r="AT9" s="108"/>
      <c r="AU9" s="108"/>
      <c r="AV9" s="108"/>
      <c r="AW9" s="108"/>
      <c r="AX9" s="108"/>
      <c r="AY9" s="108"/>
    </row>
    <row r="10" spans="2:51" s="1209" customFormat="1">
      <c r="B10" s="1216" t="s">
        <v>636</v>
      </c>
      <c r="C10" s="1490">
        <f>+C14+C35+C53</f>
        <v>11565.706859999998</v>
      </c>
      <c r="D10" s="1210"/>
      <c r="E10" s="1210"/>
      <c r="F10" s="1210"/>
      <c r="G10" s="1210"/>
      <c r="H10" s="1210"/>
      <c r="I10" s="1210"/>
      <c r="J10" s="1210"/>
      <c r="K10" s="1210"/>
      <c r="L10" s="1210"/>
      <c r="M10" s="1210"/>
      <c r="N10" s="1210"/>
      <c r="O10" s="1210"/>
      <c r="P10" s="1210"/>
      <c r="Q10" s="1210"/>
      <c r="R10" s="1210"/>
      <c r="S10" s="1210"/>
      <c r="T10" s="1210"/>
      <c r="U10" s="1210"/>
      <c r="V10" s="1210"/>
      <c r="W10" s="1210"/>
      <c r="X10" s="1210"/>
      <c r="Y10" s="1210"/>
      <c r="Z10" s="1210"/>
      <c r="AA10" s="1210"/>
      <c r="AB10" s="1210"/>
      <c r="AC10" s="1210"/>
      <c r="AD10" s="1210"/>
      <c r="AE10" s="1210"/>
      <c r="AR10" s="1210"/>
      <c r="AS10" s="1210"/>
      <c r="AT10" s="1210"/>
      <c r="AU10" s="1210"/>
      <c r="AV10" s="1210"/>
      <c r="AW10" s="1210"/>
      <c r="AX10" s="1210"/>
      <c r="AY10" s="1210"/>
    </row>
    <row r="12" spans="2:51" s="1216" customFormat="1">
      <c r="B12" s="1216" t="s">
        <v>361</v>
      </c>
      <c r="C12" s="1216" t="s">
        <v>637</v>
      </c>
      <c r="D12" s="1486">
        <f t="shared" ref="D12:G12" si="9">+D19+D24+D31</f>
        <v>93.673131112500002</v>
      </c>
      <c r="E12" s="1486">
        <f t="shared" si="9"/>
        <v>91.969766091250008</v>
      </c>
      <c r="F12" s="1486">
        <f t="shared" si="9"/>
        <v>99.311197662500007</v>
      </c>
      <c r="G12" s="1486">
        <f t="shared" si="9"/>
        <v>96.112311598750011</v>
      </c>
      <c r="H12" s="1486">
        <f>+H19+H24+H31</f>
        <v>124.35520259625002</v>
      </c>
      <c r="I12" s="1486">
        <f t="shared" ref="I12:W12" si="10">+I19+I24+I31</f>
        <v>130.58096591375002</v>
      </c>
      <c r="J12" s="1486">
        <f t="shared" si="10"/>
        <v>134.02353112500001</v>
      </c>
      <c r="K12" s="1486">
        <f t="shared" si="10"/>
        <v>124.07329926875001</v>
      </c>
      <c r="L12" s="1486">
        <f t="shared" si="10"/>
        <v>134.60644987000001</v>
      </c>
      <c r="M12" s="1486">
        <f t="shared" si="10"/>
        <v>118.70996901250001</v>
      </c>
      <c r="N12" s="1486">
        <f t="shared" si="10"/>
        <v>130.03388233749999</v>
      </c>
      <c r="O12" s="1486">
        <f t="shared" si="10"/>
        <v>134.43921908250002</v>
      </c>
      <c r="P12" s="1486">
        <f t="shared" si="10"/>
        <v>113.26541237375002</v>
      </c>
      <c r="Q12" s="1486">
        <f t="shared" si="10"/>
        <v>125.56404228875</v>
      </c>
      <c r="R12" s="1486">
        <f t="shared" si="10"/>
        <v>129.37690424375</v>
      </c>
      <c r="S12" s="1486">
        <f t="shared" si="10"/>
        <v>126.283134675</v>
      </c>
      <c r="T12" s="1486">
        <f t="shared" si="10"/>
        <v>120.97952970000001</v>
      </c>
      <c r="U12" s="1486">
        <f t="shared" si="10"/>
        <v>114.37391359375</v>
      </c>
      <c r="V12" s="1486">
        <f t="shared" si="10"/>
        <v>120.22699115624999</v>
      </c>
      <c r="W12" s="1486">
        <f t="shared" si="10"/>
        <v>107.05169216250002</v>
      </c>
      <c r="X12" s="1486">
        <f t="shared" ref="X12:AA12" si="11">+X19+X24+X31</f>
        <v>38.842212500000002</v>
      </c>
      <c r="Y12" s="1486">
        <f t="shared" si="11"/>
        <v>38.842212500000002</v>
      </c>
      <c r="Z12" s="1486">
        <f t="shared" si="11"/>
        <v>38.842212500000002</v>
      </c>
      <c r="AA12" s="1486">
        <f t="shared" si="11"/>
        <v>38.842212500000002</v>
      </c>
      <c r="AB12" s="1486">
        <f t="shared" ref="AB12:AE12" si="12">+AB19+AB24+AB31</f>
        <v>38.842212500000002</v>
      </c>
      <c r="AC12" s="1486">
        <f t="shared" si="12"/>
        <v>38.842212500000002</v>
      </c>
      <c r="AD12" s="1486">
        <f t="shared" si="12"/>
        <v>38.842212500000002</v>
      </c>
      <c r="AE12" s="1486">
        <f t="shared" si="12"/>
        <v>38.842212500000002</v>
      </c>
      <c r="AN12" s="1486">
        <f t="shared" ref="AN12:AV12" si="13">+AN19+AN24+AN31</f>
        <v>381.06640646500006</v>
      </c>
      <c r="AO12" s="1486">
        <f t="shared" si="13"/>
        <v>513.03299890375001</v>
      </c>
      <c r="AP12" s="1486">
        <f t="shared" si="13"/>
        <v>517.78952030250002</v>
      </c>
      <c r="AQ12" s="1486">
        <f t="shared" si="13"/>
        <v>494.48949358125003</v>
      </c>
      <c r="AR12" s="1486">
        <f t="shared" si="13"/>
        <v>496.29319707500002</v>
      </c>
      <c r="AS12" s="1486">
        <f t="shared" si="13"/>
        <v>155.36885000000001</v>
      </c>
      <c r="AT12" s="1486">
        <f>+AT19+AT24+AT31</f>
        <v>155.36885000000001</v>
      </c>
      <c r="AU12" s="1486">
        <f t="shared" si="13"/>
        <v>155.36885000000001</v>
      </c>
      <c r="AV12" s="1486">
        <f t="shared" si="13"/>
        <v>155.36885000000001</v>
      </c>
      <c r="AW12" s="1486">
        <f t="shared" ref="AW12:AY12" si="14">+AW19+AW24+AW31</f>
        <v>155.36885000000001</v>
      </c>
      <c r="AX12" s="1486">
        <f t="shared" si="14"/>
        <v>155.36885000000001</v>
      </c>
      <c r="AY12" s="1486">
        <f t="shared" si="14"/>
        <v>155.36885000000001</v>
      </c>
    </row>
    <row r="13" spans="2:51" s="1209" customFormat="1">
      <c r="B13" s="1488" t="s">
        <v>638</v>
      </c>
      <c r="C13" s="1216">
        <f>+C17+C22+C29</f>
        <v>1816.1</v>
      </c>
    </row>
    <row r="14" spans="2:51" s="1209" customFormat="1">
      <c r="B14" s="1488" t="s">
        <v>104</v>
      </c>
      <c r="C14" s="1489">
        <f>+C13*MACRO!$BL$4</f>
        <v>8812.8068599999988</v>
      </c>
    </row>
    <row r="15" spans="2:51">
      <c r="C15" s="1485"/>
    </row>
    <row r="16" spans="2:51">
      <c r="C16" s="1127" t="s">
        <v>639</v>
      </c>
    </row>
    <row r="17" spans="1:51">
      <c r="B17" t="s">
        <v>361</v>
      </c>
      <c r="C17" s="1155">
        <v>1000</v>
      </c>
      <c r="D17">
        <f>+$C17*$C18/4</f>
        <v>10.325000000000001</v>
      </c>
      <c r="E17">
        <f t="shared" ref="E17:AE17" si="15">+$C17*$C18/4</f>
        <v>10.325000000000001</v>
      </c>
      <c r="F17">
        <f t="shared" si="15"/>
        <v>10.325000000000001</v>
      </c>
      <c r="G17">
        <f t="shared" si="15"/>
        <v>10.325000000000001</v>
      </c>
      <c r="H17">
        <f t="shared" si="15"/>
        <v>10.325000000000001</v>
      </c>
      <c r="I17">
        <f t="shared" si="15"/>
        <v>10.325000000000001</v>
      </c>
      <c r="J17">
        <f t="shared" si="15"/>
        <v>10.325000000000001</v>
      </c>
      <c r="K17">
        <f t="shared" si="15"/>
        <v>10.325000000000001</v>
      </c>
      <c r="L17">
        <f t="shared" si="15"/>
        <v>10.325000000000001</v>
      </c>
      <c r="M17">
        <f t="shared" si="15"/>
        <v>10.325000000000001</v>
      </c>
      <c r="N17">
        <f t="shared" si="15"/>
        <v>10.325000000000001</v>
      </c>
      <c r="O17">
        <f t="shared" si="15"/>
        <v>10.325000000000001</v>
      </c>
      <c r="P17">
        <f t="shared" si="15"/>
        <v>10.325000000000001</v>
      </c>
      <c r="Q17">
        <f t="shared" si="15"/>
        <v>10.325000000000001</v>
      </c>
      <c r="R17">
        <f t="shared" si="15"/>
        <v>10.325000000000001</v>
      </c>
      <c r="S17">
        <f t="shared" si="15"/>
        <v>10.325000000000001</v>
      </c>
      <c r="T17">
        <f t="shared" si="15"/>
        <v>10.325000000000001</v>
      </c>
      <c r="U17">
        <f t="shared" si="15"/>
        <v>10.325000000000001</v>
      </c>
      <c r="V17">
        <f t="shared" si="15"/>
        <v>10.325000000000001</v>
      </c>
      <c r="W17">
        <f t="shared" si="15"/>
        <v>10.325000000000001</v>
      </c>
      <c r="X17">
        <f t="shared" si="15"/>
        <v>10.325000000000001</v>
      </c>
      <c r="Y17">
        <f t="shared" si="15"/>
        <v>10.325000000000001</v>
      </c>
      <c r="Z17">
        <f t="shared" si="15"/>
        <v>10.325000000000001</v>
      </c>
      <c r="AA17">
        <f t="shared" si="15"/>
        <v>10.325000000000001</v>
      </c>
      <c r="AB17">
        <f t="shared" si="15"/>
        <v>10.325000000000001</v>
      </c>
      <c r="AC17">
        <f t="shared" si="15"/>
        <v>10.325000000000001</v>
      </c>
      <c r="AD17">
        <f t="shared" si="15"/>
        <v>10.325000000000001</v>
      </c>
      <c r="AE17">
        <f t="shared" si="15"/>
        <v>10.325000000000001</v>
      </c>
      <c r="AN17" s="318">
        <f>+SUM(D17:G17)</f>
        <v>41.300000000000004</v>
      </c>
      <c r="AO17" s="318">
        <f>+SUM(H17:K17)</f>
        <v>41.300000000000004</v>
      </c>
      <c r="AP17" s="318">
        <f>+SUM(L17:O17)</f>
        <v>41.300000000000004</v>
      </c>
      <c r="AQ17" s="318">
        <f>+SUM(P17:S17)</f>
        <v>41.300000000000004</v>
      </c>
      <c r="AR17">
        <f>+$C17*$C18</f>
        <v>41.300000000000004</v>
      </c>
      <c r="AS17">
        <f>+SUM(X17:AA17)</f>
        <v>41.300000000000004</v>
      </c>
      <c r="AT17">
        <f>+$C17*$C18</f>
        <v>41.300000000000004</v>
      </c>
      <c r="AU17">
        <f>+$C17*$C18</f>
        <v>41.300000000000004</v>
      </c>
      <c r="AV17">
        <f>+$C17*$C18</f>
        <v>41.300000000000004</v>
      </c>
      <c r="AW17">
        <f t="shared" ref="AW17:AY17" si="16">+$C17*$C18</f>
        <v>41.300000000000004</v>
      </c>
      <c r="AX17">
        <f t="shared" si="16"/>
        <v>41.300000000000004</v>
      </c>
      <c r="AY17">
        <f t="shared" si="16"/>
        <v>41.300000000000004</v>
      </c>
    </row>
    <row r="18" spans="1:51">
      <c r="B18" t="s">
        <v>289</v>
      </c>
      <c r="C18" s="1172">
        <v>4.1300000000000003E-2</v>
      </c>
    </row>
    <row r="19" spans="1:51">
      <c r="A19" s="226" t="s">
        <v>640</v>
      </c>
      <c r="B19" t="s">
        <v>104</v>
      </c>
      <c r="C19" s="1485">
        <f>+C17*MACRO!$BL$4</f>
        <v>4852.5999999999995</v>
      </c>
      <c r="D19" s="108">
        <f>+D17*MACRO!S$4</f>
        <v>40.484325000000005</v>
      </c>
      <c r="E19" s="108">
        <f>+E17*MACRO!T$4</f>
        <v>39.748152500000003</v>
      </c>
      <c r="F19" s="108">
        <f>+F17*MACRO!U$4</f>
        <v>42.921025000000007</v>
      </c>
      <c r="G19" s="108">
        <f>+G17*MACRO!V$4</f>
        <v>41.538507500000009</v>
      </c>
      <c r="H19" s="108">
        <f>+H17*MACRO!W$4</f>
        <v>53.744722500000009</v>
      </c>
      <c r="I19" s="108">
        <f>+I17*MACRO!X$4</f>
        <v>56.435417500000007</v>
      </c>
      <c r="J19" s="108">
        <f>+J17*MACRO!Y$4</f>
        <v>57.92325000000001</v>
      </c>
      <c r="K19" s="108">
        <f>+K17*MACRO!Z$4</f>
        <v>53.622887500000004</v>
      </c>
      <c r="L19" s="108">
        <f>+L17*MACRO!AA$4</f>
        <v>58.175180000000012</v>
      </c>
      <c r="M19" s="108">
        <f>+M17*MACRO!AB$4</f>
        <v>51.304925000000011</v>
      </c>
      <c r="N19" s="108">
        <f>+N17*MACRO!AC$4</f>
        <v>56.198975000000004</v>
      </c>
      <c r="O19" s="108">
        <f>+O17*MACRO!AD$4</f>
        <v>58.102905</v>
      </c>
      <c r="P19" s="108">
        <f>+P17*MACRO!AE$4</f>
        <v>48.95185750000001</v>
      </c>
      <c r="Q19" s="108">
        <f>+Q17*MACRO!AF$4</f>
        <v>54.267167499999999</v>
      </c>
      <c r="R19" s="108">
        <f>+R17*MACRO!AG$4</f>
        <v>55.915037500000004</v>
      </c>
      <c r="S19" s="108">
        <f>+S17*MACRO!AH$4</f>
        <v>54.577950000000001</v>
      </c>
      <c r="T19" s="108">
        <f>+T17*MACRO!AI$4</f>
        <v>52.285800000000009</v>
      </c>
      <c r="U19" s="108">
        <f>+U17*MACRO!AJ$4</f>
        <v>49.430937499999999</v>
      </c>
      <c r="V19" s="108">
        <f>+V17*MACRO!AK$4</f>
        <v>51.960562500000002</v>
      </c>
      <c r="W19" s="108">
        <f>+W17*MACRO!AL$4</f>
        <v>50.103095000000003</v>
      </c>
      <c r="X19" s="108">
        <f>+$C20*$C18/4</f>
        <v>36.106525000000005</v>
      </c>
      <c r="Y19" s="108">
        <f t="shared" ref="Y19:AA19" si="17">+$C20*$C18/4</f>
        <v>36.106525000000005</v>
      </c>
      <c r="Z19" s="108">
        <f t="shared" si="17"/>
        <v>36.106525000000005</v>
      </c>
      <c r="AA19" s="108">
        <f t="shared" si="17"/>
        <v>36.106525000000005</v>
      </c>
      <c r="AB19" s="108">
        <f t="shared" ref="AB19:AE19" si="18">+$C20*$C18/4</f>
        <v>36.106525000000005</v>
      </c>
      <c r="AC19" s="108">
        <f t="shared" si="18"/>
        <v>36.106525000000005</v>
      </c>
      <c r="AD19" s="108">
        <f t="shared" si="18"/>
        <v>36.106525000000005</v>
      </c>
      <c r="AE19" s="108">
        <f t="shared" si="18"/>
        <v>36.106525000000005</v>
      </c>
      <c r="AN19" s="318">
        <f>+SUM(D19:G19)</f>
        <v>164.69201000000004</v>
      </c>
      <c r="AO19" s="318">
        <f>+SUM(H19:K19)</f>
        <v>221.72627750000004</v>
      </c>
      <c r="AP19" s="318">
        <f>+SUM(L19:O19)</f>
        <v>223.78198500000002</v>
      </c>
      <c r="AQ19" s="318">
        <f>+SUM(P19:S19)</f>
        <v>213.71201250000001</v>
      </c>
      <c r="AR19" s="108">
        <f>+AR17*MACRO!BI$4</f>
        <v>214.49155000000002</v>
      </c>
      <c r="AS19">
        <f>+SUM(X19:AA19)</f>
        <v>144.42610000000002</v>
      </c>
      <c r="AT19" s="108">
        <f>+$C20*$C18</f>
        <v>144.42610000000002</v>
      </c>
      <c r="AU19" s="108">
        <f t="shared" ref="AU19:AY19" si="19">+$C20*$C18</f>
        <v>144.42610000000002</v>
      </c>
      <c r="AV19" s="108">
        <f t="shared" si="19"/>
        <v>144.42610000000002</v>
      </c>
      <c r="AW19" s="108">
        <f t="shared" si="19"/>
        <v>144.42610000000002</v>
      </c>
      <c r="AX19" s="108">
        <f t="shared" si="19"/>
        <v>144.42610000000002</v>
      </c>
      <c r="AY19" s="108">
        <f t="shared" si="19"/>
        <v>144.42610000000002</v>
      </c>
    </row>
    <row r="20" spans="1:51">
      <c r="C20" s="1705">
        <v>3497</v>
      </c>
    </row>
    <row r="21" spans="1:51">
      <c r="C21" s="1127" t="s">
        <v>641</v>
      </c>
    </row>
    <row r="22" spans="1:51">
      <c r="B22" t="s">
        <v>361</v>
      </c>
      <c r="C22" s="1155">
        <v>600</v>
      </c>
      <c r="D22">
        <f>+$C22*$C23/4</f>
        <v>9</v>
      </c>
      <c r="E22">
        <f t="shared" ref="E22:W22" si="20">+$C22*$C23/4</f>
        <v>9</v>
      </c>
      <c r="F22">
        <f t="shared" si="20"/>
        <v>9</v>
      </c>
      <c r="G22">
        <f t="shared" si="20"/>
        <v>9</v>
      </c>
      <c r="H22">
        <f t="shared" si="20"/>
        <v>9</v>
      </c>
      <c r="I22">
        <f t="shared" si="20"/>
        <v>9</v>
      </c>
      <c r="J22">
        <f t="shared" si="20"/>
        <v>9</v>
      </c>
      <c r="K22">
        <f t="shared" si="20"/>
        <v>9</v>
      </c>
      <c r="L22">
        <f t="shared" si="20"/>
        <v>9</v>
      </c>
      <c r="M22">
        <f t="shared" si="20"/>
        <v>9</v>
      </c>
      <c r="N22">
        <f t="shared" si="20"/>
        <v>9</v>
      </c>
      <c r="O22">
        <f t="shared" si="20"/>
        <v>9</v>
      </c>
      <c r="P22">
        <f t="shared" si="20"/>
        <v>9</v>
      </c>
      <c r="Q22">
        <f t="shared" si="20"/>
        <v>9</v>
      </c>
      <c r="R22">
        <f t="shared" si="20"/>
        <v>9</v>
      </c>
      <c r="S22">
        <f t="shared" si="20"/>
        <v>9</v>
      </c>
      <c r="T22">
        <f t="shared" si="20"/>
        <v>9</v>
      </c>
      <c r="U22">
        <f t="shared" si="20"/>
        <v>9</v>
      </c>
      <c r="V22">
        <f t="shared" si="20"/>
        <v>9</v>
      </c>
      <c r="W22">
        <f t="shared" si="20"/>
        <v>9</v>
      </c>
      <c r="AN22" s="318">
        <f>+SUM(D22:G22)</f>
        <v>36</v>
      </c>
      <c r="AO22" s="318">
        <f>+SUM(H22:K22)</f>
        <v>36</v>
      </c>
      <c r="AP22" s="318">
        <f>+SUM(L22:O22)</f>
        <v>36</v>
      </c>
      <c r="AQ22" s="318">
        <f>+SUM(P22:S22)</f>
        <v>36</v>
      </c>
      <c r="AR22">
        <f>+$C22*$C23</f>
        <v>36</v>
      </c>
    </row>
    <row r="23" spans="1:51">
      <c r="B23" t="s">
        <v>289</v>
      </c>
      <c r="C23" s="1172">
        <v>0.06</v>
      </c>
    </row>
    <row r="24" spans="1:51">
      <c r="A24">
        <v>2023</v>
      </c>
      <c r="B24" t="s">
        <v>104</v>
      </c>
      <c r="C24" s="1485">
        <f>+C22*MACRO!$BL$4</f>
        <v>2911.56</v>
      </c>
      <c r="D24" s="108">
        <f>+D22*MACRO!S$4</f>
        <v>35.289000000000001</v>
      </c>
      <c r="E24" s="108">
        <f>+E22*MACRO!T$4</f>
        <v>34.647300000000001</v>
      </c>
      <c r="F24" s="108">
        <f>+F22*MACRO!U$4</f>
        <v>37.412999999999997</v>
      </c>
      <c r="G24" s="108">
        <f>+G22*MACRO!V$4</f>
        <v>36.207900000000002</v>
      </c>
      <c r="H24" s="108">
        <f>+H22*MACRO!W$4</f>
        <v>46.847700000000003</v>
      </c>
      <c r="I24" s="108">
        <f>+I22*MACRO!X$4</f>
        <v>49.193100000000001</v>
      </c>
      <c r="J24" s="108">
        <f>+J22*MACRO!Y$4</f>
        <v>50.49</v>
      </c>
      <c r="K24" s="108">
        <f>+K22*MACRO!Z$4</f>
        <v>46.741500000000002</v>
      </c>
      <c r="L24" s="108">
        <f>+L22*MACRO!AA$4</f>
        <v>50.709600000000002</v>
      </c>
      <c r="M24" s="108">
        <f>+M22*MACRO!AB$4</f>
        <v>44.721000000000004</v>
      </c>
      <c r="N24" s="108">
        <f>+N22*MACRO!AC$4</f>
        <v>48.986999999999995</v>
      </c>
      <c r="O24" s="108">
        <f>+O22*MACRO!AD$4</f>
        <v>50.646599999999999</v>
      </c>
      <c r="P24" s="108">
        <f>+P22*MACRO!AE$4</f>
        <v>42.669900000000005</v>
      </c>
      <c r="Q24" s="108">
        <f>+Q22*MACRO!AF$4</f>
        <v>47.303099999999993</v>
      </c>
      <c r="R24" s="108">
        <f>+R22*MACRO!AG$4</f>
        <v>48.7395</v>
      </c>
      <c r="S24" s="108">
        <f>+S22*MACRO!AH$4</f>
        <v>47.573999999999998</v>
      </c>
      <c r="T24" s="108">
        <f>+T22*MACRO!AI$4</f>
        <v>45.576000000000001</v>
      </c>
      <c r="U24" s="108">
        <f>+U22*MACRO!AJ$4</f>
        <v>43.087499999999999</v>
      </c>
      <c r="V24" s="108">
        <f>+V22*MACRO!AK$4</f>
        <v>45.292499999999997</v>
      </c>
      <c r="W24" s="108">
        <f>+W22*MACRO!AL$4</f>
        <v>43.673400000000001</v>
      </c>
      <c r="X24" s="108"/>
      <c r="Y24" s="108"/>
      <c r="Z24" s="108"/>
      <c r="AA24" s="108"/>
      <c r="AB24" s="108"/>
      <c r="AC24" s="108"/>
      <c r="AD24" s="108"/>
      <c r="AE24" s="108"/>
      <c r="AN24" s="318">
        <f>+SUM(D24:G24)</f>
        <v>143.55719999999999</v>
      </c>
      <c r="AO24" s="318">
        <f>+SUM(H24:K24)</f>
        <v>193.2723</v>
      </c>
      <c r="AP24" s="318">
        <f>+SUM(L24:O24)</f>
        <v>195.0642</v>
      </c>
      <c r="AQ24" s="318">
        <f>+SUM(P24:S24)</f>
        <v>186.28649999999999</v>
      </c>
      <c r="AR24" s="108">
        <f>+AR22*MACRO!BI$4</f>
        <v>186.96600000000001</v>
      </c>
      <c r="AS24" s="108"/>
      <c r="AT24" s="108"/>
      <c r="AU24" s="108"/>
      <c r="AV24" s="108"/>
      <c r="AW24" s="108"/>
      <c r="AX24" s="108"/>
      <c r="AY24" s="108"/>
    </row>
    <row r="27" spans="1:51">
      <c r="C27" s="1127" t="s">
        <v>642</v>
      </c>
    </row>
    <row r="28" spans="1:51">
      <c r="D28" s="108"/>
      <c r="E28" s="108"/>
      <c r="F28" s="108"/>
      <c r="G28" s="108"/>
      <c r="H28" s="108"/>
      <c r="I28" s="108"/>
      <c r="J28" s="108"/>
      <c r="K28" s="108"/>
      <c r="L28" s="108"/>
      <c r="M28" s="108"/>
      <c r="N28" s="108"/>
      <c r="O28" s="108"/>
      <c r="P28" s="108"/>
      <c r="Q28" s="108"/>
      <c r="R28" s="108"/>
      <c r="S28" s="108"/>
      <c r="T28" s="108"/>
      <c r="U28" s="108"/>
      <c r="V28" s="108"/>
      <c r="W28" s="108"/>
      <c r="X28" s="108"/>
      <c r="Y28" s="108"/>
      <c r="Z28" s="108"/>
      <c r="AA28" s="108"/>
      <c r="AB28" s="108"/>
      <c r="AC28" s="108"/>
      <c r="AD28" s="108"/>
      <c r="AE28" s="108"/>
      <c r="AR28" s="108"/>
      <c r="AS28" s="108"/>
      <c r="AT28" s="108"/>
      <c r="AU28" s="108"/>
      <c r="AV28" s="108"/>
      <c r="AW28" s="108"/>
      <c r="AX28" s="108"/>
      <c r="AY28" s="108"/>
    </row>
    <row r="29" spans="1:51">
      <c r="B29" t="s">
        <v>361</v>
      </c>
      <c r="C29" s="1155">
        <v>216.1</v>
      </c>
      <c r="D29">
        <f>+$C29*$C30/4</f>
        <v>4.5651125000000006</v>
      </c>
      <c r="E29">
        <f t="shared" ref="E29" si="21">+$C29*$C30/4</f>
        <v>4.5651125000000006</v>
      </c>
      <c r="F29">
        <f t="shared" ref="F29" si="22">+$C29*$C30/4</f>
        <v>4.5651125000000006</v>
      </c>
      <c r="G29">
        <f t="shared" ref="G29" si="23">+$C29*$C30/4</f>
        <v>4.5651125000000006</v>
      </c>
      <c r="H29">
        <f>+$C29*$C30/4</f>
        <v>4.5651125000000006</v>
      </c>
      <c r="I29">
        <f t="shared" ref="I29" si="24">+$C29*$C30/4</f>
        <v>4.5651125000000006</v>
      </c>
      <c r="J29">
        <f t="shared" ref="J29" si="25">+$C29*$C30/4</f>
        <v>4.5651125000000006</v>
      </c>
      <c r="K29">
        <f t="shared" ref="K29" si="26">+$C29*$C30/4</f>
        <v>4.5651125000000006</v>
      </c>
      <c r="L29">
        <f>+$C29*$C30/4</f>
        <v>4.5651125000000006</v>
      </c>
      <c r="M29">
        <f t="shared" ref="M29" si="27">+$C29*$C30/4</f>
        <v>4.5651125000000006</v>
      </c>
      <c r="N29">
        <f t="shared" ref="N29" si="28">+$C29*$C30/4</f>
        <v>4.5651125000000006</v>
      </c>
      <c r="O29">
        <f t="shared" ref="O29:AE29" si="29">+$C29*$C30/4</f>
        <v>4.5651125000000006</v>
      </c>
      <c r="P29">
        <f t="shared" si="29"/>
        <v>4.5651125000000006</v>
      </c>
      <c r="Q29">
        <f t="shared" si="29"/>
        <v>4.5651125000000006</v>
      </c>
      <c r="R29">
        <f t="shared" si="29"/>
        <v>4.5651125000000006</v>
      </c>
      <c r="S29">
        <f t="shared" si="29"/>
        <v>4.5651125000000006</v>
      </c>
      <c r="T29">
        <f t="shared" si="29"/>
        <v>4.5651125000000006</v>
      </c>
      <c r="U29">
        <f t="shared" si="29"/>
        <v>4.5651125000000006</v>
      </c>
      <c r="V29">
        <f t="shared" si="29"/>
        <v>4.5651125000000006</v>
      </c>
      <c r="W29">
        <f>+$C32*$C30/4</f>
        <v>2.7356875</v>
      </c>
      <c r="X29">
        <f t="shared" si="29"/>
        <v>4.5651125000000006</v>
      </c>
      <c r="Y29">
        <f t="shared" si="29"/>
        <v>4.5651125000000006</v>
      </c>
      <c r="Z29">
        <f t="shared" si="29"/>
        <v>4.5651125000000006</v>
      </c>
      <c r="AA29">
        <f t="shared" si="29"/>
        <v>4.5651125000000006</v>
      </c>
      <c r="AB29">
        <f t="shared" si="29"/>
        <v>4.5651125000000006</v>
      </c>
      <c r="AC29">
        <f t="shared" si="29"/>
        <v>4.5651125000000006</v>
      </c>
      <c r="AD29">
        <f t="shared" si="29"/>
        <v>4.5651125000000006</v>
      </c>
      <c r="AE29">
        <f t="shared" si="29"/>
        <v>4.5651125000000006</v>
      </c>
      <c r="AN29" s="318">
        <f>+SUM(D29:G29)</f>
        <v>18.260450000000002</v>
      </c>
      <c r="AO29" s="318">
        <f>+SUM(H29:K29)</f>
        <v>18.260450000000002</v>
      </c>
      <c r="AP29" s="318">
        <f>+SUM(L29:O29)</f>
        <v>18.260450000000002</v>
      </c>
      <c r="AQ29" s="318">
        <f>+SUM(P29:S29)</f>
        <v>18.260450000000002</v>
      </c>
      <c r="AR29">
        <f>+$C29*$C30</f>
        <v>18.260450000000002</v>
      </c>
      <c r="AS29">
        <f>+SUM(X29:AA29)</f>
        <v>18.260450000000002</v>
      </c>
      <c r="AT29">
        <f>+$C29*$C30</f>
        <v>18.260450000000002</v>
      </c>
      <c r="AU29">
        <f>+$C29*$C30</f>
        <v>18.260450000000002</v>
      </c>
      <c r="AV29">
        <f>+$C29*$C30</f>
        <v>18.260450000000002</v>
      </c>
      <c r="AW29">
        <f t="shared" ref="AW29:AY29" si="30">+$C29*$C30</f>
        <v>18.260450000000002</v>
      </c>
      <c r="AX29">
        <f t="shared" si="30"/>
        <v>18.260450000000002</v>
      </c>
      <c r="AY29">
        <f t="shared" si="30"/>
        <v>18.260450000000002</v>
      </c>
    </row>
    <row r="30" spans="1:51">
      <c r="B30" t="s">
        <v>289</v>
      </c>
      <c r="C30" s="1172">
        <v>8.4500000000000006E-2</v>
      </c>
    </row>
    <row r="31" spans="1:51">
      <c r="A31">
        <v>2043</v>
      </c>
      <c r="B31" t="s">
        <v>104</v>
      </c>
      <c r="C31" s="1485">
        <f>+C29*MACRO!$BL$4</f>
        <v>1048.6468599999998</v>
      </c>
      <c r="D31" s="108">
        <f>+D29*MACRO!S$4</f>
        <v>17.899806112500002</v>
      </c>
      <c r="E31" s="108">
        <f>+E29*MACRO!T$4</f>
        <v>17.57431359125</v>
      </c>
      <c r="F31" s="108">
        <f>+F29*MACRO!U$4</f>
        <v>18.977172662500003</v>
      </c>
      <c r="G31" s="108">
        <f>+G29*MACRO!V$4</f>
        <v>18.365904098750004</v>
      </c>
      <c r="H31" s="108">
        <f>+H29*MACRO!W$4</f>
        <v>23.762780096250005</v>
      </c>
      <c r="I31" s="108">
        <f>+I29*MACRO!X$4</f>
        <v>24.952448413750005</v>
      </c>
      <c r="J31" s="108">
        <f>+J29*MACRO!Y$4</f>
        <v>25.610281125000004</v>
      </c>
      <c r="K31" s="108">
        <f>+K29*MACRO!Z$4</f>
        <v>23.708911768750003</v>
      </c>
      <c r="L31" s="108">
        <f>+L29*MACRO!AA$4</f>
        <v>25.721669870000003</v>
      </c>
      <c r="M31" s="108">
        <f>+M29*MACRO!AB$4</f>
        <v>22.684044012500003</v>
      </c>
      <c r="N31" s="108">
        <f>+N29*MACRO!AC$4</f>
        <v>24.847907337500001</v>
      </c>
      <c r="O31" s="108">
        <f>+O29*MACRO!AD$4</f>
        <v>25.689714082500004</v>
      </c>
      <c r="P31" s="108">
        <f>+P29*MACRO!AE$4</f>
        <v>21.643654873750005</v>
      </c>
      <c r="Q31" s="108">
        <f>+Q29*MACRO!AF$4</f>
        <v>23.993774788750002</v>
      </c>
      <c r="R31" s="108">
        <f>+R29*MACRO!AG$4</f>
        <v>24.722366743750001</v>
      </c>
      <c r="S31" s="108">
        <f>+S29*MACRO!AH$4</f>
        <v>24.131184675</v>
      </c>
      <c r="T31" s="108">
        <f>+T29*MACRO!AI$4</f>
        <v>23.117729700000002</v>
      </c>
      <c r="U31" s="108">
        <f>+U29*MACRO!AJ$4</f>
        <v>21.855476093750003</v>
      </c>
      <c r="V31" s="108">
        <f>+V29*MACRO!AK$4</f>
        <v>22.973928656250003</v>
      </c>
      <c r="W31" s="108">
        <f>+W29*MACRO!AL$4</f>
        <v>13.2751971625</v>
      </c>
      <c r="X31" s="108">
        <f>+$C32*$C30/4</f>
        <v>2.7356875</v>
      </c>
      <c r="Y31" s="108">
        <f t="shared" ref="Y31:AA31" si="31">+X31</f>
        <v>2.7356875</v>
      </c>
      <c r="Z31" s="108">
        <f t="shared" si="31"/>
        <v>2.7356875</v>
      </c>
      <c r="AA31" s="108">
        <f t="shared" si="31"/>
        <v>2.7356875</v>
      </c>
      <c r="AB31" s="108">
        <f t="shared" ref="AB31" si="32">+AA31</f>
        <v>2.7356875</v>
      </c>
      <c r="AC31" s="108">
        <f t="shared" ref="AC31" si="33">+AB31</f>
        <v>2.7356875</v>
      </c>
      <c r="AD31" s="108">
        <f t="shared" ref="AD31" si="34">+AC31</f>
        <v>2.7356875</v>
      </c>
      <c r="AE31" s="108">
        <f t="shared" ref="AE31" si="35">+AD31</f>
        <v>2.7356875</v>
      </c>
      <c r="AN31" s="318">
        <f>+SUM(D31:G31)</f>
        <v>72.817196465000009</v>
      </c>
      <c r="AO31" s="318">
        <f>+SUM(H31:K31)</f>
        <v>98.034421403750017</v>
      </c>
      <c r="AP31" s="318">
        <f>+SUM(L31:O31)</f>
        <v>98.943335302500017</v>
      </c>
      <c r="AQ31" s="318">
        <f>+SUM(P31:S31)</f>
        <v>94.490981081250013</v>
      </c>
      <c r="AR31" s="108">
        <f>+AR29*MACRO!BI$4</f>
        <v>94.835647075000011</v>
      </c>
      <c r="AS31">
        <f>+SUM(X31:AA31)</f>
        <v>10.94275</v>
      </c>
      <c r="AT31" s="108">
        <f t="shared" ref="AT31:AY31" si="36">+AS31</f>
        <v>10.94275</v>
      </c>
      <c r="AU31" s="108">
        <f t="shared" si="36"/>
        <v>10.94275</v>
      </c>
      <c r="AV31" s="108">
        <f t="shared" si="36"/>
        <v>10.94275</v>
      </c>
      <c r="AW31" s="108">
        <f t="shared" si="36"/>
        <v>10.94275</v>
      </c>
      <c r="AX31" s="108">
        <f t="shared" si="36"/>
        <v>10.94275</v>
      </c>
      <c r="AY31" s="108">
        <f t="shared" si="36"/>
        <v>10.94275</v>
      </c>
    </row>
    <row r="32" spans="1:51">
      <c r="C32" s="1705">
        <v>129.5</v>
      </c>
    </row>
    <row r="34" spans="1:51" s="1216" customFormat="1">
      <c r="B34" s="1216" t="s">
        <v>104</v>
      </c>
      <c r="C34" s="1216" t="s">
        <v>643</v>
      </c>
      <c r="D34" s="1216">
        <f t="shared" ref="D34:J34" si="37">+D37+D40+D43+D46+D49</f>
        <v>28.224053989202375</v>
      </c>
      <c r="E34" s="1216">
        <f t="shared" si="37"/>
        <v>27.107862117447432</v>
      </c>
      <c r="F34" s="1216">
        <f t="shared" si="37"/>
        <v>25.622170418590798</v>
      </c>
      <c r="G34" s="1216">
        <f t="shared" si="37"/>
        <v>29.307487414541278</v>
      </c>
      <c r="H34" s="1216">
        <f t="shared" si="37"/>
        <v>26.718460459684561</v>
      </c>
      <c r="I34" s="1216">
        <f t="shared" si="37"/>
        <v>23.649180701725641</v>
      </c>
      <c r="J34" s="1216">
        <f t="shared" si="37"/>
        <v>26.269525890112774</v>
      </c>
      <c r="K34" s="1216">
        <f>+K37+K40+K43+K46+K49</f>
        <v>29.834137910481736</v>
      </c>
      <c r="L34" s="1216">
        <f t="shared" ref="L34:AA34" si="38">+L37+L40+L43+L46+L49</f>
        <v>33.925976674811508</v>
      </c>
      <c r="M34" s="1216">
        <f t="shared" si="38"/>
        <v>39.796657788772592</v>
      </c>
      <c r="N34" s="1216">
        <f t="shared" si="38"/>
        <v>44.709670998772104</v>
      </c>
      <c r="O34" s="1216">
        <f t="shared" si="38"/>
        <v>44.232916063565639</v>
      </c>
      <c r="P34" s="1216">
        <f t="shared" si="38"/>
        <v>47.571019625453232</v>
      </c>
      <c r="Q34" s="1216">
        <f t="shared" si="38"/>
        <v>49.093195027749772</v>
      </c>
      <c r="R34" s="1216">
        <f t="shared" si="38"/>
        <v>36.781200479542434</v>
      </c>
      <c r="S34" s="1216">
        <f t="shared" si="38"/>
        <v>33.202221737890831</v>
      </c>
      <c r="T34" s="1216">
        <f t="shared" si="38"/>
        <v>30.135968567175869</v>
      </c>
      <c r="U34" s="1216">
        <f t="shared" si="38"/>
        <v>26.267354411239214</v>
      </c>
      <c r="V34" s="1216">
        <f t="shared" si="38"/>
        <v>31.589634000352415</v>
      </c>
      <c r="W34" s="1216">
        <f t="shared" si="38"/>
        <v>30.448840064314723</v>
      </c>
      <c r="X34" s="1216">
        <f t="shared" si="38"/>
        <v>28.659477881375778</v>
      </c>
      <c r="Y34" s="1216">
        <f t="shared" si="38"/>
        <v>29.454987067785755</v>
      </c>
      <c r="Z34" s="1216">
        <f t="shared" si="38"/>
        <v>29.482287336313433</v>
      </c>
      <c r="AA34" s="1216">
        <f t="shared" si="38"/>
        <v>30.232388855195165</v>
      </c>
      <c r="AB34" s="1216">
        <f t="shared" ref="AB34:AE34" si="39">+AB37+AB40+AB43+AB46+AB49</f>
        <v>31.924646569275946</v>
      </c>
      <c r="AC34" s="1216">
        <f t="shared" si="39"/>
        <v>31.594459542380424</v>
      </c>
      <c r="AD34" s="1216">
        <f t="shared" si="39"/>
        <v>31.622999899391697</v>
      </c>
      <c r="AE34" s="1216">
        <f t="shared" si="39"/>
        <v>29.239769278267183</v>
      </c>
      <c r="AN34" s="1216" t="e">
        <f>+#REF!+#REF!+#REF!+#REF!+AN37+AN40+AN43+AN46+AN49</f>
        <v>#REF!</v>
      </c>
      <c r="AO34" s="1216" t="e">
        <f>+#REF!+#REF!+#REF!+#REF!+AO37+AO40+AO43+AO46+AO49</f>
        <v>#REF!</v>
      </c>
      <c r="AP34" s="1216" t="e">
        <f>+#REF!+#REF!+#REF!+#REF!+AP37+AP40+AP43+AP46+AP49</f>
        <v>#REF!</v>
      </c>
      <c r="AQ34" s="1487" t="e">
        <f>+#REF!+#REF!+#REF!+#REF!+AQ37+AQ40+AQ43+AQ46+AQ49</f>
        <v>#REF!</v>
      </c>
      <c r="AR34" s="1216">
        <f t="shared" ref="AR34:AV34" si="40">+AR37+AR40+AR43+AR46+AR49</f>
        <v>121.79536025725889</v>
      </c>
      <c r="AS34" s="1216">
        <f t="shared" si="40"/>
        <v>117.82914114067013</v>
      </c>
      <c r="AT34" s="1216">
        <f t="shared" si="40"/>
        <v>116.95907711306873</v>
      </c>
      <c r="AU34" s="1216">
        <f t="shared" si="40"/>
        <v>113.71460179942578</v>
      </c>
      <c r="AV34" s="1216">
        <f t="shared" si="40"/>
        <v>116.80805000000004</v>
      </c>
      <c r="AW34" s="1216">
        <f t="shared" ref="AW34:AY34" si="41">+AW37+AW40+AW43+AW46+AW49</f>
        <v>114.1833</v>
      </c>
      <c r="AX34" s="1216">
        <f t="shared" si="41"/>
        <v>114.1833</v>
      </c>
      <c r="AY34" s="1216">
        <f t="shared" si="41"/>
        <v>114.1833</v>
      </c>
    </row>
    <row r="35" spans="1:51" s="1209" customFormat="1">
      <c r="B35" s="1216" t="s">
        <v>340</v>
      </c>
      <c r="C35" s="1216">
        <f>+C37++C43+C40+C46+C49</f>
        <v>1049.8999999999999</v>
      </c>
    </row>
    <row r="36" spans="1:51">
      <c r="B36" s="105"/>
    </row>
    <row r="37" spans="1:51">
      <c r="A37">
        <v>2027</v>
      </c>
      <c r="B37" t="s">
        <v>104</v>
      </c>
      <c r="C37" s="1155">
        <v>255.8</v>
      </c>
      <c r="D37">
        <f t="shared" ref="D37:N37" si="42">+$C37*($C38+D$4)/4</f>
        <v>6.8282029864158185</v>
      </c>
      <c r="E37">
        <f t="shared" si="42"/>
        <v>6.5562514855158147</v>
      </c>
      <c r="F37">
        <f t="shared" si="42"/>
        <v>6.1942742147590497</v>
      </c>
      <c r="G37">
        <f t="shared" si="42"/>
        <v>7.0921731456706905</v>
      </c>
      <c r="H37">
        <f t="shared" si="42"/>
        <v>6.4613767888249463</v>
      </c>
      <c r="I37">
        <f t="shared" si="42"/>
        <v>5.7135705576735107</v>
      </c>
      <c r="J37">
        <f t="shared" si="42"/>
        <v>6.3519973594540904</v>
      </c>
      <c r="K37">
        <f t="shared" si="42"/>
        <v>7.2204874583305356</v>
      </c>
      <c r="L37">
        <f t="shared" si="42"/>
        <v>8.217432268232006</v>
      </c>
      <c r="M37">
        <f t="shared" si="42"/>
        <v>9.6477782335155986</v>
      </c>
      <c r="N37">
        <f t="shared" si="42"/>
        <v>10.844795834351752</v>
      </c>
      <c r="O37">
        <f>+$C37*($C38+O$4)/4</f>
        <v>10.728638188456131</v>
      </c>
      <c r="P37">
        <f t="shared" ref="P37:AE37" si="43">+$C37*($C38+P$4)/4</f>
        <v>11.541941256491986</v>
      </c>
      <c r="Q37">
        <f t="shared" si="43"/>
        <v>11.912807498903129</v>
      </c>
      <c r="R37">
        <f t="shared" si="43"/>
        <v>8.9130854249613822</v>
      </c>
      <c r="S37">
        <f t="shared" si="43"/>
        <v>8.0410949857629053</v>
      </c>
      <c r="T37">
        <f t="shared" si="43"/>
        <v>7.2940261591423825</v>
      </c>
      <c r="U37">
        <f t="shared" si="43"/>
        <v>6.351468295451939</v>
      </c>
      <c r="V37">
        <f t="shared" si="43"/>
        <v>7.6482004784171345</v>
      </c>
      <c r="W37">
        <f t="shared" si="43"/>
        <v>7.3702548751802155</v>
      </c>
      <c r="X37">
        <f t="shared" si="43"/>
        <v>6.9342906439241103</v>
      </c>
      <c r="Y37">
        <f t="shared" si="43"/>
        <v>7.128110293303739</v>
      </c>
      <c r="Z37">
        <f t="shared" si="43"/>
        <v>7.1347617921982813</v>
      </c>
      <c r="AA37">
        <f t="shared" si="43"/>
        <v>7.3175182152194731</v>
      </c>
      <c r="AB37">
        <f t="shared" si="43"/>
        <v>7.7298236950383732</v>
      </c>
      <c r="AC37">
        <f t="shared" si="43"/>
        <v>7.649376184342235</v>
      </c>
      <c r="AD37">
        <f t="shared" si="43"/>
        <v>7.6563298211871578</v>
      </c>
      <c r="AE37">
        <f t="shared" si="43"/>
        <v>7.0756741464718029</v>
      </c>
      <c r="AN37" s="318">
        <f>+SUM(D37:G37)</f>
        <v>26.670901832361373</v>
      </c>
      <c r="AO37" s="318">
        <f>+SUM(H37:K37)</f>
        <v>25.747432164283079</v>
      </c>
      <c r="AP37" s="318">
        <f>+SUM(L37:O37)</f>
        <v>39.438644524555485</v>
      </c>
      <c r="AQ37" s="318">
        <f>+SUM(P37:S37)</f>
        <v>40.4089291661194</v>
      </c>
      <c r="AR37">
        <f>+$C37*($C38+AR$4)</f>
        <v>29.481019500720862</v>
      </c>
      <c r="AS37">
        <f>+SUM(X37:AA37)</f>
        <v>28.514680944645605</v>
      </c>
      <c r="AT37">
        <f>+$C37*($C38+AT$4)</f>
        <v>28.302696585887212</v>
      </c>
      <c r="AU37">
        <f>+$C37*($C38+AU$4)</f>
        <v>27.512205315071075</v>
      </c>
      <c r="AV37">
        <f>+$C37*($C38+AV$4)</f>
        <v>28.265900000000006</v>
      </c>
      <c r="AW37">
        <f t="shared" ref="AW37:AY37" si="44">+$C37*($C38+AW$4)</f>
        <v>27.626400000000004</v>
      </c>
      <c r="AX37">
        <f t="shared" si="44"/>
        <v>27.626400000000004</v>
      </c>
      <c r="AY37">
        <f t="shared" si="44"/>
        <v>27.626400000000004</v>
      </c>
    </row>
    <row r="38" spans="1:51">
      <c r="B38" t="s">
        <v>644</v>
      </c>
      <c r="C38" s="1172">
        <v>6.8000000000000005E-2</v>
      </c>
    </row>
    <row r="40" spans="1:51">
      <c r="A40">
        <v>2029</v>
      </c>
      <c r="B40" t="s">
        <v>104</v>
      </c>
      <c r="C40" s="1155">
        <v>487.2</v>
      </c>
      <c r="D40">
        <f t="shared" ref="D40" si="45">+$C40*($C41+D$4)/4</f>
        <v>13.126884030421369</v>
      </c>
      <c r="E40">
        <f t="shared" ref="E40" si="46">+$C40*($C41+E$4)/4</f>
        <v>12.608921672178672</v>
      </c>
      <c r="F40">
        <f t="shared" ref="F40" si="47">+$C40*($C41+F$4)/4</f>
        <v>11.919495064232247</v>
      </c>
      <c r="G40">
        <f t="shared" ref="G40" si="48">+$C40*($C41+G$4)/4</f>
        <v>13.629645021777797</v>
      </c>
      <c r="H40">
        <f t="shared" ref="H40" si="49">+$C40*($C41+H$4)/4</f>
        <v>12.428222093493016</v>
      </c>
      <c r="I40">
        <f t="shared" ref="I40" si="50">+$C40*($C41+I$4)/4</f>
        <v>11.003940639947359</v>
      </c>
      <c r="J40">
        <f t="shared" ref="J40" si="51">+$C40*($C41+J$4)/4</f>
        <v>12.219896612689729</v>
      </c>
      <c r="K40">
        <f t="shared" ref="K40" si="52">+$C40*($C41+K$4)/4</f>
        <v>13.874034127047054</v>
      </c>
      <c r="L40">
        <f t="shared" ref="L40" si="53">+$C40*($C41+L$4)/4</f>
        <v>15.772828151222178</v>
      </c>
      <c r="M40">
        <f t="shared" ref="M40" si="54">+$C40*($C41+M$4)/4</f>
        <v>18.497083641003908</v>
      </c>
      <c r="N40">
        <f t="shared" ref="N40" si="55">+$C40*($C41+N$4)/4</f>
        <v>20.776938899515923</v>
      </c>
      <c r="O40">
        <f>+$C40*($C41+O$4)/4</f>
        <v>20.555703539545842</v>
      </c>
      <c r="P40">
        <f t="shared" ref="P40" si="56">+$C40*($C41+P$4)/4</f>
        <v>22.104731118697792</v>
      </c>
      <c r="Q40">
        <f t="shared" ref="Q40" si="57">+$C40*($C41+Q$4)/4</f>
        <v>22.811087777426131</v>
      </c>
      <c r="R40">
        <f t="shared" ref="R40" si="58">+$C40*($C41+R$4)/4</f>
        <v>17.097778182334576</v>
      </c>
      <c r="S40">
        <f t="shared" ref="S40" si="59">+$C40*($C41+S$4)/4</f>
        <v>15.436973874369381</v>
      </c>
      <c r="T40">
        <f t="shared" ref="T40" si="60">+$C40*($C41+T$4)/4</f>
        <v>14.014096891063989</v>
      </c>
      <c r="U40">
        <f t="shared" ref="U40" si="61">+$C40*($C41+U$4)/4</f>
        <v>12.218888950524567</v>
      </c>
      <c r="V40">
        <f t="shared" ref="V40" si="62">+$C40*($C41+V$4)/4</f>
        <v>14.688661896344128</v>
      </c>
      <c r="W40">
        <f t="shared" ref="W40" si="63">+$C40*($C41+W$4)/4</f>
        <v>14.159283092993748</v>
      </c>
      <c r="X40">
        <f t="shared" ref="X40" si="64">+$C40*($C41+X$4)/4</f>
        <v>13.328939959811674</v>
      </c>
      <c r="Y40">
        <f t="shared" ref="Y40" si="65">+$C40*($C41+Y$4)/4</f>
        <v>13.698091379583976</v>
      </c>
      <c r="Z40">
        <f t="shared" ref="Z40" si="66">+$C40*($C41+Z$4)/4</f>
        <v>13.710759910707594</v>
      </c>
      <c r="AA40">
        <f t="shared" ref="AA40:AE40" si="67">+$C40*($C41+AA$4)/4</f>
        <v>14.058840165969222</v>
      </c>
      <c r="AB40">
        <f t="shared" si="67"/>
        <v>14.844122534099668</v>
      </c>
      <c r="AC40">
        <f t="shared" si="67"/>
        <v>14.69090116110843</v>
      </c>
      <c r="AD40">
        <f t="shared" si="67"/>
        <v>14.704145148093756</v>
      </c>
      <c r="AE40">
        <f t="shared" si="67"/>
        <v>13.598220813764902</v>
      </c>
      <c r="AN40" s="318">
        <f>+SUM(D40:G40)</f>
        <v>51.284945788610081</v>
      </c>
      <c r="AO40" s="318">
        <f>+SUM(H40:K40)</f>
        <v>49.526093473177156</v>
      </c>
      <c r="AP40" s="318">
        <f>+SUM(L40:O40)</f>
        <v>75.602554231287854</v>
      </c>
      <c r="AQ40" s="318">
        <f>+SUM(P40:S40)</f>
        <v>77.450570952827889</v>
      </c>
      <c r="AR40">
        <f>+$C40*($C41+AR$4)</f>
        <v>56.637132371974992</v>
      </c>
      <c r="AS40">
        <f>+SUM(X40:AA40)</f>
        <v>54.796631416072465</v>
      </c>
      <c r="AT40">
        <f>+$C40*($C41+AT$4)</f>
        <v>54.392883255059608</v>
      </c>
      <c r="AU40">
        <f>+$C40*($C41+AU$4)</f>
        <v>52.887303320964136</v>
      </c>
      <c r="AV40">
        <f>+$C40*($C41+AV$4)</f>
        <v>54.322800000000008</v>
      </c>
      <c r="AW40">
        <f t="shared" ref="AW40:AY40" si="68">+$C40*($C41+AW$4)</f>
        <v>53.104800000000004</v>
      </c>
      <c r="AX40">
        <f t="shared" si="68"/>
        <v>53.104800000000004</v>
      </c>
      <c r="AY40">
        <f t="shared" si="68"/>
        <v>53.104800000000004</v>
      </c>
    </row>
    <row r="41" spans="1:51">
      <c r="B41" t="s">
        <v>644</v>
      </c>
      <c r="C41" s="1172">
        <v>6.9000000000000006E-2</v>
      </c>
    </row>
    <row r="43" spans="1:51">
      <c r="A43">
        <v>2031</v>
      </c>
      <c r="B43" t="s">
        <v>104</v>
      </c>
      <c r="C43" s="1155">
        <v>102.3</v>
      </c>
      <c r="D43">
        <f t="shared" ref="D43" si="69">+$C43*($C44+D$4)/4</f>
        <v>2.7563223241217285</v>
      </c>
      <c r="E43">
        <f t="shared" ref="E43" si="70">+$C43*($C44+E$4)/4</f>
        <v>2.6475629865843149</v>
      </c>
      <c r="F43">
        <f t="shared" ref="F43" si="71">+$C43*($C44+F$4)/4</f>
        <v>2.5028003798665002</v>
      </c>
      <c r="G43">
        <f t="shared" ref="G43" si="72">+$C43*($C44+G$4)/4</f>
        <v>2.861889749030929</v>
      </c>
      <c r="H43">
        <f t="shared" ref="H43" si="73">+$C43*($C44+H$4)/4</f>
        <v>2.6096205257888658</v>
      </c>
      <c r="I43">
        <f t="shared" ref="I43" si="74">+$C43*($C44+I$4)/4</f>
        <v>2.3105565013682572</v>
      </c>
      <c r="J43">
        <f t="shared" ref="J43" si="75">+$C43*($C44+J$4)/4</f>
        <v>2.5658773059896536</v>
      </c>
      <c r="K43">
        <f t="shared" ref="K43" si="76">+$C43*($C44+K$4)/4</f>
        <v>2.9132054417013826</v>
      </c>
      <c r="L43">
        <f t="shared" ref="L43" si="77">+$C43*($C44+L$4)/4</f>
        <v>3.3119054184524401</v>
      </c>
      <c r="M43">
        <f t="shared" ref="M43" si="78">+$C43*($C44+M$4)/4</f>
        <v>3.8839319714176925</v>
      </c>
      <c r="N43">
        <f t="shared" ref="N43" si="79">+$C43*($C44+N$4)/4</f>
        <v>4.3626454216348085</v>
      </c>
      <c r="O43">
        <f>+$C43*($C44+O$4)/4</f>
        <v>4.3161914451878891</v>
      </c>
      <c r="P43">
        <f t="shared" ref="P43" si="80">+$C43*($C44+P$4)/4</f>
        <v>4.6414490834211497</v>
      </c>
      <c r="Q43">
        <f t="shared" ref="Q43" si="81">+$C43*($C44+Q$4)/4</f>
        <v>4.7897665838068413</v>
      </c>
      <c r="R43">
        <f t="shared" ref="R43" si="82">+$C43*($C44+R$4)/4</f>
        <v>3.5901122907488241</v>
      </c>
      <c r="S43">
        <f t="shared" ref="S43" si="83">+$C43*($C44+S$4)/4</f>
        <v>3.2413842925861815</v>
      </c>
      <c r="T43">
        <f t="shared" ref="T43" si="84">+$C43*($C44+T$4)/4</f>
        <v>2.9426151723231655</v>
      </c>
      <c r="U43">
        <f t="shared" ref="U43" si="85">+$C43*($C44+U$4)/4</f>
        <v>2.5656657217542351</v>
      </c>
      <c r="V43">
        <f t="shared" ref="V43" si="86">+$C43*($C44+V$4)/4</f>
        <v>3.0842572085303863</v>
      </c>
      <c r="W43">
        <f t="shared" ref="W43" si="87">+$C43*($C44+W$4)/4</f>
        <v>2.9731006987135888</v>
      </c>
      <c r="X43">
        <f t="shared" ref="X43" si="88">+$C43*($C44+X$4)/4</f>
        <v>2.7987490925466632</v>
      </c>
      <c r="Y43">
        <f t="shared" ref="Y43" si="89">+$C43*($C44+Y$4)/4</f>
        <v>2.8762617982993448</v>
      </c>
      <c r="Z43">
        <f t="shared" ref="Z43" si="90">+$C43*($C44+Z$4)/4</f>
        <v>2.8789218778025183</v>
      </c>
      <c r="AA43">
        <f t="shared" ref="AA43:AE43" si="91">+$C43*($C44+AA$4)/4</f>
        <v>2.952010158002158</v>
      </c>
      <c r="AB43">
        <f t="shared" si="91"/>
        <v>3.1169001133793022</v>
      </c>
      <c r="AC43">
        <f t="shared" si="91"/>
        <v>3.0847273989765855</v>
      </c>
      <c r="AD43">
        <f t="shared" si="91"/>
        <v>3.0875083100369278</v>
      </c>
      <c r="AE43">
        <f t="shared" si="91"/>
        <v>2.8552914393434925</v>
      </c>
      <c r="AN43" s="318">
        <f>+SUM(D43:G43)</f>
        <v>10.768575439603472</v>
      </c>
      <c r="AO43" s="318">
        <f>+SUM(H43:K43)</f>
        <v>10.39925977484816</v>
      </c>
      <c r="AP43" s="318">
        <f>+SUM(L43:O43)</f>
        <v>15.874674256692831</v>
      </c>
      <c r="AQ43" s="318">
        <f>+SUM(P43:S43)</f>
        <v>16.262712250562998</v>
      </c>
      <c r="AR43">
        <f>+$C43*($C44+AR$4)</f>
        <v>11.892402794854355</v>
      </c>
      <c r="AS43">
        <f>+SUM(X43:AA43)</f>
        <v>11.505942926650684</v>
      </c>
      <c r="AT43">
        <f>+$C43*($C44+AT$4)</f>
        <v>11.42116575737397</v>
      </c>
      <c r="AU43">
        <f>+$C43*($C44+AU$4)</f>
        <v>11.105031054463529</v>
      </c>
      <c r="AV43">
        <f>+$C43*($C44+AV$4)</f>
        <v>11.406450000000001</v>
      </c>
      <c r="AW43">
        <f t="shared" ref="AW43:AY43" si="92">+$C43*($C44+AW$4)</f>
        <v>11.150700000000001</v>
      </c>
      <c r="AX43">
        <f t="shared" si="92"/>
        <v>11.150700000000001</v>
      </c>
      <c r="AY43">
        <f t="shared" si="92"/>
        <v>11.150700000000001</v>
      </c>
    </row>
    <row r="44" spans="1:51">
      <c r="B44" t="s">
        <v>644</v>
      </c>
      <c r="C44" s="1172">
        <v>6.9000000000000006E-2</v>
      </c>
    </row>
    <row r="46" spans="1:51">
      <c r="A46">
        <v>2032</v>
      </c>
      <c r="B46" t="s">
        <v>104</v>
      </c>
      <c r="C46" s="1155">
        <v>102.3</v>
      </c>
      <c r="D46">
        <f t="shared" ref="D46" si="93">+$C46*($C47+D$4)/4</f>
        <v>2.7563223241217285</v>
      </c>
      <c r="E46">
        <f t="shared" ref="E46" si="94">+$C46*($C47+E$4)/4</f>
        <v>2.6475629865843149</v>
      </c>
      <c r="F46">
        <f t="shared" ref="F46" si="95">+$C46*($C47+F$4)/4</f>
        <v>2.5028003798665002</v>
      </c>
      <c r="G46">
        <f t="shared" ref="G46" si="96">+$C46*($C47+G$4)/4</f>
        <v>2.861889749030929</v>
      </c>
      <c r="H46">
        <f t="shared" ref="H46" si="97">+$C46*($C47+H$4)/4</f>
        <v>2.6096205257888658</v>
      </c>
      <c r="I46">
        <f t="shared" ref="I46" si="98">+$C46*($C47+I$4)/4</f>
        <v>2.3105565013682572</v>
      </c>
      <c r="J46">
        <f t="shared" ref="J46" si="99">+$C46*($C47+J$4)/4</f>
        <v>2.5658773059896536</v>
      </c>
      <c r="K46">
        <f t="shared" ref="K46" si="100">+$C46*($C47+K$4)/4</f>
        <v>2.9132054417013826</v>
      </c>
      <c r="L46">
        <f t="shared" ref="L46" si="101">+$C46*($C47+L$4)/4</f>
        <v>3.3119054184524401</v>
      </c>
      <c r="M46">
        <f t="shared" ref="M46" si="102">+$C46*($C47+M$4)/4</f>
        <v>3.8839319714176925</v>
      </c>
      <c r="N46">
        <f t="shared" ref="N46" si="103">+$C46*($C47+N$4)/4</f>
        <v>4.3626454216348085</v>
      </c>
      <c r="O46">
        <f>+$C46*($C47+O$4)/4</f>
        <v>4.3161914451878891</v>
      </c>
      <c r="P46">
        <f t="shared" ref="P46" si="104">+$C46*($C47+P$4)/4</f>
        <v>4.6414490834211497</v>
      </c>
      <c r="Q46">
        <f t="shared" ref="Q46" si="105">+$C46*($C47+Q$4)/4</f>
        <v>4.7897665838068413</v>
      </c>
      <c r="R46">
        <f t="shared" ref="R46" si="106">+$C46*($C47+R$4)/4</f>
        <v>3.5901122907488241</v>
      </c>
      <c r="S46">
        <f t="shared" ref="S46" si="107">+$C46*($C47+S$4)/4</f>
        <v>3.2413842925861815</v>
      </c>
      <c r="T46">
        <f t="shared" ref="T46" si="108">+$C46*($C47+T$4)/4</f>
        <v>2.9426151723231655</v>
      </c>
      <c r="U46">
        <f t="shared" ref="U46" si="109">+$C46*($C47+U$4)/4</f>
        <v>2.5656657217542351</v>
      </c>
      <c r="V46">
        <f t="shared" ref="V46" si="110">+$C46*($C47+V$4)/4</f>
        <v>3.0842572085303863</v>
      </c>
      <c r="W46">
        <f t="shared" ref="W46" si="111">+$C46*($C47+W$4)/4</f>
        <v>2.9731006987135888</v>
      </c>
      <c r="X46">
        <f t="shared" ref="X46" si="112">+$C46*($C47+X$4)/4</f>
        <v>2.7987490925466632</v>
      </c>
      <c r="Y46">
        <f t="shared" ref="Y46" si="113">+$C46*($C47+Y$4)/4</f>
        <v>2.8762617982993448</v>
      </c>
      <c r="Z46">
        <f t="shared" ref="Z46" si="114">+$C46*($C47+Z$4)/4</f>
        <v>2.8789218778025183</v>
      </c>
      <c r="AA46">
        <f t="shared" ref="AA46:AE46" si="115">+$C46*($C47+AA$4)/4</f>
        <v>2.952010158002158</v>
      </c>
      <c r="AB46">
        <f t="shared" si="115"/>
        <v>3.1169001133793022</v>
      </c>
      <c r="AC46">
        <f t="shared" si="115"/>
        <v>3.0847273989765855</v>
      </c>
      <c r="AD46">
        <f t="shared" si="115"/>
        <v>3.0875083100369278</v>
      </c>
      <c r="AE46">
        <f t="shared" si="115"/>
        <v>2.8552914393434925</v>
      </c>
      <c r="AN46" s="318">
        <f>+SUM(D46:G46)</f>
        <v>10.768575439603472</v>
      </c>
      <c r="AO46" s="318">
        <f>+SUM(H46:K46)</f>
        <v>10.39925977484816</v>
      </c>
      <c r="AP46" s="318">
        <f>+SUM(L46:O46)</f>
        <v>15.874674256692831</v>
      </c>
      <c r="AQ46" s="318">
        <f>+SUM(P46:S46)</f>
        <v>16.262712250562998</v>
      </c>
      <c r="AR46">
        <f>+$C46*($C47+AR$4)</f>
        <v>11.892402794854355</v>
      </c>
      <c r="AS46">
        <f>+SUM(X46:AA46)</f>
        <v>11.505942926650684</v>
      </c>
      <c r="AT46">
        <f>+$C46*($C47+AT$4)</f>
        <v>11.42116575737397</v>
      </c>
      <c r="AU46">
        <f>+$C46*($C47+AU$4)</f>
        <v>11.105031054463529</v>
      </c>
      <c r="AV46">
        <f>+$C46*($C47+AV$4)</f>
        <v>11.406450000000001</v>
      </c>
      <c r="AW46">
        <f t="shared" ref="AW46:AY46" si="116">+$C46*($C47+AW$4)</f>
        <v>11.150700000000001</v>
      </c>
      <c r="AX46">
        <f t="shared" si="116"/>
        <v>11.150700000000001</v>
      </c>
      <c r="AY46">
        <f t="shared" si="116"/>
        <v>11.150700000000001</v>
      </c>
    </row>
    <row r="47" spans="1:51">
      <c r="B47" t="s">
        <v>644</v>
      </c>
      <c r="C47" s="1172">
        <v>6.9000000000000006E-2</v>
      </c>
    </row>
    <row r="49" spans="1:51">
      <c r="A49">
        <v>2033</v>
      </c>
      <c r="B49" t="s">
        <v>104</v>
      </c>
      <c r="C49" s="1155">
        <v>102.3</v>
      </c>
      <c r="D49">
        <f t="shared" ref="D49" si="117">+$C49*($C50+D$4)/4</f>
        <v>2.7563223241217285</v>
      </c>
      <c r="E49">
        <f t="shared" ref="E49" si="118">+$C49*($C50+E$4)/4</f>
        <v>2.6475629865843149</v>
      </c>
      <c r="F49">
        <f t="shared" ref="F49" si="119">+$C49*($C50+F$4)/4</f>
        <v>2.5028003798665002</v>
      </c>
      <c r="G49">
        <f t="shared" ref="G49" si="120">+$C49*($C50+G$4)/4</f>
        <v>2.861889749030929</v>
      </c>
      <c r="H49">
        <f t="shared" ref="H49" si="121">+$C49*($C50+H$4)/4</f>
        <v>2.6096205257888658</v>
      </c>
      <c r="I49">
        <f t="shared" ref="I49" si="122">+$C49*($C50+I$4)/4</f>
        <v>2.3105565013682572</v>
      </c>
      <c r="J49">
        <f t="shared" ref="J49" si="123">+$C49*($C50+J$4)/4</f>
        <v>2.5658773059896536</v>
      </c>
      <c r="K49">
        <f t="shared" ref="K49" si="124">+$C49*($C50+K$4)/4</f>
        <v>2.9132054417013826</v>
      </c>
      <c r="L49">
        <f t="shared" ref="L49" si="125">+$C49*($C50+L$4)/4</f>
        <v>3.3119054184524401</v>
      </c>
      <c r="M49">
        <f t="shared" ref="M49" si="126">+$C49*($C50+M$4)/4</f>
        <v>3.8839319714176925</v>
      </c>
      <c r="N49">
        <f t="shared" ref="N49" si="127">+$C49*($C50+N$4)/4</f>
        <v>4.3626454216348085</v>
      </c>
      <c r="O49">
        <f>+$C49*($C50+O$4)/4</f>
        <v>4.3161914451878891</v>
      </c>
      <c r="P49">
        <f t="shared" ref="P49" si="128">+$C49*($C50+P$4)/4</f>
        <v>4.6414490834211497</v>
      </c>
      <c r="Q49">
        <f t="shared" ref="Q49" si="129">+$C49*($C50+Q$4)/4</f>
        <v>4.7897665838068413</v>
      </c>
      <c r="R49">
        <f t="shared" ref="R49" si="130">+$C49*($C50+R$4)/4</f>
        <v>3.5901122907488241</v>
      </c>
      <c r="S49">
        <f t="shared" ref="S49" si="131">+$C49*($C50+S$4)/4</f>
        <v>3.2413842925861815</v>
      </c>
      <c r="T49">
        <f t="shared" ref="T49" si="132">+$C49*($C50+T$4)/4</f>
        <v>2.9426151723231655</v>
      </c>
      <c r="U49">
        <f t="shared" ref="U49" si="133">+$C49*($C50+U$4)/4</f>
        <v>2.5656657217542351</v>
      </c>
      <c r="V49">
        <f t="shared" ref="V49" si="134">+$C49*($C50+V$4)/4</f>
        <v>3.0842572085303863</v>
      </c>
      <c r="W49">
        <f t="shared" ref="W49" si="135">+$C49*($C50+W$4)/4</f>
        <v>2.9731006987135888</v>
      </c>
      <c r="X49">
        <f t="shared" ref="X49" si="136">+$C49*($C50+X$4)/4</f>
        <v>2.7987490925466632</v>
      </c>
      <c r="Y49">
        <f t="shared" ref="Y49" si="137">+$C49*($C50+Y$4)/4</f>
        <v>2.8762617982993448</v>
      </c>
      <c r="Z49">
        <f t="shared" ref="Z49" si="138">+$C49*($C50+Z$4)/4</f>
        <v>2.8789218778025183</v>
      </c>
      <c r="AA49">
        <f t="shared" ref="AA49:AE49" si="139">+$C49*($C50+AA$4)/4</f>
        <v>2.952010158002158</v>
      </c>
      <c r="AB49">
        <f t="shared" si="139"/>
        <v>3.1169001133793022</v>
      </c>
      <c r="AC49">
        <f t="shared" si="139"/>
        <v>3.0847273989765855</v>
      </c>
      <c r="AD49">
        <f t="shared" si="139"/>
        <v>3.0875083100369278</v>
      </c>
      <c r="AE49">
        <f t="shared" si="139"/>
        <v>2.8552914393434925</v>
      </c>
      <c r="AN49" s="318">
        <f>+SUM(D49:G49)</f>
        <v>10.768575439603472</v>
      </c>
      <c r="AO49" s="318">
        <f>+SUM(H49:K49)</f>
        <v>10.39925977484816</v>
      </c>
      <c r="AP49" s="318">
        <f>+SUM(L49:O49)</f>
        <v>15.874674256692831</v>
      </c>
      <c r="AQ49" s="318">
        <f>+SUM(P49:S49)</f>
        <v>16.262712250562998</v>
      </c>
      <c r="AR49">
        <f>+$C49*($C50+AR$4)</f>
        <v>11.892402794854355</v>
      </c>
      <c r="AS49">
        <f>+SUM(X49:AA49)</f>
        <v>11.505942926650684</v>
      </c>
      <c r="AT49">
        <f>+$C49*($C50+AT$4)</f>
        <v>11.42116575737397</v>
      </c>
      <c r="AU49">
        <f>+$C49*($C50+AU$4)</f>
        <v>11.105031054463529</v>
      </c>
      <c r="AV49">
        <f>+$C49*($C50+AV$4)</f>
        <v>11.406450000000001</v>
      </c>
      <c r="AW49">
        <f t="shared" ref="AW49:AY49" si="140">+$C49*($C50+AW$4)</f>
        <v>11.150700000000001</v>
      </c>
      <c r="AX49">
        <f t="shared" si="140"/>
        <v>11.150700000000001</v>
      </c>
      <c r="AY49">
        <f t="shared" si="140"/>
        <v>11.150700000000001</v>
      </c>
    </row>
    <row r="50" spans="1:51">
      <c r="B50" t="s">
        <v>644</v>
      </c>
      <c r="C50" s="1172">
        <v>6.9000000000000006E-2</v>
      </c>
    </row>
    <row r="52" spans="1:51" s="1216" customFormat="1">
      <c r="B52" s="1216" t="s">
        <v>104</v>
      </c>
      <c r="C52" s="1216" t="s">
        <v>645</v>
      </c>
      <c r="D52" s="1216">
        <f>+D55+D58+D61</f>
        <v>29.457375000000003</v>
      </c>
      <c r="E52" s="1216">
        <f t="shared" ref="E52:AA52" si="141">+E55+E58+E61</f>
        <v>29.457375000000003</v>
      </c>
      <c r="F52" s="1216">
        <f t="shared" si="141"/>
        <v>28.114374999999999</v>
      </c>
      <c r="G52" s="1216">
        <f t="shared" si="141"/>
        <v>24.588999999999999</v>
      </c>
      <c r="H52" s="1216">
        <f t="shared" si="141"/>
        <v>21.97015</v>
      </c>
      <c r="I52" s="1216">
        <f t="shared" si="141"/>
        <v>18.276899999999998</v>
      </c>
      <c r="J52" s="1216">
        <f t="shared" si="141"/>
        <v>14.6508</v>
      </c>
      <c r="K52" s="1216">
        <f t="shared" si="141"/>
        <v>14.348625000000002</v>
      </c>
      <c r="L52" s="1216">
        <f t="shared" si="141"/>
        <v>14.7851</v>
      </c>
      <c r="M52" s="1216">
        <f t="shared" si="141"/>
        <v>18.881250000000001</v>
      </c>
      <c r="N52" s="1216">
        <f t="shared" si="141"/>
        <v>24.387550000000001</v>
      </c>
      <c r="O52" s="1216">
        <f t="shared" si="141"/>
        <v>33.419224999999997</v>
      </c>
      <c r="P52" s="1216">
        <f t="shared" si="141"/>
        <v>42.618774999999999</v>
      </c>
      <c r="Q52" s="1216">
        <f t="shared" si="141"/>
        <v>49.568799999999996</v>
      </c>
      <c r="R52" s="1216">
        <f t="shared" si="141"/>
        <v>53.295625000000001</v>
      </c>
      <c r="S52" s="1216">
        <f t="shared" si="141"/>
        <v>53.799250000000008</v>
      </c>
      <c r="T52" s="1216">
        <f t="shared" si="141"/>
        <v>53.799250000000008</v>
      </c>
      <c r="U52" s="1216">
        <f t="shared" si="141"/>
        <v>53.799250000000008</v>
      </c>
      <c r="V52" s="1216">
        <f t="shared" si="141"/>
        <v>52.489825000000003</v>
      </c>
      <c r="W52" s="1216">
        <f t="shared" si="141"/>
        <v>17.939900000000002</v>
      </c>
      <c r="X52" s="1216">
        <f t="shared" si="141"/>
        <v>16.673249999999999</v>
      </c>
      <c r="Y52" s="1216">
        <f t="shared" si="141"/>
        <v>15.703875</v>
      </c>
      <c r="Z52" s="1216">
        <f t="shared" si="141"/>
        <v>15.6134</v>
      </c>
      <c r="AA52" s="1216">
        <f t="shared" si="141"/>
        <v>16.569849999999999</v>
      </c>
      <c r="AB52" s="1216">
        <f t="shared" ref="AB52:AE52" si="142">+AB55+AB58+AB61</f>
        <v>19.55983333333333</v>
      </c>
      <c r="AC52" s="1216">
        <f t="shared" si="142"/>
        <v>21.067749999999997</v>
      </c>
      <c r="AD52" s="1216">
        <f t="shared" si="142"/>
        <v>21.390874999999998</v>
      </c>
      <c r="AE52" s="1216">
        <f t="shared" si="142"/>
        <v>21.390874999999998</v>
      </c>
      <c r="AN52" s="1216" t="e">
        <f>+AN55+AN58+#REF!</f>
        <v>#REF!</v>
      </c>
      <c r="AO52" s="1216" t="e">
        <f>+AO55+AO58+#REF!</f>
        <v>#REF!</v>
      </c>
      <c r="AP52" s="1216" t="e">
        <f>+AP55+AP58+#REF!</f>
        <v>#REF!</v>
      </c>
      <c r="AQ52" s="1216" t="e">
        <f>+AQ55+AQ58+#REF!</f>
        <v>#REF!</v>
      </c>
      <c r="AR52" s="1216">
        <f t="shared" ref="AR52:AV52" si="143">+AR55+AR58+AR61</f>
        <v>209.11992500000002</v>
      </c>
      <c r="AS52" s="1216">
        <f t="shared" si="143"/>
        <v>64.560374999999993</v>
      </c>
      <c r="AT52" s="1216">
        <f t="shared" si="143"/>
        <v>83.409333333333336</v>
      </c>
      <c r="AU52" s="1216">
        <f t="shared" si="143"/>
        <v>77.808500000000009</v>
      </c>
      <c r="AV52" s="1216">
        <f t="shared" si="143"/>
        <v>67.468500000000006</v>
      </c>
      <c r="AW52" s="1216">
        <f t="shared" ref="AW52:AY52" si="144">+AW55+AW58+AW61</f>
        <v>64.883499999999998</v>
      </c>
      <c r="AX52" s="1216">
        <f t="shared" si="144"/>
        <v>59.713500000000003</v>
      </c>
      <c r="AY52" s="1216">
        <f t="shared" si="144"/>
        <v>54.543500000000002</v>
      </c>
    </row>
    <row r="53" spans="1:51" s="1216" customFormat="1">
      <c r="B53" s="1216" t="s">
        <v>340</v>
      </c>
      <c r="C53" s="1216">
        <f>+C55+C58+C61</f>
        <v>1703</v>
      </c>
    </row>
    <row r="54" spans="1:51">
      <c r="C54" s="1155" t="s">
        <v>646</v>
      </c>
    </row>
    <row r="55" spans="1:51">
      <c r="A55">
        <v>2025</v>
      </c>
      <c r="B55" t="s">
        <v>104</v>
      </c>
      <c r="C55" s="1155">
        <v>517</v>
      </c>
      <c r="D55">
        <f>+$C55*($C56+D$3)/4</f>
        <v>10.404625000000001</v>
      </c>
      <c r="E55">
        <f t="shared" ref="E55:AE55" si="145">+$C55*($C56+E$3)/4</f>
        <v>10.404625000000001</v>
      </c>
      <c r="F55">
        <f t="shared" si="145"/>
        <v>9.8876249999999999</v>
      </c>
      <c r="G55">
        <f t="shared" si="145"/>
        <v>8.5305</v>
      </c>
      <c r="H55">
        <f t="shared" si="145"/>
        <v>7.5223500000000003</v>
      </c>
      <c r="I55">
        <f t="shared" si="145"/>
        <v>6.1006</v>
      </c>
      <c r="J55">
        <f t="shared" si="145"/>
        <v>4.7046999999999999</v>
      </c>
      <c r="K55">
        <f t="shared" si="145"/>
        <v>4.5883750000000001</v>
      </c>
      <c r="L55">
        <f t="shared" si="145"/>
        <v>4.7564000000000002</v>
      </c>
      <c r="M55">
        <f t="shared" si="145"/>
        <v>6.3332500000000005</v>
      </c>
      <c r="N55">
        <f t="shared" si="145"/>
        <v>8.4529499999999995</v>
      </c>
      <c r="O55">
        <f t="shared" si="145"/>
        <v>11.929774999999999</v>
      </c>
      <c r="P55">
        <f t="shared" si="145"/>
        <v>15.471225</v>
      </c>
      <c r="Q55">
        <f t="shared" si="145"/>
        <v>18.146699999999999</v>
      </c>
      <c r="R55">
        <f t="shared" si="145"/>
        <v>19.581375000000001</v>
      </c>
      <c r="S55">
        <f t="shared" si="145"/>
        <v>19.775250000000003</v>
      </c>
      <c r="T55">
        <f t="shared" si="145"/>
        <v>19.775250000000003</v>
      </c>
      <c r="U55">
        <f t="shared" si="145"/>
        <v>19.775250000000003</v>
      </c>
      <c r="V55">
        <f t="shared" si="145"/>
        <v>19.271175000000003</v>
      </c>
      <c r="W55">
        <f t="shared" si="145"/>
        <v>17.939900000000002</v>
      </c>
      <c r="X55">
        <f t="shared" si="145"/>
        <v>16.673249999999999</v>
      </c>
      <c r="Y55">
        <f t="shared" si="145"/>
        <v>15.703875</v>
      </c>
      <c r="Z55">
        <f t="shared" si="145"/>
        <v>15.6134</v>
      </c>
      <c r="AA55">
        <f t="shared" si="145"/>
        <v>16.569849999999999</v>
      </c>
      <c r="AB55">
        <f t="shared" si="145"/>
        <v>19.55983333333333</v>
      </c>
      <c r="AC55">
        <f t="shared" si="145"/>
        <v>21.067749999999997</v>
      </c>
      <c r="AD55">
        <f t="shared" si="145"/>
        <v>21.390874999999998</v>
      </c>
      <c r="AE55">
        <f t="shared" si="145"/>
        <v>21.390874999999998</v>
      </c>
      <c r="AN55" s="318">
        <f>+SUM(D55:G55)</f>
        <v>39.227375000000002</v>
      </c>
      <c r="AO55" s="318">
        <f>+SUM(H55:K55)</f>
        <v>22.916024999999998</v>
      </c>
      <c r="AP55" s="318">
        <f>+SUM(L55:O55)</f>
        <v>31.472375</v>
      </c>
      <c r="AQ55" s="318">
        <f>+SUM(P55:S55)</f>
        <v>72.974550000000008</v>
      </c>
      <c r="AR55">
        <f>+$C55*($C56+AR$3)</f>
        <v>76.761575000000008</v>
      </c>
      <c r="AS55">
        <f>+SUM(X55:AA55)</f>
        <v>64.560374999999993</v>
      </c>
      <c r="AT55">
        <f>+$C55*($C56+AT$3)</f>
        <v>83.409333333333336</v>
      </c>
      <c r="AU55">
        <f>+$C55*($C56+AU$3)</f>
        <v>77.808500000000009</v>
      </c>
      <c r="AV55">
        <f>+$C55*($C56+AV$3)</f>
        <v>67.468500000000006</v>
      </c>
      <c r="AW55">
        <f t="shared" ref="AW55:AY55" si="146">+$C55*($C56+AW$3)</f>
        <v>64.883499999999998</v>
      </c>
      <c r="AX55">
        <f t="shared" si="146"/>
        <v>59.713500000000003</v>
      </c>
      <c r="AY55">
        <f t="shared" si="146"/>
        <v>54.543500000000002</v>
      </c>
    </row>
    <row r="56" spans="1:51">
      <c r="B56" t="s">
        <v>647</v>
      </c>
      <c r="C56" s="1172">
        <v>1.55E-2</v>
      </c>
    </row>
    <row r="58" spans="1:51">
      <c r="A58">
        <v>2025</v>
      </c>
      <c r="B58" t="s">
        <v>104</v>
      </c>
      <c r="C58" s="1155">
        <v>360</v>
      </c>
      <c r="D58">
        <f>+$C58*($C59+D$5)/4</f>
        <v>2.2229999999999999</v>
      </c>
      <c r="E58">
        <f t="shared" ref="E58:V58" si="147">+$C58*($C59+E$5)/4</f>
        <v>2.2229999999999999</v>
      </c>
      <c r="F58">
        <f t="shared" si="147"/>
        <v>2.2229999999999999</v>
      </c>
      <c r="G58">
        <f t="shared" si="147"/>
        <v>2.2229999999999999</v>
      </c>
      <c r="H58">
        <f t="shared" si="147"/>
        <v>2.2229999999999999</v>
      </c>
      <c r="I58">
        <f t="shared" si="147"/>
        <v>2.2229999999999999</v>
      </c>
      <c r="J58">
        <f t="shared" si="147"/>
        <v>2.2229999999999999</v>
      </c>
      <c r="K58">
        <f t="shared" si="147"/>
        <v>2.2229999999999999</v>
      </c>
      <c r="L58">
        <f t="shared" si="147"/>
        <v>2.2229999999999999</v>
      </c>
      <c r="M58">
        <f t="shared" si="147"/>
        <v>2.2229999999999999</v>
      </c>
      <c r="N58">
        <f t="shared" si="147"/>
        <v>2.2229999999999999</v>
      </c>
      <c r="O58">
        <f t="shared" si="147"/>
        <v>2.2229999999999999</v>
      </c>
      <c r="P58">
        <f t="shared" si="147"/>
        <v>2.2229999999999999</v>
      </c>
      <c r="Q58">
        <f t="shared" si="147"/>
        <v>2.2229999999999999</v>
      </c>
      <c r="R58">
        <f t="shared" si="147"/>
        <v>2.2229999999999999</v>
      </c>
      <c r="S58">
        <f t="shared" si="147"/>
        <v>2.2229999999999999</v>
      </c>
      <c r="T58">
        <f t="shared" si="147"/>
        <v>2.2229999999999999</v>
      </c>
      <c r="U58">
        <f t="shared" si="147"/>
        <v>2.2229999999999999</v>
      </c>
      <c r="V58">
        <f t="shared" si="147"/>
        <v>2.2229999999999999</v>
      </c>
      <c r="AN58" s="318">
        <f>+SUM(D58:G58)</f>
        <v>8.8919999999999995</v>
      </c>
      <c r="AO58" s="318">
        <f>+SUM(H58:K58)</f>
        <v>8.8919999999999995</v>
      </c>
      <c r="AP58" s="318">
        <f>+SUM(L58:O58)</f>
        <v>8.8919999999999995</v>
      </c>
      <c r="AQ58" s="318">
        <f>+SUM(P58:S58)</f>
        <v>8.8919999999999995</v>
      </c>
      <c r="AR58">
        <f>+$C58*($C59+AR$5)</f>
        <v>8.8919999999999995</v>
      </c>
      <c r="AS58">
        <f>+SUM(X58:AA58)</f>
        <v>0</v>
      </c>
    </row>
    <row r="59" spans="1:51">
      <c r="B59" t="s">
        <v>648</v>
      </c>
      <c r="C59" s="1172">
        <v>2.47E-2</v>
      </c>
    </row>
    <row r="61" spans="1:51">
      <c r="A61">
        <v>2027</v>
      </c>
      <c r="B61" t="s">
        <v>104</v>
      </c>
      <c r="C61" s="1155">
        <v>826</v>
      </c>
      <c r="D61">
        <f>+$C61*($C62+D$3)/4</f>
        <v>16.829750000000001</v>
      </c>
      <c r="E61">
        <f t="shared" ref="E61" si="148">+$C61*($C62+E$3)/4</f>
        <v>16.829750000000001</v>
      </c>
      <c r="F61">
        <f t="shared" ref="F61" si="149">+$C61*($C62+F$3)/4</f>
        <v>16.00375</v>
      </c>
      <c r="G61">
        <f t="shared" ref="G61" si="150">+$C61*($C62+G$3)/4</f>
        <v>13.835500000000001</v>
      </c>
      <c r="H61">
        <f t="shared" ref="H61" si="151">+$C61*($C62+H$3)/4</f>
        <v>12.2248</v>
      </c>
      <c r="I61">
        <f t="shared" ref="I61" si="152">+$C61*($C62+I$3)/4</f>
        <v>9.9533000000000005</v>
      </c>
      <c r="J61">
        <f t="shared" ref="J61" si="153">+$C61*($C62+J$3)/4</f>
        <v>7.7231000000000005</v>
      </c>
      <c r="K61">
        <f t="shared" ref="K61" si="154">+$C61*($C62+K$3)/4</f>
        <v>7.5372500000000011</v>
      </c>
      <c r="L61">
        <f t="shared" ref="L61" si="155">+$C61*($C62+L$3)/4</f>
        <v>7.8056999999999999</v>
      </c>
      <c r="M61">
        <f t="shared" ref="M61" si="156">+$C61*($C62+M$3)/4</f>
        <v>10.325000000000001</v>
      </c>
      <c r="N61">
        <f t="shared" ref="N61" si="157">+$C61*($C62+N$3)/4</f>
        <v>13.711600000000001</v>
      </c>
      <c r="O61">
        <f t="shared" ref="O61" si="158">+$C61*($C62+O$3)/4</f>
        <v>19.266449999999999</v>
      </c>
      <c r="P61">
        <f t="shared" ref="P61" si="159">+$C61*($C62+P$3)/4</f>
        <v>24.92455</v>
      </c>
      <c r="Q61">
        <f t="shared" ref="Q61" si="160">+$C61*($C62+Q$3)/4</f>
        <v>29.199099999999998</v>
      </c>
      <c r="R61">
        <f t="shared" ref="R61" si="161">+$C61*($C62+R$3)/4</f>
        <v>31.491250000000004</v>
      </c>
      <c r="S61">
        <f t="shared" ref="S61" si="162">+$C61*($C62+S$3)/4</f>
        <v>31.801000000000005</v>
      </c>
      <c r="T61">
        <f t="shared" ref="T61" si="163">+$C61*($C62+T$3)/4</f>
        <v>31.801000000000005</v>
      </c>
      <c r="U61">
        <f t="shared" ref="U61" si="164">+$C61*($C62+U$3)/4</f>
        <v>31.801000000000005</v>
      </c>
      <c r="V61">
        <f t="shared" ref="V61" si="165">+$C61*($C62+V$3)/4</f>
        <v>30.995650000000001</v>
      </c>
      <c r="AR61">
        <f>+$C61*($C62+AR$3)</f>
        <v>123.46635000000002</v>
      </c>
      <c r="AS61">
        <f>+SUM(X61:AA61)</f>
        <v>0</v>
      </c>
    </row>
    <row r="62" spans="1:51">
      <c r="B62" t="s">
        <v>647</v>
      </c>
      <c r="C62" s="1172">
        <v>1.6500000000000001E-2</v>
      </c>
    </row>
    <row r="63" spans="1:51">
      <c r="C63" s="1172"/>
    </row>
    <row r="66" spans="1:3">
      <c r="A66" s="105" t="s">
        <v>649</v>
      </c>
      <c r="B66" s="105" t="s">
        <v>104</v>
      </c>
      <c r="C66" s="1127" t="s">
        <v>650</v>
      </c>
    </row>
    <row r="67" spans="1:3">
      <c r="A67">
        <v>2023</v>
      </c>
      <c r="B67" s="70">
        <f t="shared" ref="B67:B74" si="166">+SUMIFS($C$12:$C$63,$A$12:$A$63,A67,$B$12:$B$63,"brl")</f>
        <v>2911.56</v>
      </c>
    </row>
    <row r="68" spans="1:3">
      <c r="A68">
        <v>2025</v>
      </c>
      <c r="B68" s="70">
        <f t="shared" si="166"/>
        <v>877</v>
      </c>
    </row>
    <row r="69" spans="1:3">
      <c r="A69">
        <v>2027</v>
      </c>
      <c r="B69" s="70">
        <f t="shared" si="166"/>
        <v>1081.8</v>
      </c>
    </row>
    <row r="70" spans="1:3">
      <c r="A70">
        <v>2029</v>
      </c>
      <c r="B70" s="70">
        <f t="shared" si="166"/>
        <v>487.2</v>
      </c>
    </row>
    <row r="71" spans="1:3">
      <c r="A71">
        <v>2031</v>
      </c>
      <c r="B71" s="70">
        <f t="shared" si="166"/>
        <v>102.3</v>
      </c>
    </row>
    <row r="72" spans="1:3">
      <c r="A72">
        <v>2032</v>
      </c>
      <c r="B72" s="70">
        <f t="shared" si="166"/>
        <v>102.3</v>
      </c>
    </row>
    <row r="73" spans="1:3">
      <c r="A73">
        <v>2033</v>
      </c>
      <c r="B73" s="70">
        <f t="shared" si="166"/>
        <v>102.3</v>
      </c>
    </row>
    <row r="74" spans="1:3">
      <c r="A74">
        <v>2043</v>
      </c>
      <c r="B74" s="70">
        <f t="shared" si="166"/>
        <v>1048.6468599999998</v>
      </c>
    </row>
  </sheetData>
  <phoneticPr fontId="108" type="noConversion"/>
  <pageMargins left="0.7" right="0.7" top="0.75" bottom="0.75" header="0.3" footer="0.3"/>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AG76"/>
  <sheetViews>
    <sheetView workbookViewId="0"/>
  </sheetViews>
  <sheetFormatPr defaultColWidth="9.140625" defaultRowHeight="15"/>
  <cols>
    <col min="1" max="1" width="2.7109375" customWidth="1"/>
    <col min="2" max="2" width="45.7109375" bestFit="1" customWidth="1"/>
    <col min="3" max="3" width="11.7109375" style="177" hidden="1" customWidth="1"/>
    <col min="4" max="5" width="12.7109375" style="177" hidden="1" customWidth="1"/>
    <col min="6" max="6" width="12.7109375" style="177" customWidth="1"/>
    <col min="7" max="7" width="12.7109375" style="177" hidden="1" customWidth="1"/>
    <col min="8" max="12" width="12.7109375" style="177" customWidth="1"/>
    <col min="13" max="13" width="12" style="177" customWidth="1"/>
    <col min="14" max="16" width="12" customWidth="1"/>
    <col min="17" max="22" width="10.7109375" bestFit="1" customWidth="1"/>
    <col min="23" max="23" width="11.7109375" bestFit="1" customWidth="1"/>
    <col min="24" max="32" width="10.5703125" bestFit="1" customWidth="1"/>
    <col min="33" max="33" width="11.5703125" bestFit="1" customWidth="1"/>
  </cols>
  <sheetData>
    <row r="3" spans="2:20">
      <c r="C3" s="416">
        <v>2018</v>
      </c>
      <c r="D3" s="417">
        <v>43617</v>
      </c>
      <c r="E3" s="417">
        <f>+D3+92</f>
        <v>43709</v>
      </c>
      <c r="F3" s="417">
        <f>+E3+92</f>
        <v>43801</v>
      </c>
      <c r="G3" s="417">
        <f>+F3+92</f>
        <v>43893</v>
      </c>
      <c r="H3" s="417">
        <f t="shared" ref="H3:K3" si="0">+G3+92</f>
        <v>43985</v>
      </c>
      <c r="I3" s="417">
        <f t="shared" si="0"/>
        <v>44077</v>
      </c>
      <c r="J3" s="417">
        <f>+I3+92</f>
        <v>44169</v>
      </c>
      <c r="K3" s="417">
        <f t="shared" si="0"/>
        <v>44261</v>
      </c>
      <c r="L3" s="417"/>
      <c r="M3" s="417" t="s">
        <v>651</v>
      </c>
      <c r="N3" s="417" t="s">
        <v>652</v>
      </c>
      <c r="O3" s="417"/>
      <c r="P3" s="417" t="s">
        <v>653</v>
      </c>
      <c r="Q3" s="417"/>
      <c r="R3" s="417"/>
      <c r="T3" t="s">
        <v>654</v>
      </c>
    </row>
    <row r="4" spans="2:20">
      <c r="B4" s="1127" t="s">
        <v>655</v>
      </c>
      <c r="C4" s="418">
        <f>+SUM(C5:C14)</f>
        <v>4981248</v>
      </c>
      <c r="D4" s="418">
        <f>+SUM(D5:D14)</f>
        <v>4472806</v>
      </c>
      <c r="E4" s="418">
        <f>+SUM(E5:E14)</f>
        <v>4584128</v>
      </c>
      <c r="F4" s="418">
        <f>+SUM(F5:F14)</f>
        <v>7404414</v>
      </c>
      <c r="G4" s="418">
        <f>+SUM(G5:G15)</f>
        <v>15045222</v>
      </c>
      <c r="H4" s="418">
        <f>+SUM(H5:H15)</f>
        <v>16097706</v>
      </c>
      <c r="I4" s="418">
        <f t="shared" ref="I4:K4" si="1">+SUM(I5:I15)</f>
        <v>15865919</v>
      </c>
      <c r="J4" s="418">
        <f t="shared" si="1"/>
        <v>15865919</v>
      </c>
      <c r="K4" s="418">
        <f t="shared" si="1"/>
        <v>0</v>
      </c>
      <c r="L4" s="418"/>
    </row>
    <row r="5" spans="2:20" s="287" customFormat="1">
      <c r="B5" s="287" t="s">
        <v>656</v>
      </c>
      <c r="C5" s="1121">
        <v>135618</v>
      </c>
      <c r="D5" s="1121">
        <v>116381</v>
      </c>
      <c r="E5" s="1121">
        <v>109252</v>
      </c>
      <c r="F5" s="1121">
        <v>101988</v>
      </c>
      <c r="G5" s="1121">
        <v>94714</v>
      </c>
      <c r="H5" s="1121">
        <v>87617</v>
      </c>
      <c r="I5" s="1121">
        <v>80343</v>
      </c>
      <c r="J5" s="1166">
        <f>+I5</f>
        <v>80343</v>
      </c>
      <c r="K5" s="419"/>
      <c r="L5" s="419"/>
      <c r="M5" s="420" t="s">
        <v>104</v>
      </c>
      <c r="N5" s="421">
        <v>45078</v>
      </c>
      <c r="P5" s="287" t="s">
        <v>657</v>
      </c>
    </row>
    <row r="6" spans="2:20" s="424" customFormat="1" ht="255">
      <c r="B6" s="424" t="s">
        <v>611</v>
      </c>
      <c r="C6" s="1122">
        <v>4680665</v>
      </c>
      <c r="D6" s="1122">
        <v>4229780</v>
      </c>
      <c r="E6" s="1122">
        <v>4184070</v>
      </c>
      <c r="F6" s="1122">
        <v>4251231</v>
      </c>
      <c r="G6" s="1122">
        <v>4126836</v>
      </c>
      <c r="H6" s="1122">
        <v>4171432</v>
      </c>
      <c r="I6" s="1122">
        <v>4010017</v>
      </c>
      <c r="J6" s="1167">
        <f t="shared" ref="J6:J15" si="2">+I6</f>
        <v>4010017</v>
      </c>
      <c r="K6" s="425"/>
      <c r="L6" s="425"/>
      <c r="M6" s="426" t="s">
        <v>104</v>
      </c>
      <c r="N6" s="427">
        <v>45505</v>
      </c>
      <c r="P6" s="428" t="s">
        <v>658</v>
      </c>
    </row>
    <row r="7" spans="2:20" s="287" customFormat="1">
      <c r="B7" s="287" t="s">
        <v>659</v>
      </c>
      <c r="C7" s="1121">
        <v>73384</v>
      </c>
      <c r="D7" s="1121">
        <v>54486</v>
      </c>
      <c r="E7" s="1121">
        <v>44960</v>
      </c>
      <c r="F7" s="1121">
        <v>35390</v>
      </c>
      <c r="G7" s="1121">
        <v>26321</v>
      </c>
      <c r="H7" s="1121">
        <v>17451</v>
      </c>
      <c r="I7" s="1121">
        <v>8982</v>
      </c>
      <c r="J7" s="1166">
        <f t="shared" si="2"/>
        <v>8982</v>
      </c>
      <c r="K7" s="419"/>
      <c r="L7" s="419"/>
      <c r="M7" s="420" t="s">
        <v>104</v>
      </c>
      <c r="N7" s="421">
        <v>44440</v>
      </c>
      <c r="P7" s="287" t="s">
        <v>660</v>
      </c>
    </row>
    <row r="8" spans="2:20" s="287" customFormat="1">
      <c r="B8" s="287" t="s">
        <v>661</v>
      </c>
      <c r="C8" s="1123">
        <v>735</v>
      </c>
      <c r="D8" s="1123">
        <v>328</v>
      </c>
      <c r="E8" s="1123">
        <v>256</v>
      </c>
      <c r="F8" s="1123">
        <v>183</v>
      </c>
      <c r="G8" s="1123">
        <v>110</v>
      </c>
      <c r="H8" s="1123">
        <v>46</v>
      </c>
      <c r="I8" s="1123">
        <v>31</v>
      </c>
      <c r="J8" s="1168">
        <f t="shared" si="2"/>
        <v>31</v>
      </c>
      <c r="K8" s="420"/>
      <c r="L8" s="420"/>
      <c r="M8" s="420" t="s">
        <v>104</v>
      </c>
      <c r="N8" s="421">
        <v>44256</v>
      </c>
      <c r="P8" s="287" t="s">
        <v>662</v>
      </c>
    </row>
    <row r="9" spans="2:20" s="287" customFormat="1">
      <c r="B9" s="287" t="s">
        <v>663</v>
      </c>
      <c r="C9" s="1121">
        <v>20979</v>
      </c>
      <c r="D9" s="1121">
        <v>17796</v>
      </c>
      <c r="E9" s="1121">
        <v>0</v>
      </c>
      <c r="F9" s="1121">
        <v>0</v>
      </c>
      <c r="G9" s="1121">
        <v>0</v>
      </c>
      <c r="H9" s="1121">
        <v>23271</v>
      </c>
      <c r="I9" s="1121">
        <v>23830</v>
      </c>
      <c r="J9" s="1166">
        <f t="shared" si="2"/>
        <v>23830</v>
      </c>
      <c r="K9" s="419"/>
      <c r="L9" s="419"/>
      <c r="M9" s="420" t="s">
        <v>664</v>
      </c>
      <c r="N9" s="421">
        <v>43647</v>
      </c>
      <c r="P9" s="287" t="s">
        <v>665</v>
      </c>
    </row>
    <row r="10" spans="2:20" s="287" customFormat="1">
      <c r="B10" s="287" t="s">
        <v>666</v>
      </c>
      <c r="C10" s="1121">
        <v>10017</v>
      </c>
      <c r="D10" s="1121">
        <v>17302</v>
      </c>
      <c r="E10" s="1121">
        <v>15749</v>
      </c>
      <c r="F10" s="1121">
        <v>31802</v>
      </c>
      <c r="G10" s="1121">
        <v>30752</v>
      </c>
      <c r="H10" s="1121">
        <v>24219</v>
      </c>
      <c r="I10" s="1121">
        <v>23214</v>
      </c>
      <c r="J10" s="1166">
        <f t="shared" si="2"/>
        <v>23214</v>
      </c>
      <c r="K10" s="419"/>
      <c r="L10" s="419"/>
      <c r="M10" s="420" t="s">
        <v>667</v>
      </c>
      <c r="N10" s="421">
        <v>44105</v>
      </c>
      <c r="P10" s="287" t="s">
        <v>668</v>
      </c>
    </row>
    <row r="11" spans="2:20" s="287" customFormat="1">
      <c r="B11" s="287" t="s">
        <v>669</v>
      </c>
      <c r="C11" s="1121">
        <v>59850</v>
      </c>
      <c r="D11" s="1121">
        <v>36733</v>
      </c>
      <c r="E11" s="1121">
        <v>142714</v>
      </c>
      <c r="F11" s="1121">
        <v>100438</v>
      </c>
      <c r="G11" s="1121">
        <v>110711</v>
      </c>
      <c r="H11" s="1121">
        <v>98559</v>
      </c>
      <c r="I11" s="1121">
        <v>75017</v>
      </c>
      <c r="J11" s="1166">
        <f t="shared" si="2"/>
        <v>75017</v>
      </c>
      <c r="K11" s="419"/>
      <c r="L11" s="419"/>
      <c r="M11" s="420" t="s">
        <v>670</v>
      </c>
      <c r="N11" s="421">
        <v>44409</v>
      </c>
      <c r="P11" s="287" t="s">
        <v>671</v>
      </c>
    </row>
    <row r="12" spans="2:20" s="287" customFormat="1">
      <c r="B12" s="287" t="s">
        <v>672</v>
      </c>
      <c r="C12" s="1121"/>
      <c r="D12" s="1121"/>
      <c r="E12" s="1121">
        <v>87127</v>
      </c>
      <c r="F12" s="1121"/>
      <c r="G12" s="1121">
        <v>453138</v>
      </c>
      <c r="H12" s="1121">
        <v>477770</v>
      </c>
      <c r="I12" s="1121">
        <v>517670</v>
      </c>
      <c r="J12" s="1166">
        <f t="shared" si="2"/>
        <v>517670</v>
      </c>
      <c r="K12" s="419"/>
      <c r="L12" s="419"/>
      <c r="M12" s="420"/>
      <c r="N12" s="421"/>
    </row>
    <row r="13" spans="2:20" s="287" customFormat="1">
      <c r="B13" s="287" t="s">
        <v>673</v>
      </c>
      <c r="C13" s="1121"/>
      <c r="D13" s="1121"/>
      <c r="E13" s="1121"/>
      <c r="F13" s="1121"/>
      <c r="G13" s="1121">
        <v>18359</v>
      </c>
      <c r="H13" s="1121">
        <v>154198</v>
      </c>
      <c r="I13" s="1121">
        <v>170133</v>
      </c>
      <c r="J13" s="1166">
        <f t="shared" si="2"/>
        <v>170133</v>
      </c>
      <c r="K13" s="419"/>
      <c r="L13" s="419"/>
      <c r="M13" s="420"/>
      <c r="N13" s="421"/>
    </row>
    <row r="14" spans="2:20" s="287" customFormat="1">
      <c r="B14" s="287" t="s">
        <v>674</v>
      </c>
      <c r="C14" s="1121"/>
      <c r="D14" s="1121"/>
      <c r="E14" s="1121"/>
      <c r="F14" s="1121">
        <v>2883382</v>
      </c>
      <c r="G14" s="1121">
        <v>1079905</v>
      </c>
      <c r="H14" s="1121">
        <v>1322889</v>
      </c>
      <c r="I14" s="1121">
        <v>1342923</v>
      </c>
      <c r="J14" s="1166">
        <f t="shared" si="2"/>
        <v>1342923</v>
      </c>
      <c r="K14" s="419"/>
      <c r="L14" s="419"/>
      <c r="M14" s="420"/>
      <c r="N14" s="421">
        <v>44166</v>
      </c>
      <c r="P14" s="287" t="s">
        <v>675</v>
      </c>
    </row>
    <row r="15" spans="2:20" s="287" customFormat="1">
      <c r="B15" s="287" t="s">
        <v>676</v>
      </c>
      <c r="C15" s="1121"/>
      <c r="D15" s="1121"/>
      <c r="E15" s="1121"/>
      <c r="F15" s="1121"/>
      <c r="G15" s="1121">
        <v>9104376</v>
      </c>
      <c r="H15" s="1121">
        <v>9720254</v>
      </c>
      <c r="I15" s="1121">
        <v>9613759</v>
      </c>
      <c r="J15" s="1166">
        <f t="shared" si="2"/>
        <v>9613759</v>
      </c>
      <c r="K15" s="419"/>
      <c r="L15" s="419"/>
      <c r="M15" s="1019"/>
      <c r="N15" s="421"/>
    </row>
    <row r="16" spans="2:20" s="287" customFormat="1">
      <c r="C16" s="420"/>
      <c r="D16" s="420"/>
      <c r="E16" s="420"/>
      <c r="F16" s="420"/>
      <c r="G16" s="420"/>
      <c r="H16" s="420"/>
      <c r="I16" s="420"/>
      <c r="J16" s="420"/>
      <c r="K16" s="420"/>
      <c r="L16" s="420"/>
      <c r="M16" s="420"/>
      <c r="N16" s="421"/>
    </row>
    <row r="17" spans="2:16" s="287" customFormat="1">
      <c r="B17" s="1126" t="s">
        <v>677</v>
      </c>
      <c r="C17" s="423">
        <f t="shared" ref="C17:K17" si="3">+SUM(C18:C21)</f>
        <v>3012897</v>
      </c>
      <c r="D17" s="423">
        <f t="shared" si="3"/>
        <v>3130918</v>
      </c>
      <c r="E17" s="423">
        <f t="shared" si="3"/>
        <v>3429506</v>
      </c>
      <c r="F17" s="423">
        <f t="shared" si="3"/>
        <v>3381960</v>
      </c>
      <c r="G17" s="423">
        <f t="shared" si="3"/>
        <v>4287844</v>
      </c>
      <c r="H17" s="423">
        <f t="shared" si="3"/>
        <v>4568393</v>
      </c>
      <c r="I17" s="423">
        <f t="shared" si="3"/>
        <v>4652118</v>
      </c>
      <c r="J17" s="423">
        <f t="shared" si="3"/>
        <v>4652118</v>
      </c>
      <c r="K17" s="423">
        <f t="shared" si="3"/>
        <v>0</v>
      </c>
      <c r="L17" s="423"/>
      <c r="M17" s="420"/>
      <c r="N17" s="421"/>
    </row>
    <row r="18" spans="2:16" s="287" customFormat="1">
      <c r="B18" s="287" t="s">
        <v>659</v>
      </c>
      <c r="C18" s="1121">
        <v>17137</v>
      </c>
      <c r="D18" s="1121">
        <v>12286</v>
      </c>
      <c r="E18" s="1121">
        <v>10818</v>
      </c>
      <c r="F18" s="1121">
        <v>8030</v>
      </c>
      <c r="G18" s="1121">
        <v>7363</v>
      </c>
      <c r="H18" s="1121">
        <v>4721</v>
      </c>
      <c r="I18" s="1121">
        <v>4721</v>
      </c>
      <c r="J18" s="1166">
        <f t="shared" ref="J18:J21" si="4">+I18</f>
        <v>4721</v>
      </c>
      <c r="K18" s="419"/>
      <c r="L18" s="419"/>
      <c r="M18" s="420" t="s">
        <v>361</v>
      </c>
      <c r="N18" s="421">
        <v>44105</v>
      </c>
      <c r="P18" s="287" t="s">
        <v>678</v>
      </c>
    </row>
    <row r="19" spans="2:16" s="287" customFormat="1">
      <c r="B19" s="287" t="s">
        <v>679</v>
      </c>
      <c r="C19" s="1121">
        <v>0</v>
      </c>
      <c r="D19" s="1121">
        <v>599</v>
      </c>
      <c r="E19" s="1121">
        <v>62489</v>
      </c>
      <c r="F19" s="1121">
        <v>81210</v>
      </c>
      <c r="G19" s="1121">
        <v>104688</v>
      </c>
      <c r="H19" s="1121">
        <v>110148</v>
      </c>
      <c r="I19" s="1121">
        <v>113145</v>
      </c>
      <c r="J19" s="1166">
        <f t="shared" si="4"/>
        <v>113145</v>
      </c>
      <c r="K19" s="419"/>
      <c r="L19" s="419"/>
      <c r="M19" s="420" t="s">
        <v>361</v>
      </c>
      <c r="N19" s="421">
        <v>44105</v>
      </c>
      <c r="P19" s="287" t="s">
        <v>680</v>
      </c>
    </row>
    <row r="20" spans="2:16" s="424" customFormat="1">
      <c r="B20" s="424" t="s">
        <v>681</v>
      </c>
      <c r="C20" s="1122">
        <v>2995760</v>
      </c>
      <c r="D20" s="1122">
        <v>2923875</v>
      </c>
      <c r="E20" s="1122">
        <v>3144955</v>
      </c>
      <c r="F20" s="1122">
        <v>3090490</v>
      </c>
      <c r="G20" s="1122">
        <v>3912971</v>
      </c>
      <c r="H20" s="1122">
        <v>4179182</v>
      </c>
      <c r="I20" s="1122">
        <v>4250406</v>
      </c>
      <c r="J20" s="1167">
        <f t="shared" si="4"/>
        <v>4250406</v>
      </c>
      <c r="K20" s="425"/>
      <c r="L20" s="425"/>
      <c r="M20" s="426" t="s">
        <v>361</v>
      </c>
      <c r="N20" s="427">
        <v>44958</v>
      </c>
      <c r="P20" s="424" t="s">
        <v>682</v>
      </c>
    </row>
    <row r="21" spans="2:16" s="287" customFormat="1">
      <c r="B21" s="287" t="s">
        <v>683</v>
      </c>
      <c r="C21" s="1123">
        <v>0</v>
      </c>
      <c r="D21" s="1121">
        <v>194158</v>
      </c>
      <c r="E21" s="1121">
        <v>211244</v>
      </c>
      <c r="F21" s="1121">
        <v>202230</v>
      </c>
      <c r="G21" s="1121">
        <v>262822</v>
      </c>
      <c r="H21" s="1121">
        <v>274342</v>
      </c>
      <c r="I21" s="1121">
        <v>283846</v>
      </c>
      <c r="J21" s="1166">
        <f t="shared" si="4"/>
        <v>283846</v>
      </c>
      <c r="K21" s="419"/>
      <c r="L21" s="419"/>
      <c r="M21" s="420" t="s">
        <v>361</v>
      </c>
      <c r="N21" s="421">
        <v>44682</v>
      </c>
      <c r="P21" s="287" t="s">
        <v>684</v>
      </c>
    </row>
    <row r="22" spans="2:16" s="287" customFormat="1">
      <c r="C22" s="420"/>
      <c r="D22" s="420"/>
      <c r="E22" s="420"/>
      <c r="F22" s="420"/>
      <c r="G22" s="420"/>
      <c r="H22" s="420"/>
      <c r="I22" s="1169"/>
      <c r="J22" s="420"/>
      <c r="K22" s="420"/>
      <c r="L22" s="420"/>
      <c r="M22" s="420"/>
      <c r="N22" s="421"/>
    </row>
    <row r="23" spans="2:16" s="287" customFormat="1">
      <c r="C23" s="420"/>
      <c r="D23" s="420"/>
      <c r="E23" s="420"/>
      <c r="F23" s="420"/>
      <c r="G23" s="420"/>
      <c r="H23" s="420"/>
      <c r="I23" s="420"/>
      <c r="J23" s="420"/>
      <c r="K23" s="420"/>
      <c r="L23" s="420"/>
      <c r="M23" s="420"/>
      <c r="N23" s="421"/>
    </row>
    <row r="24" spans="2:16" s="287" customFormat="1">
      <c r="B24" s="1126" t="s">
        <v>685</v>
      </c>
      <c r="C24" s="423">
        <f t="shared" ref="C24:G24" si="5">+C17+C4</f>
        <v>7994145</v>
      </c>
      <c r="D24" s="423">
        <f t="shared" si="5"/>
        <v>7603724</v>
      </c>
      <c r="E24" s="423">
        <f t="shared" si="5"/>
        <v>8013634</v>
      </c>
      <c r="F24" s="423">
        <f t="shared" si="5"/>
        <v>10786374</v>
      </c>
      <c r="G24" s="423">
        <f t="shared" si="5"/>
        <v>19333066</v>
      </c>
      <c r="H24" s="423">
        <f>+H17+H4</f>
        <v>20666099</v>
      </c>
      <c r="I24" s="423">
        <f>+I17+I4</f>
        <v>20518037</v>
      </c>
      <c r="J24" s="423"/>
      <c r="K24" s="423"/>
      <c r="L24" s="423"/>
      <c r="M24" s="420"/>
    </row>
    <row r="25" spans="2:16">
      <c r="B25" s="287" t="s">
        <v>686</v>
      </c>
      <c r="G25" s="1124">
        <f>+G24-G26</f>
        <v>1942527</v>
      </c>
      <c r="H25" s="1124">
        <f>+H24-H26</f>
        <v>2631068</v>
      </c>
      <c r="I25" s="1124">
        <f>+I24-I26</f>
        <v>4535614</v>
      </c>
      <c r="J25" s="996"/>
      <c r="K25" s="996"/>
      <c r="L25" s="996"/>
    </row>
    <row r="26" spans="2:16">
      <c r="B26" s="287" t="s">
        <v>687</v>
      </c>
      <c r="G26" s="1117">
        <v>17390539</v>
      </c>
      <c r="H26" s="1117">
        <v>18035031</v>
      </c>
      <c r="I26" s="1117">
        <v>15982423</v>
      </c>
      <c r="J26" s="996"/>
      <c r="K26" s="996"/>
      <c r="L26" s="996"/>
    </row>
    <row r="27" spans="2:16">
      <c r="G27" s="1118"/>
      <c r="N27" s="1189">
        <f>+NPV(2.75%,-8.45)</f>
        <v>-8.2238442822384421</v>
      </c>
    </row>
    <row r="28" spans="2:16">
      <c r="B28" s="287" t="s">
        <v>688</v>
      </c>
      <c r="G28" s="1124">
        <f>+G26</f>
        <v>17390539</v>
      </c>
      <c r="H28" s="1124">
        <f>+H26</f>
        <v>18035031</v>
      </c>
      <c r="I28" s="1124">
        <f>+SUM(I29:I33)</f>
        <v>18951224</v>
      </c>
      <c r="J28" s="996"/>
      <c r="K28" s="996"/>
      <c r="L28" s="996"/>
    </row>
    <row r="29" spans="2:16">
      <c r="B29" s="997">
        <v>2020</v>
      </c>
      <c r="G29" s="1124"/>
      <c r="H29" s="1124"/>
      <c r="I29" s="1124">
        <f>+H19+H18+H10+H14+H13+H12</f>
        <v>2093945</v>
      </c>
      <c r="J29" s="996"/>
      <c r="K29" s="996"/>
      <c r="L29" s="996"/>
    </row>
    <row r="30" spans="2:16">
      <c r="B30" s="997">
        <v>2021</v>
      </c>
      <c r="G30" s="1119">
        <v>3059162</v>
      </c>
      <c r="H30" s="1119">
        <v>2253221</v>
      </c>
      <c r="I30" s="1119">
        <f>+H7+H8+H11</f>
        <v>116056</v>
      </c>
      <c r="J30" s="999"/>
      <c r="K30" s="999"/>
      <c r="L30" s="999"/>
    </row>
    <row r="31" spans="2:16">
      <c r="B31" s="997">
        <v>2022</v>
      </c>
      <c r="G31" s="1119">
        <v>5263905</v>
      </c>
      <c r="H31" s="1119">
        <v>5450177</v>
      </c>
      <c r="I31" s="1119">
        <f>+H21+(H40+H41)*5</f>
        <v>4774342</v>
      </c>
      <c r="J31" s="999"/>
      <c r="K31" s="999"/>
      <c r="L31" s="999"/>
    </row>
    <row r="32" spans="2:16">
      <c r="B32" s="997">
        <v>2023</v>
      </c>
      <c r="G32" s="1119">
        <v>6308180</v>
      </c>
      <c r="H32" s="1119">
        <v>6644547</v>
      </c>
      <c r="I32" s="1119">
        <f>+H20+H5+I38*5</f>
        <v>6576214</v>
      </c>
      <c r="J32" s="999"/>
      <c r="K32" s="999"/>
      <c r="L32" s="999"/>
    </row>
    <row r="33" spans="2:17">
      <c r="B33" t="s">
        <v>689</v>
      </c>
      <c r="G33" s="1119">
        <v>2759292</v>
      </c>
      <c r="H33" s="1119">
        <v>3687086</v>
      </c>
      <c r="I33" s="1119">
        <f>+H6+I39*5</f>
        <v>5390667</v>
      </c>
      <c r="J33" s="999"/>
      <c r="K33" s="999"/>
      <c r="L33" s="999"/>
    </row>
    <row r="37" spans="2:17" s="105" customFormat="1">
      <c r="B37" s="1126" t="s">
        <v>690</v>
      </c>
      <c r="C37" s="186"/>
      <c r="D37" s="186"/>
      <c r="E37" s="186"/>
      <c r="F37" s="186"/>
      <c r="G37" s="1014">
        <f>+SUM(G38:G41)</f>
        <v>1605730</v>
      </c>
      <c r="H37" s="1014">
        <f>+SUM(H38:H41)</f>
        <v>1605730</v>
      </c>
      <c r="I37" s="1014">
        <f>+SUM(I38:I41)</f>
        <v>1605730</v>
      </c>
      <c r="J37" s="1014">
        <f>+SUM(J38:J41)</f>
        <v>677968</v>
      </c>
      <c r="K37" s="1014" t="s">
        <v>691</v>
      </c>
      <c r="L37" s="1014"/>
      <c r="M37" s="186"/>
      <c r="P37" s="1018">
        <f>+SUMPRODUCT(P38:P41,H38:H41)/H37</f>
        <v>6.5665782229889211E-2</v>
      </c>
      <c r="Q37" s="1018">
        <f>+SUMPRODUCT(Q38:Q41,I38:I41)/I37</f>
        <v>2.4936643458115623E-2</v>
      </c>
    </row>
    <row r="38" spans="2:17">
      <c r="B38" t="s">
        <v>692</v>
      </c>
      <c r="G38" s="1120">
        <v>461883</v>
      </c>
      <c r="H38" s="1120">
        <v>461883</v>
      </c>
      <c r="I38" s="1120">
        <v>461883</v>
      </c>
      <c r="J38" s="1166">
        <f t="shared" ref="J38" si="6">+I38</f>
        <v>461883</v>
      </c>
      <c r="K38" s="1188">
        <v>7.0000000000000007E-2</v>
      </c>
      <c r="L38" s="1120"/>
      <c r="M38" s="177" t="s">
        <v>361</v>
      </c>
      <c r="N38" s="1012">
        <v>45000</v>
      </c>
      <c r="P38" s="1013">
        <v>0.05</v>
      </c>
      <c r="Q38" s="1013">
        <v>0.05</v>
      </c>
    </row>
    <row r="39" spans="2:17">
      <c r="B39" t="s">
        <v>692</v>
      </c>
      <c r="G39" s="1120">
        <v>243847</v>
      </c>
      <c r="H39" s="1120">
        <v>243847</v>
      </c>
      <c r="I39" s="1120">
        <v>243847</v>
      </c>
      <c r="J39" s="1166">
        <v>216085</v>
      </c>
      <c r="K39" s="1188">
        <v>8.9499999999999996E-2</v>
      </c>
      <c r="L39" s="1120"/>
      <c r="M39" s="177" t="s">
        <v>361</v>
      </c>
      <c r="N39" s="1012">
        <v>52305</v>
      </c>
      <c r="P39" s="1013">
        <v>6.9500000000000006E-2</v>
      </c>
      <c r="Q39" s="1013">
        <v>6.9500000000000006E-2</v>
      </c>
    </row>
    <row r="40" spans="2:17">
      <c r="B40" t="s">
        <v>693</v>
      </c>
      <c r="G40" s="1120">
        <v>500000</v>
      </c>
      <c r="H40" s="1120">
        <v>500000</v>
      </c>
      <c r="I40" s="1120">
        <v>500000</v>
      </c>
      <c r="J40" s="1166"/>
      <c r="K40" s="998"/>
      <c r="L40" s="998"/>
      <c r="M40" s="177" t="s">
        <v>361</v>
      </c>
      <c r="N40" s="1012">
        <v>44788</v>
      </c>
      <c r="P40" s="1013">
        <v>7.8799999999999995E-2</v>
      </c>
      <c r="Q40" s="1013"/>
    </row>
    <row r="41" spans="2:17">
      <c r="B41" t="s">
        <v>693</v>
      </c>
      <c r="G41" s="1120">
        <v>400000</v>
      </c>
      <c r="H41" s="1120">
        <v>400000</v>
      </c>
      <c r="I41" s="1120">
        <v>400000</v>
      </c>
      <c r="J41" s="1166"/>
      <c r="K41" s="998"/>
      <c r="L41" s="998"/>
      <c r="M41" s="177" t="s">
        <v>361</v>
      </c>
      <c r="N41" s="1012">
        <v>44788</v>
      </c>
      <c r="P41" s="1013">
        <v>6.5000000000000002E-2</v>
      </c>
      <c r="Q41" s="1013"/>
    </row>
    <row r="43" spans="2:17">
      <c r="B43" s="422" t="s">
        <v>694</v>
      </c>
      <c r="G43" s="1016">
        <f>2401191+1267687+2599350+2079480</f>
        <v>8347708</v>
      </c>
      <c r="H43" s="1016">
        <f>2529271+1335306+2738000+2190400</f>
        <v>8792977</v>
      </c>
      <c r="I43" s="1016">
        <f>2605342+1218871+2820350+2256280</f>
        <v>8900843</v>
      </c>
      <c r="J43" s="1016">
        <f>+J44*J37</f>
        <v>3758095.5247918391</v>
      </c>
      <c r="K43" s="1016"/>
      <c r="L43" s="1016"/>
      <c r="M43" s="186" t="s">
        <v>104</v>
      </c>
    </row>
    <row r="44" spans="2:17">
      <c r="B44" t="s">
        <v>695</v>
      </c>
      <c r="G44" s="1015">
        <f>+G43/G37</f>
        <v>5.1986996568538917</v>
      </c>
      <c r="H44" s="1015">
        <f>+H43/H37</f>
        <v>5.475999701070541</v>
      </c>
      <c r="I44" s="1015">
        <f>+I43/I37</f>
        <v>5.5431753781769038</v>
      </c>
      <c r="J44" s="1015">
        <f>+I44</f>
        <v>5.5431753781769038</v>
      </c>
      <c r="K44" s="1015"/>
      <c r="L44" s="1015"/>
      <c r="M44" s="177" t="s">
        <v>696</v>
      </c>
    </row>
    <row r="46" spans="2:17">
      <c r="H46" s="1129">
        <f>+(H40+H41)*H44</f>
        <v>4928399.7309634872</v>
      </c>
      <c r="I46" s="1129">
        <f>+(I40+I41)*I44</f>
        <v>4988857.8403592138</v>
      </c>
      <c r="J46" s="1129">
        <f>+(J40+J41)*J44</f>
        <v>0</v>
      </c>
    </row>
    <row r="47" spans="2:17">
      <c r="H47" s="1129">
        <f>+H38*H44</f>
        <v>2529271.1699295645</v>
      </c>
      <c r="I47" s="1129">
        <f>+I38*I44</f>
        <v>2560298.4731984828</v>
      </c>
      <c r="J47" s="1129">
        <f>+J38*J44</f>
        <v>2560298.4731984828</v>
      </c>
    </row>
    <row r="52" spans="10:33">
      <c r="J52" s="177" t="s">
        <v>697</v>
      </c>
      <c r="K52" s="1190">
        <v>8.4500000000000006E-2</v>
      </c>
    </row>
    <row r="53" spans="10:33">
      <c r="J53" s="177" t="s">
        <v>698</v>
      </c>
      <c r="K53" s="177">
        <v>100</v>
      </c>
      <c r="L53" s="177">
        <f>+J39/K53</f>
        <v>2160.85</v>
      </c>
    </row>
    <row r="54" spans="10:33">
      <c r="J54" s="177" t="s">
        <v>699</v>
      </c>
      <c r="K54" s="177">
        <v>122</v>
      </c>
      <c r="L54"/>
      <c r="M54" s="177">
        <f>+K54*L53</f>
        <v>263623.7</v>
      </c>
      <c r="N54" s="1192">
        <f>140*L53</f>
        <v>302519</v>
      </c>
      <c r="O54" s="140">
        <f>+N54/M54-1</f>
        <v>0.14754098360655732</v>
      </c>
    </row>
    <row r="56" spans="10:33">
      <c r="J56" s="177" t="s">
        <v>700</v>
      </c>
      <c r="K56" s="1190">
        <v>2.75E-2</v>
      </c>
    </row>
    <row r="57" spans="10:33">
      <c r="K57" s="177">
        <v>2021</v>
      </c>
      <c r="L57" s="177">
        <f>+K57+1</f>
        <v>2022</v>
      </c>
      <c r="M57" s="177">
        <f t="shared" ref="M57:AG57" si="7">+L57+1</f>
        <v>2023</v>
      </c>
      <c r="N57" s="177">
        <f t="shared" si="7"/>
        <v>2024</v>
      </c>
      <c r="O57" s="177">
        <f t="shared" si="7"/>
        <v>2025</v>
      </c>
      <c r="P57" s="177">
        <f t="shared" si="7"/>
        <v>2026</v>
      </c>
      <c r="Q57" s="177">
        <f t="shared" si="7"/>
        <v>2027</v>
      </c>
      <c r="R57" s="177">
        <f t="shared" si="7"/>
        <v>2028</v>
      </c>
      <c r="S57" s="177">
        <f t="shared" si="7"/>
        <v>2029</v>
      </c>
      <c r="T57" s="177">
        <f t="shared" si="7"/>
        <v>2030</v>
      </c>
      <c r="U57" s="177">
        <f t="shared" si="7"/>
        <v>2031</v>
      </c>
      <c r="V57" s="177">
        <f t="shared" si="7"/>
        <v>2032</v>
      </c>
      <c r="W57" s="177">
        <f t="shared" si="7"/>
        <v>2033</v>
      </c>
      <c r="X57" s="177">
        <f t="shared" si="7"/>
        <v>2034</v>
      </c>
      <c r="Y57" s="177">
        <f t="shared" si="7"/>
        <v>2035</v>
      </c>
      <c r="Z57" s="177">
        <f t="shared" si="7"/>
        <v>2036</v>
      </c>
      <c r="AA57" s="177">
        <f t="shared" si="7"/>
        <v>2037</v>
      </c>
      <c r="AB57" s="177">
        <f t="shared" si="7"/>
        <v>2038</v>
      </c>
      <c r="AC57" s="177">
        <f t="shared" si="7"/>
        <v>2039</v>
      </c>
      <c r="AD57" s="177">
        <f t="shared" si="7"/>
        <v>2040</v>
      </c>
      <c r="AE57" s="177">
        <f t="shared" si="7"/>
        <v>2041</v>
      </c>
      <c r="AF57" s="177">
        <f t="shared" si="7"/>
        <v>2042</v>
      </c>
      <c r="AG57" s="177">
        <f t="shared" si="7"/>
        <v>2043</v>
      </c>
    </row>
    <row r="58" spans="10:33">
      <c r="J58" s="177" t="s">
        <v>701</v>
      </c>
      <c r="K58" s="177">
        <f>+K57-2020</f>
        <v>1</v>
      </c>
      <c r="L58" s="177">
        <f t="shared" ref="L58:AG58" si="8">+L57-2020</f>
        <v>2</v>
      </c>
      <c r="M58" s="177">
        <f t="shared" si="8"/>
        <v>3</v>
      </c>
      <c r="N58" s="177">
        <f t="shared" si="8"/>
        <v>4</v>
      </c>
      <c r="O58" s="177">
        <f t="shared" si="8"/>
        <v>5</v>
      </c>
      <c r="P58" s="177">
        <f t="shared" si="8"/>
        <v>6</v>
      </c>
      <c r="Q58" s="177">
        <f t="shared" si="8"/>
        <v>7</v>
      </c>
      <c r="R58" s="177">
        <f t="shared" si="8"/>
        <v>8</v>
      </c>
      <c r="S58" s="177">
        <f t="shared" si="8"/>
        <v>9</v>
      </c>
      <c r="T58" s="177">
        <f t="shared" si="8"/>
        <v>10</v>
      </c>
      <c r="U58" s="177">
        <f t="shared" si="8"/>
        <v>11</v>
      </c>
      <c r="V58" s="177">
        <f t="shared" si="8"/>
        <v>12</v>
      </c>
      <c r="W58" s="177">
        <f t="shared" si="8"/>
        <v>13</v>
      </c>
      <c r="X58" s="177">
        <f t="shared" si="8"/>
        <v>14</v>
      </c>
      <c r="Y58" s="177">
        <f t="shared" si="8"/>
        <v>15</v>
      </c>
      <c r="Z58" s="177">
        <f t="shared" si="8"/>
        <v>16</v>
      </c>
      <c r="AA58" s="177">
        <f t="shared" si="8"/>
        <v>17</v>
      </c>
      <c r="AB58" s="177">
        <f t="shared" si="8"/>
        <v>18</v>
      </c>
      <c r="AC58" s="177">
        <f t="shared" si="8"/>
        <v>19</v>
      </c>
      <c r="AD58" s="177">
        <f t="shared" si="8"/>
        <v>20</v>
      </c>
      <c r="AE58" s="177">
        <f t="shared" si="8"/>
        <v>21</v>
      </c>
      <c r="AF58" s="177">
        <f t="shared" si="8"/>
        <v>22</v>
      </c>
      <c r="AG58" s="177">
        <f t="shared" si="8"/>
        <v>23</v>
      </c>
    </row>
    <row r="60" spans="10:33">
      <c r="J60" s="177" t="s">
        <v>702</v>
      </c>
      <c r="K60" s="998">
        <f>+$K$52*$K$53*L53</f>
        <v>18259.182500000003</v>
      </c>
      <c r="L60" s="998">
        <f>+K60</f>
        <v>18259.182500000003</v>
      </c>
      <c r="M60" s="998">
        <f t="shared" ref="M60:AF60" si="9">+L60</f>
        <v>18259.182500000003</v>
      </c>
      <c r="N60" s="998">
        <f t="shared" si="9"/>
        <v>18259.182500000003</v>
      </c>
      <c r="O60" s="998">
        <f t="shared" si="9"/>
        <v>18259.182500000003</v>
      </c>
      <c r="P60" s="998">
        <f t="shared" si="9"/>
        <v>18259.182500000003</v>
      </c>
      <c r="Q60" s="998">
        <f t="shared" si="9"/>
        <v>18259.182500000003</v>
      </c>
      <c r="R60" s="998">
        <f t="shared" si="9"/>
        <v>18259.182500000003</v>
      </c>
      <c r="S60" s="998">
        <f t="shared" si="9"/>
        <v>18259.182500000003</v>
      </c>
      <c r="T60" s="998">
        <f t="shared" si="9"/>
        <v>18259.182500000003</v>
      </c>
      <c r="U60" s="998">
        <f t="shared" si="9"/>
        <v>18259.182500000003</v>
      </c>
      <c r="V60" s="998">
        <f t="shared" si="9"/>
        <v>18259.182500000003</v>
      </c>
      <c r="W60" s="998">
        <f t="shared" si="9"/>
        <v>18259.182500000003</v>
      </c>
      <c r="X60" s="998">
        <f t="shared" si="9"/>
        <v>18259.182500000003</v>
      </c>
      <c r="Y60" s="998">
        <f t="shared" si="9"/>
        <v>18259.182500000003</v>
      </c>
      <c r="Z60" s="998">
        <f t="shared" si="9"/>
        <v>18259.182500000003</v>
      </c>
      <c r="AA60" s="998">
        <f t="shared" si="9"/>
        <v>18259.182500000003</v>
      </c>
      <c r="AB60" s="998">
        <f t="shared" si="9"/>
        <v>18259.182500000003</v>
      </c>
      <c r="AC60" s="998">
        <f t="shared" si="9"/>
        <v>18259.182500000003</v>
      </c>
      <c r="AD60" s="998">
        <f t="shared" si="9"/>
        <v>18259.182500000003</v>
      </c>
      <c r="AE60" s="998">
        <f t="shared" si="9"/>
        <v>18259.182500000003</v>
      </c>
      <c r="AF60" s="998">
        <f t="shared" si="9"/>
        <v>18259.182500000003</v>
      </c>
      <c r="AG60" s="998">
        <f>+AF60+L53*K53</f>
        <v>234344.1825</v>
      </c>
    </row>
    <row r="62" spans="10:33">
      <c r="J62" s="177" t="s">
        <v>703</v>
      </c>
      <c r="K62" s="1191">
        <f>+NPV(K56,K60:AG60)</f>
        <v>423984.95099404431</v>
      </c>
      <c r="L62" s="999">
        <f>+K62*$L$53</f>
        <v>916167881.35548055</v>
      </c>
    </row>
    <row r="65" spans="10:33">
      <c r="J65" s="177" t="s">
        <v>697</v>
      </c>
      <c r="K65" s="1190">
        <v>0.05</v>
      </c>
    </row>
    <row r="66" spans="10:33">
      <c r="J66" s="177" t="s">
        <v>698</v>
      </c>
      <c r="K66" s="177">
        <v>100</v>
      </c>
      <c r="L66" s="177">
        <f>+N54/K66</f>
        <v>3025.19</v>
      </c>
    </row>
    <row r="67" spans="10:33">
      <c r="J67" s="177" t="s">
        <v>699</v>
      </c>
      <c r="K67" s="177">
        <v>122</v>
      </c>
    </row>
    <row r="69" spans="10:33">
      <c r="J69" s="177" t="s">
        <v>700</v>
      </c>
      <c r="K69" s="1190">
        <v>2.75E-2</v>
      </c>
    </row>
    <row r="70" spans="10:33">
      <c r="K70" s="177">
        <v>2021</v>
      </c>
      <c r="L70" s="177">
        <f>+K70+1</f>
        <v>2022</v>
      </c>
      <c r="M70" s="177">
        <f t="shared" ref="M70:W70" si="10">+L70+1</f>
        <v>2023</v>
      </c>
      <c r="N70" s="177">
        <f t="shared" si="10"/>
        <v>2024</v>
      </c>
      <c r="O70" s="177">
        <f t="shared" si="10"/>
        <v>2025</v>
      </c>
      <c r="P70" s="177">
        <f t="shared" si="10"/>
        <v>2026</v>
      </c>
      <c r="Q70" s="177">
        <f t="shared" si="10"/>
        <v>2027</v>
      </c>
      <c r="R70" s="177">
        <f t="shared" si="10"/>
        <v>2028</v>
      </c>
      <c r="S70" s="177">
        <f t="shared" si="10"/>
        <v>2029</v>
      </c>
      <c r="T70" s="177">
        <f t="shared" si="10"/>
        <v>2030</v>
      </c>
      <c r="U70" s="177">
        <f t="shared" si="10"/>
        <v>2031</v>
      </c>
      <c r="V70" s="177">
        <f t="shared" si="10"/>
        <v>2032</v>
      </c>
      <c r="W70" s="177">
        <f t="shared" si="10"/>
        <v>2033</v>
      </c>
      <c r="X70" s="177"/>
      <c r="Y70" s="177"/>
      <c r="Z70" s="177"/>
      <c r="AA70" s="177"/>
      <c r="AB70" s="177"/>
      <c r="AC70" s="177"/>
      <c r="AD70" s="177"/>
      <c r="AE70" s="177"/>
      <c r="AF70" s="177"/>
      <c r="AG70" s="177"/>
    </row>
    <row r="71" spans="10:33">
      <c r="J71" s="177" t="s">
        <v>701</v>
      </c>
      <c r="K71" s="177">
        <f>+K70-2020</f>
        <v>1</v>
      </c>
      <c r="L71" s="177">
        <f t="shared" ref="L71" si="11">+L70-2020</f>
        <v>2</v>
      </c>
      <c r="M71" s="177">
        <f t="shared" ref="M71" si="12">+M70-2020</f>
        <v>3</v>
      </c>
      <c r="N71" s="177">
        <f t="shared" ref="N71" si="13">+N70-2020</f>
        <v>4</v>
      </c>
      <c r="O71" s="177">
        <f t="shared" ref="O71" si="14">+O70-2020</f>
        <v>5</v>
      </c>
      <c r="P71" s="177">
        <f t="shared" ref="P71" si="15">+P70-2020</f>
        <v>6</v>
      </c>
      <c r="Q71" s="177">
        <f t="shared" ref="Q71" si="16">+Q70-2020</f>
        <v>7</v>
      </c>
      <c r="R71" s="177">
        <f t="shared" ref="R71" si="17">+R70-2020</f>
        <v>8</v>
      </c>
      <c r="S71" s="177">
        <f t="shared" ref="S71" si="18">+S70-2020</f>
        <v>9</v>
      </c>
      <c r="T71" s="177">
        <f t="shared" ref="T71" si="19">+T70-2020</f>
        <v>10</v>
      </c>
      <c r="U71" s="177">
        <f t="shared" ref="U71" si="20">+U70-2020</f>
        <v>11</v>
      </c>
      <c r="V71" s="177">
        <f t="shared" ref="V71" si="21">+V70-2020</f>
        <v>12</v>
      </c>
      <c r="W71" s="177">
        <f t="shared" ref="W71" si="22">+W70-2020</f>
        <v>13</v>
      </c>
      <c r="X71" s="177"/>
      <c r="Y71" s="177"/>
      <c r="Z71" s="177"/>
      <c r="AA71" s="177"/>
      <c r="AB71" s="177"/>
      <c r="AC71" s="177"/>
      <c r="AD71" s="177"/>
      <c r="AE71" s="177"/>
      <c r="AF71" s="177"/>
      <c r="AG71" s="177"/>
    </row>
    <row r="73" spans="10:33">
      <c r="J73" s="177" t="s">
        <v>702</v>
      </c>
      <c r="K73" s="998">
        <f>+$K$65*$K$66*L66</f>
        <v>15125.95</v>
      </c>
      <c r="L73" s="998">
        <f>+K73</f>
        <v>15125.95</v>
      </c>
      <c r="M73" s="998">
        <f t="shared" ref="M73:V73" si="23">+L73</f>
        <v>15125.95</v>
      </c>
      <c r="N73" s="998">
        <f t="shared" si="23"/>
        <v>15125.95</v>
      </c>
      <c r="O73" s="998">
        <f t="shared" si="23"/>
        <v>15125.95</v>
      </c>
      <c r="P73" s="998">
        <f t="shared" si="23"/>
        <v>15125.95</v>
      </c>
      <c r="Q73" s="998">
        <f t="shared" si="23"/>
        <v>15125.95</v>
      </c>
      <c r="R73" s="998">
        <f t="shared" si="23"/>
        <v>15125.95</v>
      </c>
      <c r="S73" s="998">
        <f t="shared" si="23"/>
        <v>15125.95</v>
      </c>
      <c r="T73" s="998">
        <f t="shared" si="23"/>
        <v>15125.95</v>
      </c>
      <c r="U73" s="998">
        <f t="shared" si="23"/>
        <v>15125.95</v>
      </c>
      <c r="V73" s="998">
        <f t="shared" si="23"/>
        <v>15125.95</v>
      </c>
      <c r="W73" s="998">
        <f>+V73+L66*K66</f>
        <v>317644.95</v>
      </c>
      <c r="X73" s="177"/>
      <c r="Y73" s="177"/>
      <c r="Z73" s="177"/>
      <c r="AA73" s="177"/>
      <c r="AB73" s="177"/>
      <c r="AC73" s="177"/>
      <c r="AD73" s="177"/>
      <c r="AE73" s="177"/>
      <c r="AF73" s="177"/>
      <c r="AG73" s="177"/>
    </row>
    <row r="75" spans="10:33">
      <c r="J75" s="177" t="s">
        <v>703</v>
      </c>
      <c r="K75" s="1191">
        <f>+NPV(K69,K73:W73)</f>
        <v>376078.83765985572</v>
      </c>
      <c r="L75" s="999"/>
    </row>
    <row r="76" spans="10:33">
      <c r="K76" s="1187">
        <f>+K75/K62-1</f>
        <v>-0.11299012670584507</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V282"/>
  <sheetViews>
    <sheetView workbookViewId="0"/>
  </sheetViews>
  <sheetFormatPr defaultColWidth="9.140625" defaultRowHeight="12.75"/>
  <cols>
    <col min="1" max="1" width="9.140625" style="72"/>
    <col min="2" max="2" width="44.7109375" style="72" bestFit="1" customWidth="1"/>
    <col min="3" max="6" width="0" style="72" hidden="1" customWidth="1"/>
    <col min="7" max="7" width="17.5703125" style="72" bestFit="1" customWidth="1"/>
    <col min="8" max="14" width="9.140625" style="72"/>
    <col min="15" max="15" width="9.7109375" style="72" bestFit="1" customWidth="1"/>
    <col min="16" max="17" width="9.140625" style="72"/>
    <col min="18" max="18" width="9.85546875" style="72" bestFit="1" customWidth="1"/>
    <col min="19" max="19" width="9.140625" style="72"/>
    <col min="20" max="20" width="9.5703125" style="72" bestFit="1" customWidth="1"/>
    <col min="21" max="21" width="9.140625" style="72"/>
    <col min="22" max="22" width="10.85546875" style="72" bestFit="1" customWidth="1"/>
    <col min="23" max="23" width="9.7109375" style="72" bestFit="1" customWidth="1"/>
    <col min="24" max="30" width="10" style="72" bestFit="1" customWidth="1"/>
    <col min="31" max="31" width="9.140625" style="72"/>
    <col min="32" max="32" width="9.28515625" style="72" bestFit="1" customWidth="1"/>
    <col min="33" max="36" width="9.140625" style="72" customWidth="1"/>
    <col min="37" max="38" width="10" style="72" bestFit="1" customWidth="1"/>
    <col min="39" max="39" width="10.7109375" style="72" bestFit="1" customWidth="1"/>
    <col min="40" max="40" width="10" style="72" bestFit="1" customWidth="1"/>
    <col min="41" max="42" width="10.28515625" style="72" bestFit="1" customWidth="1"/>
    <col min="43" max="44" width="10" style="72" bestFit="1" customWidth="1"/>
    <col min="45" max="48" width="11" style="72" bestFit="1" customWidth="1"/>
    <col min="49" max="16384" width="9.140625" style="72"/>
  </cols>
  <sheetData>
    <row r="2" spans="2:48" ht="15">
      <c r="B2" s="85" t="s">
        <v>704</v>
      </c>
      <c r="G2" s="74" t="s">
        <v>6</v>
      </c>
      <c r="H2" s="74" t="s">
        <v>7</v>
      </c>
      <c r="I2" s="74" t="s">
        <v>8</v>
      </c>
      <c r="J2" s="74" t="s">
        <v>9</v>
      </c>
      <c r="K2" s="74" t="s">
        <v>227</v>
      </c>
      <c r="L2" s="74" t="s">
        <v>228</v>
      </c>
      <c r="M2" s="74" t="s">
        <v>229</v>
      </c>
      <c r="N2" s="74" t="s">
        <v>230</v>
      </c>
      <c r="O2" s="74" t="s">
        <v>231</v>
      </c>
      <c r="P2" s="74" t="s">
        <v>232</v>
      </c>
      <c r="Q2" s="74" t="s">
        <v>233</v>
      </c>
      <c r="R2" s="74" t="s">
        <v>234</v>
      </c>
      <c r="S2" s="74" t="s">
        <v>235</v>
      </c>
      <c r="T2" s="74" t="s">
        <v>236</v>
      </c>
      <c r="U2" s="74" t="s">
        <v>237</v>
      </c>
      <c r="V2" s="74" t="s">
        <v>238</v>
      </c>
      <c r="W2" s="74" t="s">
        <v>239</v>
      </c>
      <c r="X2" s="74" t="s">
        <v>240</v>
      </c>
      <c r="Y2" s="74" t="s">
        <v>241</v>
      </c>
      <c r="Z2" s="74" t="s">
        <v>242</v>
      </c>
      <c r="AA2" s="74" t="s">
        <v>243</v>
      </c>
      <c r="AB2" s="74" t="s">
        <v>244</v>
      </c>
      <c r="AC2" s="74" t="s">
        <v>245</v>
      </c>
      <c r="AD2" s="74" t="s">
        <v>246</v>
      </c>
      <c r="AF2" s="74" t="s">
        <v>239</v>
      </c>
      <c r="AK2" s="74">
        <v>2016</v>
      </c>
      <c r="AL2" s="74">
        <v>2017</v>
      </c>
      <c r="AM2" s="74">
        <v>2018</v>
      </c>
      <c r="AN2" s="74">
        <v>2019</v>
      </c>
      <c r="AO2" s="74">
        <v>2020</v>
      </c>
      <c r="AP2" s="74">
        <f t="shared" ref="AP2:AV2" si="0">+AO2+1</f>
        <v>2021</v>
      </c>
      <c r="AQ2" s="74">
        <f t="shared" si="0"/>
        <v>2022</v>
      </c>
      <c r="AR2" s="74">
        <f t="shared" si="0"/>
        <v>2023</v>
      </c>
      <c r="AS2" s="74">
        <f t="shared" si="0"/>
        <v>2024</v>
      </c>
      <c r="AT2" s="74">
        <f t="shared" si="0"/>
        <v>2025</v>
      </c>
      <c r="AU2" s="74">
        <f t="shared" si="0"/>
        <v>2026</v>
      </c>
      <c r="AV2" s="74">
        <f t="shared" si="0"/>
        <v>2027</v>
      </c>
    </row>
    <row r="3" spans="2:48">
      <c r="B3" s="640" t="s">
        <v>361</v>
      </c>
      <c r="G3" s="74"/>
      <c r="H3" s="74"/>
      <c r="I3" s="74"/>
      <c r="J3" s="74"/>
      <c r="K3" s="74"/>
      <c r="L3" s="74"/>
      <c r="M3" s="74"/>
      <c r="N3" s="74"/>
      <c r="O3" s="74"/>
      <c r="P3" s="74"/>
      <c r="Q3" s="74"/>
      <c r="R3" s="74"/>
      <c r="S3" s="74"/>
      <c r="T3" s="74"/>
      <c r="U3" s="74"/>
      <c r="V3" s="74"/>
      <c r="W3" s="74"/>
      <c r="X3" s="74"/>
      <c r="Y3" s="74"/>
      <c r="Z3" s="74"/>
      <c r="AA3" s="74"/>
      <c r="AB3" s="74"/>
      <c r="AC3" s="74"/>
      <c r="AD3" s="74"/>
      <c r="AF3" s="74"/>
      <c r="AK3" s="74"/>
      <c r="AL3" s="74"/>
      <c r="AM3" s="74"/>
      <c r="AN3" s="74"/>
      <c r="AO3" s="74"/>
      <c r="AP3" s="74"/>
      <c r="AQ3" s="74"/>
      <c r="AR3" s="74"/>
      <c r="AS3" s="74"/>
      <c r="AT3" s="74"/>
      <c r="AU3" s="74"/>
      <c r="AV3" s="74"/>
    </row>
    <row r="4" spans="2:48" s="85" customFormat="1">
      <c r="B4" s="588" t="s">
        <v>705</v>
      </c>
      <c r="G4" s="590">
        <f t="shared" ref="G4:U4" si="1">+G104+G130+G144+G156</f>
        <v>1288.2</v>
      </c>
      <c r="H4" s="590">
        <f t="shared" si="1"/>
        <v>1422.9</v>
      </c>
      <c r="I4" s="590">
        <f t="shared" si="1"/>
        <v>1400.8</v>
      </c>
      <c r="J4" s="590">
        <f t="shared" si="1"/>
        <v>1558.1</v>
      </c>
      <c r="K4" s="590">
        <f t="shared" si="1"/>
        <v>1324.1000000000001</v>
      </c>
      <c r="L4" s="590">
        <f t="shared" si="1"/>
        <v>1385.2</v>
      </c>
      <c r="M4" s="590">
        <f t="shared" si="1"/>
        <v>1408.6</v>
      </c>
      <c r="N4" s="590">
        <f t="shared" si="1"/>
        <v>1561.1000000000001</v>
      </c>
      <c r="O4" s="590">
        <f t="shared" si="1"/>
        <v>1372.5</v>
      </c>
      <c r="P4" s="590">
        <f t="shared" si="1"/>
        <v>1337.2</v>
      </c>
      <c r="Q4" s="590">
        <f t="shared" si="1"/>
        <v>1415.8</v>
      </c>
      <c r="R4" s="590">
        <f t="shared" si="1"/>
        <v>1395.3</v>
      </c>
      <c r="S4" s="590">
        <f t="shared" si="1"/>
        <v>1181.3999999999999</v>
      </c>
      <c r="T4" s="590">
        <f t="shared" si="1"/>
        <v>1170.3000000000002</v>
      </c>
      <c r="U4" s="590">
        <f t="shared" si="1"/>
        <v>1183.3</v>
      </c>
      <c r="V4" s="590"/>
      <c r="W4" s="704">
        <f t="shared" ref="W4:AD4" si="2">+W104+W130+W144+W156</f>
        <v>409.64148957112724</v>
      </c>
      <c r="X4" s="704">
        <f t="shared" si="2"/>
        <v>533.87929745454551</v>
      </c>
      <c r="Y4" s="704">
        <f t="shared" si="2"/>
        <v>641.29746768687983</v>
      </c>
      <c r="Z4" s="704">
        <f t="shared" si="2"/>
        <v>763.47210165369643</v>
      </c>
      <c r="AA4" s="704">
        <f t="shared" si="2"/>
        <v>612.92088645707133</v>
      </c>
      <c r="AB4" s="704">
        <f t="shared" si="2"/>
        <v>709.23853707489855</v>
      </c>
      <c r="AC4" s="704">
        <f t="shared" si="2"/>
        <v>691.62845580110934</v>
      </c>
      <c r="AD4" s="704">
        <f t="shared" si="2"/>
        <v>790.73534986680102</v>
      </c>
      <c r="AF4" s="704">
        <v>676.27771534801491</v>
      </c>
      <c r="AK4" s="590">
        <f>+AK104+AK130+AK144+AK156</f>
        <v>5608</v>
      </c>
      <c r="AL4" s="590">
        <f>+AL104+AL130+AL144+AL156</f>
        <v>5679</v>
      </c>
      <c r="AM4" s="590">
        <f>+AM104+AM130+AM144+AM156</f>
        <v>5352.4000000000005</v>
      </c>
      <c r="AN4" s="590"/>
      <c r="AO4" s="590">
        <f t="shared" ref="AO4:AV4" si="3">+AO104+AO130+AO144+AO156</f>
        <v>14918.290356366248</v>
      </c>
      <c r="AP4" s="590">
        <f t="shared" si="3"/>
        <v>2804.5232291998805</v>
      </c>
      <c r="AQ4" s="704">
        <f t="shared" si="3"/>
        <v>2988.4274630121677</v>
      </c>
      <c r="AR4" s="704">
        <f t="shared" si="3"/>
        <v>3267.2038461553002</v>
      </c>
      <c r="AS4" s="704">
        <f t="shared" si="3"/>
        <v>3406.5754919973479</v>
      </c>
      <c r="AT4" s="704">
        <f t="shared" si="3"/>
        <v>3541.7115288473096</v>
      </c>
      <c r="AU4" s="704">
        <f t="shared" si="3"/>
        <v>3752.120357912499</v>
      </c>
      <c r="AV4" s="704">
        <f t="shared" si="3"/>
        <v>3902.3541355952948</v>
      </c>
    </row>
    <row r="5" spans="2:48">
      <c r="B5" s="591" t="s">
        <v>706</v>
      </c>
      <c r="G5" s="593">
        <f t="shared" ref="G5:U5" si="4">+G6-G4</f>
        <v>18.299999999999955</v>
      </c>
      <c r="H5" s="593">
        <f t="shared" si="4"/>
        <v>11.399999999999864</v>
      </c>
      <c r="I5" s="593">
        <f t="shared" si="4"/>
        <v>8</v>
      </c>
      <c r="J5" s="593">
        <f t="shared" si="4"/>
        <v>10</v>
      </c>
      <c r="K5" s="593">
        <f t="shared" si="4"/>
        <v>8.9999999999997726</v>
      </c>
      <c r="L5" s="593">
        <f t="shared" si="4"/>
        <v>10.700000000000045</v>
      </c>
      <c r="M5" s="593">
        <f t="shared" si="4"/>
        <v>9.2000000000000455</v>
      </c>
      <c r="N5" s="593">
        <f t="shared" si="4"/>
        <v>7.6999999999998181</v>
      </c>
      <c r="O5" s="593">
        <f t="shared" si="4"/>
        <v>21</v>
      </c>
      <c r="P5" s="593">
        <f t="shared" si="4"/>
        <v>14.699999999999818</v>
      </c>
      <c r="Q5" s="593">
        <f t="shared" si="4"/>
        <v>8.4000000000000909</v>
      </c>
      <c r="R5" s="593">
        <f t="shared" si="4"/>
        <v>6.4000000000000909</v>
      </c>
      <c r="S5" s="593">
        <f t="shared" si="4"/>
        <v>5.5000000000002274</v>
      </c>
      <c r="T5" s="593">
        <f t="shared" si="4"/>
        <v>4.4999999999997726</v>
      </c>
      <c r="U5" s="593">
        <f t="shared" si="4"/>
        <v>4.7000000000000455</v>
      </c>
      <c r="V5" s="593"/>
      <c r="W5" s="598">
        <f>+S5*1.01</f>
        <v>5.5550000000002298</v>
      </c>
      <c r="X5" s="598">
        <f>+T5*1.01</f>
        <v>4.5449999999997708</v>
      </c>
      <c r="Y5" s="598">
        <f>+U5*1.01</f>
        <v>4.7470000000000461</v>
      </c>
      <c r="Z5" s="598">
        <f>+AVERAGE(W5:Y5)</f>
        <v>4.9490000000000158</v>
      </c>
      <c r="AA5" s="598">
        <f>+Z5</f>
        <v>4.9490000000000158</v>
      </c>
      <c r="AB5" s="598">
        <f>+AA5</f>
        <v>4.9490000000000158</v>
      </c>
      <c r="AC5" s="598">
        <f>+AB5</f>
        <v>4.9490000000000158</v>
      </c>
      <c r="AD5" s="598">
        <f>+AC5</f>
        <v>4.9490000000000158</v>
      </c>
      <c r="AF5" s="598">
        <v>5.5550000000002298</v>
      </c>
      <c r="AK5" s="593">
        <f>+SUM(G5:J5)</f>
        <v>47.699999999999818</v>
      </c>
      <c r="AL5" s="593">
        <f>+SUM(K5:N5)</f>
        <v>36.599999999999682</v>
      </c>
      <c r="AM5" s="593">
        <f>+SUM(O5:R5)</f>
        <v>50.5</v>
      </c>
      <c r="AN5" s="593"/>
      <c r="AO5" s="593">
        <f>+SUM(W5:Z5)</f>
        <v>19.796000000000063</v>
      </c>
      <c r="AP5" s="593">
        <f>+SUM(AA5:AD5)</f>
        <v>19.796000000000063</v>
      </c>
      <c r="AQ5" s="598">
        <f t="shared" ref="AQ5:AV5" si="5">+AP5*1.01</f>
        <v>19.993960000000065</v>
      </c>
      <c r="AR5" s="598">
        <f t="shared" si="5"/>
        <v>20.193899600000066</v>
      </c>
      <c r="AS5" s="598">
        <f t="shared" si="5"/>
        <v>20.395838596000065</v>
      </c>
      <c r="AT5" s="598">
        <f t="shared" si="5"/>
        <v>20.599796981960065</v>
      </c>
      <c r="AU5" s="598">
        <f t="shared" si="5"/>
        <v>20.805794951779667</v>
      </c>
      <c r="AV5" s="598">
        <f t="shared" si="5"/>
        <v>21.013852901297465</v>
      </c>
    </row>
    <row r="6" spans="2:48" s="621" customFormat="1">
      <c r="B6" s="620" t="s">
        <v>707</v>
      </c>
      <c r="G6" s="755">
        <v>1306.5</v>
      </c>
      <c r="H6" s="755">
        <v>1434.3</v>
      </c>
      <c r="I6" s="755">
        <v>1408.8</v>
      </c>
      <c r="J6" s="755">
        <v>1568.1</v>
      </c>
      <c r="K6" s="755">
        <v>1333.1</v>
      </c>
      <c r="L6" s="755">
        <v>1395.9</v>
      </c>
      <c r="M6" s="755">
        <v>1417.8</v>
      </c>
      <c r="N6" s="755">
        <v>1568.8</v>
      </c>
      <c r="O6" s="755">
        <v>1393.5</v>
      </c>
      <c r="P6" s="755">
        <v>1351.8999999999999</v>
      </c>
      <c r="Q6" s="755">
        <v>1424.2</v>
      </c>
      <c r="R6" s="755">
        <v>1401.7</v>
      </c>
      <c r="S6" s="755">
        <v>1186.9000000000001</v>
      </c>
      <c r="T6" s="755">
        <v>1174.8</v>
      </c>
      <c r="U6" s="755">
        <v>1188</v>
      </c>
      <c r="V6" s="840">
        <f>+AN6-SUM(S6:U6)</f>
        <v>1213.5</v>
      </c>
      <c r="W6" s="621">
        <f t="shared" ref="W6:AD6" si="6">+W5+W4</f>
        <v>415.19648957112747</v>
      </c>
      <c r="X6" s="621">
        <f t="shared" si="6"/>
        <v>538.42429745454524</v>
      </c>
      <c r="Y6" s="621">
        <f t="shared" si="6"/>
        <v>646.0444676868799</v>
      </c>
      <c r="Z6" s="621">
        <f t="shared" si="6"/>
        <v>768.4211016536965</v>
      </c>
      <c r="AA6" s="621">
        <f t="shared" si="6"/>
        <v>617.8698864570714</v>
      </c>
      <c r="AB6" s="621">
        <f t="shared" si="6"/>
        <v>714.18753707489861</v>
      </c>
      <c r="AC6" s="621">
        <f t="shared" si="6"/>
        <v>696.57745580110941</v>
      </c>
      <c r="AD6" s="621">
        <f t="shared" si="6"/>
        <v>795.68434986680109</v>
      </c>
      <c r="AF6" s="621">
        <v>681.83271534801509</v>
      </c>
      <c r="AK6" s="622">
        <f>+SUM(G6:J6)</f>
        <v>5717.7000000000007</v>
      </c>
      <c r="AL6" s="622">
        <f>+SUM(K6:N6)</f>
        <v>5715.6</v>
      </c>
      <c r="AM6" s="622">
        <f>+SUM(O6:R6)</f>
        <v>5571.2999999999993</v>
      </c>
      <c r="AN6" s="755">
        <v>4763.2</v>
      </c>
      <c r="AO6" s="622">
        <f>+SUM(W6:Z6)</f>
        <v>2368.0863563662492</v>
      </c>
      <c r="AP6" s="622">
        <f>+SUM(AA6:AD6)</f>
        <v>2824.3192291998803</v>
      </c>
      <c r="AQ6" s="621">
        <f t="shared" ref="AQ6:AV6" si="7">+AQ5+AQ4</f>
        <v>3008.4214230121679</v>
      </c>
      <c r="AR6" s="621">
        <f t="shared" si="7"/>
        <v>3287.3977457553001</v>
      </c>
      <c r="AS6" s="621">
        <f t="shared" si="7"/>
        <v>3426.9713305933478</v>
      </c>
      <c r="AT6" s="621">
        <f t="shared" si="7"/>
        <v>3562.3113258292697</v>
      </c>
      <c r="AU6" s="621">
        <f t="shared" si="7"/>
        <v>3772.9261528642787</v>
      </c>
      <c r="AV6" s="621">
        <f t="shared" si="7"/>
        <v>3923.3679884965923</v>
      </c>
    </row>
    <row r="7" spans="2:48" s="85" customFormat="1">
      <c r="B7" s="594" t="s">
        <v>108</v>
      </c>
      <c r="G7" s="590"/>
      <c r="H7" s="590"/>
      <c r="I7" s="590"/>
      <c r="J7" s="590"/>
      <c r="K7" s="595">
        <f t="shared" ref="K7:AD7" si="8">+K6/G6-1</f>
        <v>2.0359739762724871E-2</v>
      </c>
      <c r="L7" s="595">
        <f t="shared" si="8"/>
        <v>-2.6772641706755862E-2</v>
      </c>
      <c r="M7" s="595">
        <f t="shared" si="8"/>
        <v>6.3884156729130392E-3</v>
      </c>
      <c r="N7" s="595">
        <f t="shared" si="8"/>
        <v>4.4640010203433889E-4</v>
      </c>
      <c r="O7" s="595">
        <f t="shared" si="8"/>
        <v>4.5307928887555304E-2</v>
      </c>
      <c r="P7" s="595">
        <f t="shared" si="8"/>
        <v>-3.1520882584712528E-2</v>
      </c>
      <c r="Q7" s="595">
        <f t="shared" si="8"/>
        <v>4.514035830159413E-3</v>
      </c>
      <c r="R7" s="595">
        <f t="shared" si="8"/>
        <v>-0.10651453340132577</v>
      </c>
      <c r="S7" s="595">
        <f t="shared" si="8"/>
        <v>-0.14825977753857189</v>
      </c>
      <c r="T7" s="595">
        <f t="shared" si="8"/>
        <v>-0.13100081366965011</v>
      </c>
      <c r="U7" s="595">
        <f t="shared" si="8"/>
        <v>-0.16584749332958859</v>
      </c>
      <c r="V7" s="595">
        <f t="shared" si="8"/>
        <v>-0.13426553470785474</v>
      </c>
      <c r="W7" s="595">
        <f t="shared" si="8"/>
        <v>-0.65018410180206643</v>
      </c>
      <c r="X7" s="595">
        <f t="shared" si="8"/>
        <v>-0.54168854489739082</v>
      </c>
      <c r="Y7" s="595">
        <f t="shared" si="8"/>
        <v>-0.45619152551609432</v>
      </c>
      <c r="Z7" s="595">
        <f t="shared" si="8"/>
        <v>-0.36677288697676436</v>
      </c>
      <c r="AA7" s="595">
        <f t="shared" si="8"/>
        <v>0.48813851267214026</v>
      </c>
      <c r="AB7" s="595">
        <f t="shared" si="8"/>
        <v>0.32644002221164925</v>
      </c>
      <c r="AC7" s="595">
        <f t="shared" si="8"/>
        <v>7.8219055563093942E-2</v>
      </c>
      <c r="AD7" s="595">
        <f t="shared" si="8"/>
        <v>3.5479567328945194E-2</v>
      </c>
      <c r="AE7" s="595"/>
      <c r="AF7" s="595">
        <v>-0.4255348257241427</v>
      </c>
      <c r="AK7" s="590"/>
      <c r="AL7" s="595">
        <f t="shared" ref="AL7:AV7" si="9">+AL6/AK6-1</f>
        <v>-3.6728054987156256E-4</v>
      </c>
      <c r="AM7" s="595">
        <f t="shared" si="9"/>
        <v>-2.524669326055029E-2</v>
      </c>
      <c r="AN7" s="595">
        <f t="shared" si="9"/>
        <v>-0.1450469369805969</v>
      </c>
      <c r="AO7" s="595">
        <f t="shared" si="9"/>
        <v>-0.50283709347366279</v>
      </c>
      <c r="AP7" s="595">
        <f t="shared" si="9"/>
        <v>0.19265888324009661</v>
      </c>
      <c r="AQ7" s="595">
        <f t="shared" si="9"/>
        <v>6.5184626407986945E-2</v>
      </c>
      <c r="AR7" s="595">
        <f t="shared" si="9"/>
        <v>9.2731796353121343E-2</v>
      </c>
      <c r="AS7" s="595">
        <f t="shared" si="9"/>
        <v>4.2457163882364313E-2</v>
      </c>
      <c r="AT7" s="595">
        <f t="shared" si="9"/>
        <v>3.949259628398738E-2</v>
      </c>
      <c r="AU7" s="595">
        <f t="shared" si="9"/>
        <v>5.9123082676099337E-2</v>
      </c>
      <c r="AV7" s="595">
        <f t="shared" si="9"/>
        <v>3.9874047234691679E-2</v>
      </c>
    </row>
    <row r="8" spans="2:48" s="85" customFormat="1">
      <c r="B8" s="588"/>
      <c r="G8" s="590"/>
      <c r="H8" s="590"/>
      <c r="I8" s="590"/>
      <c r="J8" s="590"/>
      <c r="K8" s="590"/>
      <c r="L8" s="590"/>
      <c r="M8" s="590"/>
      <c r="N8" s="590"/>
      <c r="O8" s="590"/>
      <c r="P8" s="590"/>
      <c r="Q8" s="590"/>
      <c r="R8" s="590"/>
      <c r="S8" s="590"/>
      <c r="T8" s="590"/>
      <c r="U8" s="590"/>
      <c r="V8" s="590"/>
      <c r="W8" s="590"/>
      <c r="X8" s="590"/>
      <c r="Y8" s="590"/>
      <c r="Z8" s="590"/>
      <c r="AA8" s="590"/>
      <c r="AB8" s="590"/>
      <c r="AC8" s="590"/>
      <c r="AD8" s="590"/>
      <c r="AF8" s="590"/>
      <c r="AK8" s="590"/>
      <c r="AL8" s="590"/>
      <c r="AM8" s="590"/>
      <c r="AN8" s="590"/>
      <c r="AO8" s="590"/>
      <c r="AP8" s="590"/>
      <c r="AQ8" s="590"/>
      <c r="AR8" s="590"/>
      <c r="AS8" s="590"/>
      <c r="AT8" s="590"/>
      <c r="AU8" s="590"/>
      <c r="AV8" s="590"/>
    </row>
    <row r="9" spans="2:48">
      <c r="B9" s="588" t="s">
        <v>708</v>
      </c>
      <c r="G9" s="596" t="s">
        <v>709</v>
      </c>
      <c r="H9" s="596" t="s">
        <v>709</v>
      </c>
      <c r="I9" s="596" t="s">
        <v>709</v>
      </c>
      <c r="J9" s="596" t="s">
        <v>709</v>
      </c>
      <c r="K9" s="596" t="s">
        <v>709</v>
      </c>
      <c r="L9" s="596" t="s">
        <v>709</v>
      </c>
      <c r="M9" s="596" t="s">
        <v>709</v>
      </c>
      <c r="N9" s="596" t="s">
        <v>709</v>
      </c>
      <c r="O9" s="596" t="s">
        <v>709</v>
      </c>
      <c r="P9" s="596" t="s">
        <v>709</v>
      </c>
      <c r="Q9" s="596" t="s">
        <v>709</v>
      </c>
      <c r="R9" s="596" t="s">
        <v>709</v>
      </c>
      <c r="S9" s="596" t="s">
        <v>709</v>
      </c>
      <c r="T9" s="596" t="s">
        <v>709</v>
      </c>
      <c r="U9" s="596"/>
      <c r="V9" s="596"/>
      <c r="W9" s="596"/>
      <c r="X9" s="596"/>
      <c r="Y9" s="596"/>
      <c r="Z9" s="596"/>
      <c r="AA9" s="596"/>
      <c r="AB9" s="596"/>
      <c r="AC9" s="596"/>
      <c r="AD9" s="596"/>
      <c r="AF9" s="596"/>
      <c r="AK9" s="596"/>
      <c r="AL9" s="596"/>
      <c r="AM9" s="596"/>
      <c r="AN9" s="596"/>
      <c r="AO9" s="596"/>
      <c r="AP9" s="596"/>
      <c r="AQ9" s="596"/>
      <c r="AR9" s="596"/>
      <c r="AS9" s="596"/>
      <c r="AT9" s="596"/>
      <c r="AU9" s="596"/>
      <c r="AV9" s="596"/>
    </row>
    <row r="10" spans="2:48">
      <c r="B10" s="597" t="s">
        <v>710</v>
      </c>
      <c r="G10" s="592">
        <v>518.79999999999995</v>
      </c>
      <c r="H10" s="592">
        <v>565</v>
      </c>
      <c r="I10" s="592">
        <v>550.9</v>
      </c>
      <c r="J10" s="592">
        <v>622.29999999999995</v>
      </c>
      <c r="K10" s="592">
        <v>517.1</v>
      </c>
      <c r="L10" s="592">
        <v>525</v>
      </c>
      <c r="M10" s="592">
        <v>550</v>
      </c>
      <c r="N10" s="592">
        <v>611.20000000000005</v>
      </c>
      <c r="O10" s="592">
        <v>579.70000000000005</v>
      </c>
      <c r="P10" s="592">
        <v>539.70000000000005</v>
      </c>
      <c r="Q10" s="592">
        <v>538.4</v>
      </c>
      <c r="R10" s="592">
        <v>706.2</v>
      </c>
      <c r="S10" s="592">
        <v>517</v>
      </c>
      <c r="T10" s="592">
        <v>497.5</v>
      </c>
      <c r="U10" s="592">
        <v>468.2</v>
      </c>
      <c r="V10" s="593">
        <f>+AN10-SUM(S10:U10)</f>
        <v>527.39999999999986</v>
      </c>
      <c r="W10" s="598">
        <f t="shared" ref="W10:AD10" si="10">+W6-W12</f>
        <v>193.31071405546552</v>
      </c>
      <c r="X10" s="598">
        <f t="shared" si="10"/>
        <v>254.93116378627536</v>
      </c>
      <c r="Y10" s="598">
        <f t="shared" si="10"/>
        <v>267.53201710710226</v>
      </c>
      <c r="Z10" s="598">
        <f t="shared" si="10"/>
        <v>341.64819042499141</v>
      </c>
      <c r="AA10" s="598">
        <f t="shared" si="10"/>
        <v>281.4944196335191</v>
      </c>
      <c r="AB10" s="598">
        <f t="shared" si="10"/>
        <v>316.72527244286175</v>
      </c>
      <c r="AC10" s="598">
        <f t="shared" si="10"/>
        <v>281.49234426009821</v>
      </c>
      <c r="AD10" s="598">
        <f t="shared" si="10"/>
        <v>345.81287690131916</v>
      </c>
      <c r="AF10" s="598">
        <v>317.45347656105866</v>
      </c>
      <c r="AK10" s="593">
        <f>+SUM(G10:J10)</f>
        <v>2257</v>
      </c>
      <c r="AL10" s="593">
        <f>+SUM(K10:N10)</f>
        <v>2203.3000000000002</v>
      </c>
      <c r="AM10" s="593">
        <f>+SUM(O10:R10)</f>
        <v>2364</v>
      </c>
      <c r="AN10" s="592">
        <v>2010.1</v>
      </c>
      <c r="AO10" s="593">
        <f>+SUM(W10:Z10)</f>
        <v>1057.4220853738348</v>
      </c>
      <c r="AP10" s="593">
        <f>+SUM(AA10:AD10)</f>
        <v>1225.5249132377983</v>
      </c>
      <c r="AQ10" s="598">
        <f t="shared" ref="AQ10:AV10" si="11">+AQ6-AQ12</f>
        <v>1260.283975515702</v>
      </c>
      <c r="AR10" s="598">
        <f t="shared" si="11"/>
        <v>1350.8531905142838</v>
      </c>
      <c r="AS10" s="598">
        <f t="shared" si="11"/>
        <v>1387.6447578214033</v>
      </c>
      <c r="AT10" s="598">
        <f t="shared" si="11"/>
        <v>1424.6348953984889</v>
      </c>
      <c r="AU10" s="598">
        <f t="shared" si="11"/>
        <v>1508.8637021023901</v>
      </c>
      <c r="AV10" s="598">
        <f t="shared" si="11"/>
        <v>1569.0282046307325</v>
      </c>
    </row>
    <row r="11" spans="2:48">
      <c r="B11" s="597"/>
      <c r="G11" s="593"/>
      <c r="H11" s="593"/>
      <c r="I11" s="593"/>
      <c r="J11" s="593"/>
      <c r="K11" s="593"/>
      <c r="L11" s="593"/>
      <c r="M11" s="593"/>
      <c r="N11" s="593"/>
      <c r="O11" s="593"/>
      <c r="P11" s="593"/>
      <c r="Q11" s="593"/>
      <c r="R11" s="593"/>
      <c r="S11" s="593"/>
      <c r="T11" s="593"/>
      <c r="U11" s="593"/>
      <c r="V11" s="593"/>
      <c r="W11" s="593"/>
      <c r="X11" s="593"/>
      <c r="Y11" s="593"/>
      <c r="Z11" s="593"/>
      <c r="AA11" s="593"/>
      <c r="AB11" s="593"/>
      <c r="AC11" s="593"/>
      <c r="AD11" s="593"/>
      <c r="AF11" s="593"/>
      <c r="AK11" s="593"/>
      <c r="AL11" s="593"/>
      <c r="AM11" s="593"/>
      <c r="AN11" s="593"/>
      <c r="AO11" s="593"/>
      <c r="AP11" s="593"/>
      <c r="AQ11" s="593"/>
      <c r="AR11" s="593"/>
      <c r="AS11" s="593"/>
      <c r="AT11" s="593"/>
      <c r="AU11" s="593"/>
      <c r="AV11" s="593"/>
    </row>
    <row r="12" spans="2:48" s="85" customFormat="1">
      <c r="B12" s="599" t="s">
        <v>15</v>
      </c>
      <c r="G12" s="590">
        <f t="shared" ref="G12:V12" si="12">+G6-G10</f>
        <v>787.7</v>
      </c>
      <c r="H12" s="590">
        <f t="shared" si="12"/>
        <v>869.3</v>
      </c>
      <c r="I12" s="590">
        <f t="shared" si="12"/>
        <v>857.9</v>
      </c>
      <c r="J12" s="590">
        <f t="shared" si="12"/>
        <v>945.8</v>
      </c>
      <c r="K12" s="590">
        <f t="shared" si="12"/>
        <v>815.99999999999989</v>
      </c>
      <c r="L12" s="590">
        <f t="shared" si="12"/>
        <v>870.90000000000009</v>
      </c>
      <c r="M12" s="590">
        <f t="shared" si="12"/>
        <v>867.8</v>
      </c>
      <c r="N12" s="590">
        <f t="shared" si="12"/>
        <v>957.59999999999991</v>
      </c>
      <c r="O12" s="590">
        <f t="shared" si="12"/>
        <v>813.8</v>
      </c>
      <c r="P12" s="590">
        <f t="shared" si="12"/>
        <v>812.19999999999982</v>
      </c>
      <c r="Q12" s="590">
        <f t="shared" si="12"/>
        <v>885.80000000000007</v>
      </c>
      <c r="R12" s="590">
        <f t="shared" si="12"/>
        <v>695.5</v>
      </c>
      <c r="S12" s="590">
        <f t="shared" si="12"/>
        <v>669.90000000000009</v>
      </c>
      <c r="T12" s="590">
        <f t="shared" si="12"/>
        <v>677.3</v>
      </c>
      <c r="U12" s="590">
        <f t="shared" si="12"/>
        <v>719.8</v>
      </c>
      <c r="V12" s="590">
        <f t="shared" si="12"/>
        <v>686.10000000000014</v>
      </c>
      <c r="W12" s="600">
        <f t="shared" ref="W12:AD12" si="13">+W13*W6</f>
        <v>221.88577551566195</v>
      </c>
      <c r="X12" s="600">
        <f t="shared" si="13"/>
        <v>283.49313366826988</v>
      </c>
      <c r="Y12" s="600">
        <f t="shared" si="13"/>
        <v>378.51245057977764</v>
      </c>
      <c r="Z12" s="600">
        <f t="shared" si="13"/>
        <v>426.77291122870508</v>
      </c>
      <c r="AA12" s="600">
        <f t="shared" si="13"/>
        <v>336.3754668235523</v>
      </c>
      <c r="AB12" s="600">
        <f t="shared" si="13"/>
        <v>397.46226463203686</v>
      </c>
      <c r="AC12" s="600">
        <f t="shared" si="13"/>
        <v>415.0851115410112</v>
      </c>
      <c r="AD12" s="600">
        <f t="shared" si="13"/>
        <v>449.87147296548193</v>
      </c>
      <c r="AF12" s="600">
        <v>364.37923878695642</v>
      </c>
      <c r="AK12" s="590">
        <f>+SUM(G12:J12)</f>
        <v>3460.7</v>
      </c>
      <c r="AL12" s="590">
        <f>+SUM(K12:N12)</f>
        <v>3512.2999999999997</v>
      </c>
      <c r="AM12" s="590">
        <f>+SUM(O12:R12)</f>
        <v>3207.2999999999997</v>
      </c>
      <c r="AN12" s="590">
        <f>+AN6-AN10</f>
        <v>2753.1</v>
      </c>
      <c r="AO12" s="590">
        <f>+SUM(W12:Z12)</f>
        <v>1310.6642709924145</v>
      </c>
      <c r="AP12" s="590">
        <f>+SUM(AA12:AD12)</f>
        <v>1598.7943159620822</v>
      </c>
      <c r="AQ12" s="600">
        <f t="shared" ref="AQ12:AV12" si="14">+AQ13*AQ$6</f>
        <v>1748.1374474964659</v>
      </c>
      <c r="AR12" s="600">
        <f t="shared" si="14"/>
        <v>1936.5445552410163</v>
      </c>
      <c r="AS12" s="600">
        <f t="shared" si="14"/>
        <v>2039.3265727719445</v>
      </c>
      <c r="AT12" s="600">
        <f t="shared" si="14"/>
        <v>2137.6764304307808</v>
      </c>
      <c r="AU12" s="600">
        <f t="shared" si="14"/>
        <v>2264.0624507618886</v>
      </c>
      <c r="AV12" s="600">
        <f t="shared" si="14"/>
        <v>2354.3397838658598</v>
      </c>
    </row>
    <row r="13" spans="2:48" s="612" customFormat="1" ht="12">
      <c r="B13" s="615" t="s">
        <v>317</v>
      </c>
      <c r="G13" s="613">
        <f t="shared" ref="G13:T13" si="15">+G12/G6</f>
        <v>0.6029085342518179</v>
      </c>
      <c r="H13" s="613">
        <f t="shared" si="15"/>
        <v>0.60607962072090915</v>
      </c>
      <c r="I13" s="613">
        <f t="shared" si="15"/>
        <v>0.60895797842135146</v>
      </c>
      <c r="J13" s="613">
        <f t="shared" si="15"/>
        <v>0.60315030929149926</v>
      </c>
      <c r="K13" s="613">
        <f t="shared" si="15"/>
        <v>0.6121071187457805</v>
      </c>
      <c r="L13" s="613">
        <f t="shared" si="15"/>
        <v>0.62389856006877287</v>
      </c>
      <c r="M13" s="613">
        <f t="shared" si="15"/>
        <v>0.6120750458456764</v>
      </c>
      <c r="N13" s="613">
        <f t="shared" si="15"/>
        <v>0.61040285568587449</v>
      </c>
      <c r="O13" s="613">
        <f t="shared" si="15"/>
        <v>0.58399712952996052</v>
      </c>
      <c r="P13" s="613">
        <f t="shared" si="15"/>
        <v>0.6007840816628448</v>
      </c>
      <c r="Q13" s="613">
        <f t="shared" si="15"/>
        <v>0.62196320741468902</v>
      </c>
      <c r="R13" s="773">
        <f t="shared" si="15"/>
        <v>0.49618320610687022</v>
      </c>
      <c r="S13" s="613">
        <f t="shared" si="15"/>
        <v>0.56441149212233555</v>
      </c>
      <c r="T13" s="613">
        <f t="shared" si="15"/>
        <v>0.57652366360231522</v>
      </c>
      <c r="U13" s="613">
        <f>+U12/U$6</f>
        <v>0.60589225589225582</v>
      </c>
      <c r="V13" s="613">
        <f>+V12/V$6</f>
        <v>0.56538936959208907</v>
      </c>
      <c r="W13" s="637">
        <f t="shared" ref="W13:AD13" si="16">+S13+W14</f>
        <v>0.53441149212233552</v>
      </c>
      <c r="X13" s="637">
        <f t="shared" si="16"/>
        <v>0.52652366360231517</v>
      </c>
      <c r="Y13" s="637">
        <f t="shared" si="16"/>
        <v>0.5858922558922558</v>
      </c>
      <c r="Z13" s="637">
        <f t="shared" si="16"/>
        <v>0.55538936959208907</v>
      </c>
      <c r="AA13" s="637">
        <f t="shared" si="16"/>
        <v>0.54441149212233553</v>
      </c>
      <c r="AB13" s="637">
        <f t="shared" si="16"/>
        <v>0.5565236636023152</v>
      </c>
      <c r="AC13" s="637">
        <f t="shared" si="16"/>
        <v>0.59589225589225581</v>
      </c>
      <c r="AD13" s="637">
        <f t="shared" si="16"/>
        <v>0.56538936959208907</v>
      </c>
      <c r="AF13" s="637">
        <v>0.53441149212233552</v>
      </c>
      <c r="AK13" s="613">
        <f t="shared" ref="AK13:AP13" si="17">+AK12/AK6</f>
        <v>0.60526085663815854</v>
      </c>
      <c r="AL13" s="613">
        <f t="shared" si="17"/>
        <v>0.61451116243264037</v>
      </c>
      <c r="AM13" s="613">
        <f t="shared" si="17"/>
        <v>0.57568251575036344</v>
      </c>
      <c r="AN13" s="613">
        <f t="shared" si="17"/>
        <v>0.57799378569029225</v>
      </c>
      <c r="AO13" s="613">
        <f t="shared" si="17"/>
        <v>0.55346979533448504</v>
      </c>
      <c r="AP13" s="613">
        <f t="shared" si="17"/>
        <v>0.56608130533991197</v>
      </c>
      <c r="AQ13" s="637">
        <f t="shared" ref="AQ13:AV13" si="18">+AP13+AQ14</f>
        <v>0.58108130533991198</v>
      </c>
      <c r="AR13" s="637">
        <f t="shared" si="18"/>
        <v>0.58908130533991199</v>
      </c>
      <c r="AS13" s="637">
        <f t="shared" si="18"/>
        <v>0.59508130533991199</v>
      </c>
      <c r="AT13" s="637">
        <f t="shared" si="18"/>
        <v>0.600081305339912</v>
      </c>
      <c r="AU13" s="637">
        <f t="shared" si="18"/>
        <v>0.600081305339912</v>
      </c>
      <c r="AV13" s="637">
        <f t="shared" si="18"/>
        <v>0.600081305339912</v>
      </c>
    </row>
    <row r="14" spans="2:48" s="617" customFormat="1" ht="12">
      <c r="B14" s="611" t="s">
        <v>297</v>
      </c>
      <c r="G14" s="618"/>
      <c r="H14" s="618"/>
      <c r="I14" s="618"/>
      <c r="J14" s="618"/>
      <c r="K14" s="614">
        <f t="shared" ref="K14:V14" si="19">+K13-G13</f>
        <v>9.1985844939626027E-3</v>
      </c>
      <c r="L14" s="614">
        <f t="shared" si="19"/>
        <v>1.7818939347863716E-2</v>
      </c>
      <c r="M14" s="614">
        <f t="shared" si="19"/>
        <v>3.1170674243249374E-3</v>
      </c>
      <c r="N14" s="614">
        <f t="shared" si="19"/>
        <v>7.2525463943752255E-3</v>
      </c>
      <c r="O14" s="614">
        <f t="shared" si="19"/>
        <v>-2.8109989215819975E-2</v>
      </c>
      <c r="P14" s="614">
        <f t="shared" si="19"/>
        <v>-2.3114478405928063E-2</v>
      </c>
      <c r="Q14" s="614">
        <f t="shared" si="19"/>
        <v>9.8881615690126212E-3</v>
      </c>
      <c r="R14" s="614">
        <f t="shared" si="19"/>
        <v>-0.11421964957900427</v>
      </c>
      <c r="S14" s="614">
        <f t="shared" si="19"/>
        <v>-1.9585637407624978E-2</v>
      </c>
      <c r="T14" s="614">
        <f t="shared" si="19"/>
        <v>-2.4260418060529587E-2</v>
      </c>
      <c r="U14" s="614">
        <f t="shared" si="19"/>
        <v>-1.6070951522433208E-2</v>
      </c>
      <c r="V14" s="614">
        <f t="shared" si="19"/>
        <v>6.9206163485218852E-2</v>
      </c>
      <c r="W14" s="638">
        <v>-0.03</v>
      </c>
      <c r="X14" s="638">
        <v>-0.05</v>
      </c>
      <c r="Y14" s="638">
        <v>-0.02</v>
      </c>
      <c r="Z14" s="638">
        <v>-0.01</v>
      </c>
      <c r="AA14" s="638">
        <v>0.01</v>
      </c>
      <c r="AB14" s="638">
        <v>0.03</v>
      </c>
      <c r="AC14" s="638">
        <v>0.01</v>
      </c>
      <c r="AD14" s="638">
        <v>0.01</v>
      </c>
      <c r="AF14" s="638">
        <v>-0.03</v>
      </c>
      <c r="AK14" s="614"/>
      <c r="AL14" s="614">
        <f>+AL13-AK13</f>
        <v>9.2503057944818279E-3</v>
      </c>
      <c r="AM14" s="614">
        <f>+AM13-AL13</f>
        <v>-3.8828646682276924E-2</v>
      </c>
      <c r="AN14" s="614">
        <f>+AN13-AM13</f>
        <v>2.3112699399288061E-3</v>
      </c>
      <c r="AO14" s="614">
        <f>+AO13-AN13</f>
        <v>-2.4523990355807213E-2</v>
      </c>
      <c r="AP14" s="614">
        <f>+AP13-AO13</f>
        <v>1.2611510005426929E-2</v>
      </c>
      <c r="AQ14" s="638">
        <v>1.4999999999999999E-2</v>
      </c>
      <c r="AR14" s="638">
        <v>8.0000000000000002E-3</v>
      </c>
      <c r="AS14" s="638">
        <v>6.0000000000000001E-3</v>
      </c>
      <c r="AT14" s="638">
        <v>5.0000000000000001E-3</v>
      </c>
      <c r="AU14" s="638">
        <v>0</v>
      </c>
      <c r="AV14" s="638">
        <v>0</v>
      </c>
    </row>
    <row r="15" spans="2:48">
      <c r="B15" s="597"/>
      <c r="G15" s="593"/>
      <c r="H15" s="593"/>
      <c r="I15" s="593"/>
      <c r="J15" s="593"/>
      <c r="K15" s="593"/>
      <c r="L15" s="593"/>
      <c r="M15" s="593"/>
      <c r="N15" s="593"/>
      <c r="O15" s="593"/>
      <c r="P15" s="593"/>
      <c r="Q15" s="593"/>
      <c r="R15" s="595"/>
      <c r="S15" s="593"/>
      <c r="T15" s="593"/>
      <c r="U15" s="593"/>
      <c r="V15" s="593"/>
      <c r="W15" s="593"/>
      <c r="X15" s="593"/>
      <c r="Y15" s="593"/>
      <c r="Z15" s="593"/>
      <c r="AA15" s="593"/>
      <c r="AB15" s="593"/>
      <c r="AC15" s="593"/>
      <c r="AD15" s="593"/>
      <c r="AF15" s="593"/>
      <c r="AK15" s="593"/>
      <c r="AL15" s="593"/>
      <c r="AM15" s="593"/>
      <c r="AN15" s="593"/>
      <c r="AO15" s="593"/>
      <c r="AP15" s="593"/>
      <c r="AQ15" s="593"/>
      <c r="AR15" s="593"/>
      <c r="AS15" s="593"/>
      <c r="AT15" s="593"/>
      <c r="AU15" s="593"/>
      <c r="AV15" s="593"/>
    </row>
    <row r="16" spans="2:48" s="85" customFormat="1">
      <c r="B16" s="599" t="s">
        <v>711</v>
      </c>
      <c r="G16" s="589">
        <v>779.9</v>
      </c>
      <c r="H16" s="589">
        <v>774.2</v>
      </c>
      <c r="I16" s="589">
        <v>745.9</v>
      </c>
      <c r="J16" s="589">
        <v>838.8</v>
      </c>
      <c r="K16" s="589">
        <v>786.2</v>
      </c>
      <c r="L16" s="589">
        <v>838.2</v>
      </c>
      <c r="M16" s="589">
        <v>780.5</v>
      </c>
      <c r="N16" s="589">
        <v>826.1</v>
      </c>
      <c r="O16" s="589">
        <v>768.9</v>
      </c>
      <c r="P16" s="589">
        <v>759.2</v>
      </c>
      <c r="Q16" s="589">
        <v>698.9</v>
      </c>
      <c r="R16" s="589">
        <v>745.1</v>
      </c>
      <c r="S16" s="589">
        <v>673.8</v>
      </c>
      <c r="T16" s="589">
        <v>646.79999999999995</v>
      </c>
      <c r="U16" s="589">
        <v>622.1</v>
      </c>
      <c r="V16" s="590">
        <f>+AN16-SUM(S16:U16)</f>
        <v>684.80000000000018</v>
      </c>
      <c r="W16" s="600">
        <f t="shared" ref="W16:AD16" si="20">+W17*W$6</f>
        <v>231.55398731005639</v>
      </c>
      <c r="X16" s="600">
        <f t="shared" si="20"/>
        <v>288.35948469854941</v>
      </c>
      <c r="Y16" s="600">
        <f t="shared" si="20"/>
        <v>335.07302963800333</v>
      </c>
      <c r="Z16" s="600">
        <f t="shared" si="20"/>
        <v>425.94971598177494</v>
      </c>
      <c r="AA16" s="600">
        <f t="shared" si="20"/>
        <v>344.58440627889098</v>
      </c>
      <c r="AB16" s="600">
        <f t="shared" si="20"/>
        <v>382.49156128848364</v>
      </c>
      <c r="AC16" s="600">
        <f t="shared" si="20"/>
        <v>361.28212556095252</v>
      </c>
      <c r="AD16" s="600">
        <f t="shared" si="20"/>
        <v>441.06222760869542</v>
      </c>
      <c r="AF16" s="600">
        <v>380.25630727359248</v>
      </c>
      <c r="AK16" s="590">
        <f>+SUM(G16:J16)</f>
        <v>3138.8</v>
      </c>
      <c r="AL16" s="590">
        <f>+SUM(K16:N16)</f>
        <v>3231</v>
      </c>
      <c r="AM16" s="590">
        <f>+SUM(O16:R16)</f>
        <v>2972.1</v>
      </c>
      <c r="AN16" s="589">
        <v>2627.5</v>
      </c>
      <c r="AO16" s="590">
        <f>+SUM(W16:Z16)</f>
        <v>1280.9362176283842</v>
      </c>
      <c r="AP16" s="590">
        <f>+SUM(AA16:AD16)</f>
        <v>1529.4203207370226</v>
      </c>
      <c r="AQ16" s="600">
        <f t="shared" ref="AQ16:AV16" si="21">+AQ17*AQ$6</f>
        <v>1620.0897486960125</v>
      </c>
      <c r="AR16" s="600">
        <f t="shared" si="21"/>
        <v>1760.461388108605</v>
      </c>
      <c r="AS16" s="600">
        <f t="shared" si="21"/>
        <v>1835.2055857721064</v>
      </c>
      <c r="AT16" s="600">
        <f t="shared" si="21"/>
        <v>1907.6826190691227</v>
      </c>
      <c r="AU16" s="600">
        <f t="shared" si="21"/>
        <v>2020.4706962761043</v>
      </c>
      <c r="AV16" s="600">
        <f t="shared" si="21"/>
        <v>2101.0350402557278</v>
      </c>
    </row>
    <row r="17" spans="2:48" s="612" customFormat="1" ht="12">
      <c r="B17" s="611" t="s">
        <v>283</v>
      </c>
      <c r="G17" s="613">
        <f t="shared" ref="G17:V17" si="22">+G16/G$6</f>
        <v>0.59693838499808649</v>
      </c>
      <c r="H17" s="613">
        <f t="shared" si="22"/>
        <v>0.53977550024402154</v>
      </c>
      <c r="I17" s="613">
        <f t="shared" si="22"/>
        <v>0.52945769449176605</v>
      </c>
      <c r="J17" s="613">
        <f t="shared" si="22"/>
        <v>0.5349148651233977</v>
      </c>
      <c r="K17" s="613">
        <f t="shared" si="22"/>
        <v>0.58975320681119203</v>
      </c>
      <c r="L17" s="613">
        <f t="shared" si="22"/>
        <v>0.60047281323877066</v>
      </c>
      <c r="M17" s="613">
        <f t="shared" si="22"/>
        <v>0.55050077584990831</v>
      </c>
      <c r="N17" s="613">
        <f t="shared" si="22"/>
        <v>0.52658082610912804</v>
      </c>
      <c r="O17" s="613">
        <f t="shared" si="22"/>
        <v>0.5517761033369214</v>
      </c>
      <c r="P17" s="613">
        <f t="shared" si="22"/>
        <v>0.5615799985206007</v>
      </c>
      <c r="Q17" s="613">
        <f t="shared" si="22"/>
        <v>0.49073163881477316</v>
      </c>
      <c r="R17" s="613">
        <f t="shared" si="22"/>
        <v>0.53156880930298922</v>
      </c>
      <c r="S17" s="613">
        <f t="shared" si="22"/>
        <v>0.5676973628780857</v>
      </c>
      <c r="T17" s="613">
        <f t="shared" si="22"/>
        <v>0.550561797752809</v>
      </c>
      <c r="U17" s="613">
        <f t="shared" si="22"/>
        <v>0.5236531986531987</v>
      </c>
      <c r="V17" s="613">
        <f t="shared" si="22"/>
        <v>0.56431808817470142</v>
      </c>
      <c r="W17" s="637">
        <f t="shared" ref="W17:AD17" si="23">+S17+W18</f>
        <v>0.55769736287808569</v>
      </c>
      <c r="X17" s="637">
        <f t="shared" si="23"/>
        <v>0.53556179775280899</v>
      </c>
      <c r="Y17" s="637">
        <f t="shared" si="23"/>
        <v>0.5186531986531987</v>
      </c>
      <c r="Z17" s="637">
        <f t="shared" si="23"/>
        <v>0.55431808817470141</v>
      </c>
      <c r="AA17" s="637">
        <f t="shared" si="23"/>
        <v>0.55769736287808569</v>
      </c>
      <c r="AB17" s="637">
        <f t="shared" si="23"/>
        <v>0.53556179775280899</v>
      </c>
      <c r="AC17" s="637">
        <f t="shared" si="23"/>
        <v>0.5186531986531987</v>
      </c>
      <c r="AD17" s="637">
        <f t="shared" si="23"/>
        <v>0.55431808817470141</v>
      </c>
      <c r="AF17" s="637">
        <v>0.55769736287808569</v>
      </c>
      <c r="AK17" s="613">
        <f t="shared" ref="AK17:AP17" si="24">+AK16/AK$6</f>
        <v>0.54896199520786326</v>
      </c>
      <c r="AL17" s="613">
        <f t="shared" si="24"/>
        <v>0.56529498215410456</v>
      </c>
      <c r="AM17" s="613">
        <f t="shared" si="24"/>
        <v>0.53346615691131338</v>
      </c>
      <c r="AN17" s="613">
        <f t="shared" si="24"/>
        <v>0.55162495801142086</v>
      </c>
      <c r="AO17" s="613">
        <f t="shared" si="24"/>
        <v>0.54091617655106916</v>
      </c>
      <c r="AP17" s="613">
        <f t="shared" si="24"/>
        <v>0.54151821965617608</v>
      </c>
      <c r="AQ17" s="616">
        <f>+AP17-0.3%</f>
        <v>0.53851821965617608</v>
      </c>
      <c r="AR17" s="616">
        <f>+AQ17-0.3%</f>
        <v>0.53551821965617608</v>
      </c>
      <c r="AS17" s="616">
        <f>+AR17</f>
        <v>0.53551821965617608</v>
      </c>
      <c r="AT17" s="616">
        <f>+AS17</f>
        <v>0.53551821965617608</v>
      </c>
      <c r="AU17" s="616">
        <f>+AT17</f>
        <v>0.53551821965617608</v>
      </c>
      <c r="AV17" s="616">
        <f>+AU17</f>
        <v>0.53551821965617608</v>
      </c>
    </row>
    <row r="18" spans="2:48" s="612" customFormat="1" ht="12">
      <c r="B18" s="611" t="s">
        <v>108</v>
      </c>
      <c r="G18" s="614"/>
      <c r="H18" s="614"/>
      <c r="I18" s="614"/>
      <c r="J18" s="614"/>
      <c r="K18" s="614">
        <f t="shared" ref="K18:V18" si="25">+K17-G17</f>
        <v>-7.1851781868944586E-3</v>
      </c>
      <c r="L18" s="614">
        <f t="shared" si="25"/>
        <v>6.069731299474912E-2</v>
      </c>
      <c r="M18" s="614">
        <f t="shared" si="25"/>
        <v>2.1043081358142257E-2</v>
      </c>
      <c r="N18" s="614">
        <f t="shared" si="25"/>
        <v>-8.3340390142696563E-3</v>
      </c>
      <c r="O18" s="614">
        <f t="shared" si="25"/>
        <v>-3.7977103474270635E-2</v>
      </c>
      <c r="P18" s="614">
        <f t="shared" si="25"/>
        <v>-3.8892814718169966E-2</v>
      </c>
      <c r="Q18" s="614">
        <f t="shared" si="25"/>
        <v>-5.9769137035135145E-2</v>
      </c>
      <c r="R18" s="614">
        <f t="shared" si="25"/>
        <v>4.9879831938611785E-3</v>
      </c>
      <c r="S18" s="614">
        <f t="shared" si="25"/>
        <v>1.5921259541164301E-2</v>
      </c>
      <c r="T18" s="614">
        <f t="shared" si="25"/>
        <v>-1.1018200767791697E-2</v>
      </c>
      <c r="U18" s="614">
        <f t="shared" si="25"/>
        <v>3.292155983842554E-2</v>
      </c>
      <c r="V18" s="614">
        <f t="shared" si="25"/>
        <v>3.2749278871712195E-2</v>
      </c>
      <c r="W18" s="638">
        <v>-0.01</v>
      </c>
      <c r="X18" s="638">
        <v>-1.4999999999999999E-2</v>
      </c>
      <c r="Y18" s="638">
        <v>-5.0000000000000001E-3</v>
      </c>
      <c r="Z18" s="638">
        <v>-0.01</v>
      </c>
      <c r="AA18" s="638">
        <v>0</v>
      </c>
      <c r="AB18" s="638">
        <v>0</v>
      </c>
      <c r="AC18" s="638">
        <v>0</v>
      </c>
      <c r="AD18" s="638">
        <v>0</v>
      </c>
      <c r="AF18" s="638">
        <v>-0.01</v>
      </c>
      <c r="AK18" s="614"/>
      <c r="AL18" s="614">
        <f>+AL16/AK16-1</f>
        <v>2.9374283165540804E-2</v>
      </c>
      <c r="AM18" s="614">
        <f>+AM16/AL16-1</f>
        <v>-8.0129990714948973E-2</v>
      </c>
      <c r="AN18" s="614">
        <f>+AN16/AM16-1</f>
        <v>-0.11594495474580258</v>
      </c>
      <c r="AO18" s="614">
        <f>+AO16/AN16-1</f>
        <v>-0.51248859462287943</v>
      </c>
      <c r="AP18" s="614">
        <f>+AP16/AO16-1</f>
        <v>0.19398632007509287</v>
      </c>
      <c r="AQ18" s="614">
        <f t="shared" ref="AQ18:AV18" si="26">+AQ16/AM16-1</f>
        <v>-0.45490065990511341</v>
      </c>
      <c r="AR18" s="614">
        <f t="shared" si="26"/>
        <v>-0.329986151052862</v>
      </c>
      <c r="AS18" s="614">
        <f t="shared" si="26"/>
        <v>0.43270645369832361</v>
      </c>
      <c r="AT18" s="614">
        <f t="shared" si="26"/>
        <v>0.24732396529805278</v>
      </c>
      <c r="AU18" s="614">
        <f t="shared" si="26"/>
        <v>0.24713504168664291</v>
      </c>
      <c r="AV18" s="614">
        <f t="shared" si="26"/>
        <v>0.19345704168668343</v>
      </c>
    </row>
    <row r="19" spans="2:48">
      <c r="B19" s="597"/>
      <c r="G19" s="593"/>
      <c r="H19" s="593"/>
      <c r="I19" s="593"/>
      <c r="J19" s="593"/>
      <c r="K19" s="593"/>
      <c r="L19" s="593"/>
      <c r="M19" s="593"/>
      <c r="N19" s="593"/>
      <c r="O19" s="593"/>
      <c r="P19" s="593"/>
      <c r="Q19" s="595"/>
      <c r="R19" s="593"/>
      <c r="S19" s="593"/>
      <c r="T19" s="593"/>
      <c r="U19" s="595"/>
      <c r="V19" s="595"/>
      <c r="W19" s="593"/>
      <c r="X19" s="593"/>
      <c r="Y19" s="593"/>
      <c r="Z19" s="593"/>
      <c r="AA19" s="593"/>
      <c r="AB19" s="593"/>
      <c r="AC19" s="593"/>
      <c r="AD19" s="593"/>
      <c r="AF19" s="593"/>
      <c r="AK19" s="593"/>
      <c r="AL19" s="593"/>
      <c r="AM19" s="593"/>
      <c r="AN19" s="595"/>
      <c r="AO19" s="593"/>
      <c r="AP19" s="593"/>
      <c r="AQ19" s="593"/>
      <c r="AR19" s="593"/>
      <c r="AS19" s="593"/>
      <c r="AT19" s="593"/>
      <c r="AU19" s="593"/>
      <c r="AV19" s="593"/>
    </row>
    <row r="20" spans="2:48" s="85" customFormat="1">
      <c r="B20" s="602" t="s">
        <v>712</v>
      </c>
      <c r="G20" s="590">
        <f t="shared" ref="G20:AD20" si="27">+G12-G16</f>
        <v>7.8000000000000682</v>
      </c>
      <c r="H20" s="590">
        <f t="shared" si="27"/>
        <v>95.099999999999909</v>
      </c>
      <c r="I20" s="590">
        <f t="shared" si="27"/>
        <v>112</v>
      </c>
      <c r="J20" s="590">
        <f t="shared" si="27"/>
        <v>107</v>
      </c>
      <c r="K20" s="590">
        <f t="shared" si="27"/>
        <v>29.799999999999841</v>
      </c>
      <c r="L20" s="590">
        <f t="shared" si="27"/>
        <v>32.700000000000045</v>
      </c>
      <c r="M20" s="590">
        <f t="shared" si="27"/>
        <v>87.299999999999955</v>
      </c>
      <c r="N20" s="590">
        <f t="shared" si="27"/>
        <v>131.49999999999989</v>
      </c>
      <c r="O20" s="590">
        <f t="shared" si="27"/>
        <v>44.899999999999977</v>
      </c>
      <c r="P20" s="590">
        <f t="shared" si="27"/>
        <v>52.999999999999773</v>
      </c>
      <c r="Q20" s="590">
        <f t="shared" si="27"/>
        <v>186.90000000000009</v>
      </c>
      <c r="R20" s="590">
        <f t="shared" si="27"/>
        <v>-49.600000000000023</v>
      </c>
      <c r="S20" s="590">
        <f t="shared" si="27"/>
        <v>-3.8999999999998636</v>
      </c>
      <c r="T20" s="590">
        <f t="shared" si="27"/>
        <v>30.5</v>
      </c>
      <c r="U20" s="590">
        <f t="shared" si="27"/>
        <v>97.699999999999932</v>
      </c>
      <c r="V20" s="590">
        <f t="shared" si="27"/>
        <v>1.2999999999999545</v>
      </c>
      <c r="W20" s="600">
        <f t="shared" si="27"/>
        <v>-9.6682117943944377</v>
      </c>
      <c r="X20" s="600">
        <f t="shared" si="27"/>
        <v>-4.8663510302795316</v>
      </c>
      <c r="Y20" s="600">
        <f t="shared" si="27"/>
        <v>43.439420941774301</v>
      </c>
      <c r="Z20" s="600">
        <f t="shared" si="27"/>
        <v>0.82319524693014046</v>
      </c>
      <c r="AA20" s="600">
        <f t="shared" si="27"/>
        <v>-8.2089394553386796</v>
      </c>
      <c r="AB20" s="600">
        <f t="shared" si="27"/>
        <v>14.970703343553225</v>
      </c>
      <c r="AC20" s="600">
        <f t="shared" si="27"/>
        <v>53.802985980058679</v>
      </c>
      <c r="AD20" s="600">
        <f t="shared" si="27"/>
        <v>8.809245356786505</v>
      </c>
      <c r="AF20" s="600">
        <v>-15.877068486636063</v>
      </c>
      <c r="AK20" s="590">
        <f>+SUM(G20:J20)</f>
        <v>321.89999999999998</v>
      </c>
      <c r="AL20" s="590">
        <f>+SUM(K20:N20)</f>
        <v>281.29999999999973</v>
      </c>
      <c r="AM20" s="590">
        <f>+SUM(O20:R20)</f>
        <v>235.19999999999982</v>
      </c>
      <c r="AN20" s="590">
        <f>+AN12-AN16</f>
        <v>125.59999999999991</v>
      </c>
      <c r="AO20" s="590">
        <f>+SUM(W20:Z20)</f>
        <v>29.728053364030472</v>
      </c>
      <c r="AP20" s="590">
        <f>+SUM(AA20:AD20)</f>
        <v>69.37399522505973</v>
      </c>
      <c r="AQ20" s="600">
        <f t="shared" ref="AQ20:AV20" si="28">+AQ12-AQ16</f>
        <v>128.04769880045342</v>
      </c>
      <c r="AR20" s="600">
        <f t="shared" si="28"/>
        <v>176.08316713241129</v>
      </c>
      <c r="AS20" s="600">
        <f t="shared" si="28"/>
        <v>204.12098699983812</v>
      </c>
      <c r="AT20" s="600">
        <f t="shared" si="28"/>
        <v>229.99381136165812</v>
      </c>
      <c r="AU20" s="600">
        <f t="shared" si="28"/>
        <v>243.59175448578435</v>
      </c>
      <c r="AV20" s="600">
        <f t="shared" si="28"/>
        <v>253.30474361013194</v>
      </c>
    </row>
    <row r="21" spans="2:48" s="85" customFormat="1">
      <c r="B21" s="602"/>
      <c r="G21" s="757">
        <f t="shared" ref="G21:AD21" si="29">+G20/G6</f>
        <v>5.9701492537313954E-3</v>
      </c>
      <c r="H21" s="757">
        <f t="shared" si="29"/>
        <v>6.6304120476887621E-2</v>
      </c>
      <c r="I21" s="757">
        <f t="shared" si="29"/>
        <v>7.9500283929585469E-2</v>
      </c>
      <c r="J21" s="757">
        <f t="shared" si="29"/>
        <v>6.8235444168101525E-2</v>
      </c>
      <c r="K21" s="757">
        <f t="shared" si="29"/>
        <v>2.2353911934588435E-2</v>
      </c>
      <c r="L21" s="757">
        <f t="shared" si="29"/>
        <v>2.3425746830002179E-2</v>
      </c>
      <c r="M21" s="757">
        <f t="shared" si="29"/>
        <v>6.1574269995768059E-2</v>
      </c>
      <c r="N21" s="757">
        <f t="shared" si="29"/>
        <v>8.382202957674649E-2</v>
      </c>
      <c r="O21" s="757">
        <f t="shared" si="29"/>
        <v>3.2221026193039091E-2</v>
      </c>
      <c r="P21" s="757">
        <f t="shared" si="29"/>
        <v>3.9204083142244085E-2</v>
      </c>
      <c r="Q21" s="757">
        <f t="shared" si="29"/>
        <v>0.1312315685999158</v>
      </c>
      <c r="R21" s="757">
        <f t="shared" si="29"/>
        <v>-3.5385603196119012E-2</v>
      </c>
      <c r="S21" s="757">
        <f t="shared" si="29"/>
        <v>-3.2858707557501588E-3</v>
      </c>
      <c r="T21" s="757">
        <f t="shared" si="29"/>
        <v>2.5961865849506299E-2</v>
      </c>
      <c r="U21" s="757">
        <f t="shared" si="29"/>
        <v>8.2239057239057181E-2</v>
      </c>
      <c r="V21" s="757">
        <f t="shared" si="29"/>
        <v>1.071281417387684E-3</v>
      </c>
      <c r="W21" s="757">
        <f t="shared" si="29"/>
        <v>-2.3285870755750147E-2</v>
      </c>
      <c r="X21" s="757">
        <f t="shared" si="29"/>
        <v>-9.0381341504937526E-3</v>
      </c>
      <c r="Y21" s="757">
        <f t="shared" si="29"/>
        <v>6.7239057239057112E-2</v>
      </c>
      <c r="Z21" s="757">
        <f t="shared" si="29"/>
        <v>1.0712814173876356E-3</v>
      </c>
      <c r="AA21" s="757">
        <f t="shared" si="29"/>
        <v>-1.3285870755750164E-2</v>
      </c>
      <c r="AB21" s="757">
        <f t="shared" si="29"/>
        <v>2.0961865849506153E-2</v>
      </c>
      <c r="AC21" s="757">
        <f t="shared" si="29"/>
        <v>7.7239057239057135E-2</v>
      </c>
      <c r="AD21" s="757">
        <f t="shared" si="29"/>
        <v>1.1071281417387672E-2</v>
      </c>
      <c r="AF21" s="757">
        <v>-2.3285870755750154E-2</v>
      </c>
      <c r="AK21" s="757">
        <f t="shared" ref="AK21:AV21" si="30">+AK20/AK6</f>
        <v>5.6298861430295388E-2</v>
      </c>
      <c r="AL21" s="757">
        <f t="shared" si="30"/>
        <v>4.9216180278535887E-2</v>
      </c>
      <c r="AM21" s="757">
        <f t="shared" si="30"/>
        <v>4.2216358839050103E-2</v>
      </c>
      <c r="AN21" s="757">
        <f t="shared" si="30"/>
        <v>2.6368827678871328E-2</v>
      </c>
      <c r="AO21" s="757">
        <f t="shared" si="30"/>
        <v>1.2553618783415987E-2</v>
      </c>
      <c r="AP21" s="757">
        <f t="shared" si="30"/>
        <v>2.4563085683735948E-2</v>
      </c>
      <c r="AQ21" s="757">
        <f t="shared" si="30"/>
        <v>4.2563085683735846E-2</v>
      </c>
      <c r="AR21" s="757">
        <f t="shared" si="30"/>
        <v>5.356308568373587E-2</v>
      </c>
      <c r="AS21" s="757">
        <f t="shared" si="30"/>
        <v>5.9563085683735938E-2</v>
      </c>
      <c r="AT21" s="757">
        <f t="shared" si="30"/>
        <v>6.4563085683735935E-2</v>
      </c>
      <c r="AU21" s="757">
        <f t="shared" si="30"/>
        <v>6.4563085683735866E-2</v>
      </c>
      <c r="AV21" s="757">
        <f t="shared" si="30"/>
        <v>6.4563085683735866E-2</v>
      </c>
    </row>
    <row r="22" spans="2:48" s="85" customFormat="1">
      <c r="B22" s="602"/>
      <c r="G22" s="590"/>
      <c r="H22" s="590"/>
      <c r="I22" s="590"/>
      <c r="J22" s="590"/>
      <c r="K22" s="590"/>
      <c r="L22" s="590"/>
      <c r="M22" s="590"/>
      <c r="N22" s="590"/>
      <c r="O22" s="590"/>
      <c r="P22" s="590"/>
      <c r="Q22" s="590"/>
      <c r="R22" s="590"/>
      <c r="S22" s="590"/>
      <c r="T22" s="590"/>
      <c r="U22" s="590"/>
      <c r="V22" s="590"/>
      <c r="W22" s="600"/>
      <c r="X22" s="600"/>
      <c r="Y22" s="600"/>
      <c r="Z22" s="600"/>
      <c r="AA22" s="600"/>
      <c r="AB22" s="600"/>
      <c r="AC22" s="600"/>
      <c r="AD22" s="600"/>
      <c r="AF22" s="600"/>
      <c r="AK22" s="757"/>
      <c r="AL22" s="757"/>
      <c r="AM22" s="757"/>
      <c r="AN22" s="590"/>
      <c r="AO22" s="757"/>
      <c r="AP22" s="757"/>
      <c r="AQ22" s="757"/>
      <c r="AR22" s="757"/>
      <c r="AS22" s="757"/>
      <c r="AT22" s="757"/>
      <c r="AU22" s="757"/>
      <c r="AV22" s="757"/>
    </row>
    <row r="23" spans="2:48" s="85" customFormat="1">
      <c r="B23" s="603" t="s">
        <v>713</v>
      </c>
      <c r="G23" s="592">
        <v>-46.8</v>
      </c>
      <c r="H23" s="592">
        <v>-9.4</v>
      </c>
      <c r="I23" s="592">
        <f>-14+27.2</f>
        <v>13.2</v>
      </c>
      <c r="J23" s="592">
        <v>-7.2</v>
      </c>
      <c r="K23" s="592">
        <v>-10</v>
      </c>
      <c r="L23" s="592">
        <v>-34.6</v>
      </c>
      <c r="M23" s="592">
        <v>-6.2</v>
      </c>
      <c r="N23" s="592">
        <v>-23.7</v>
      </c>
      <c r="O23" s="592">
        <v>-10.9</v>
      </c>
      <c r="P23" s="592">
        <v>-23.7</v>
      </c>
      <c r="Q23" s="592">
        <f>168.4-19.8</f>
        <v>148.6</v>
      </c>
      <c r="R23" s="592">
        <v>-126.1</v>
      </c>
      <c r="S23" s="592">
        <f>-53.5-4.1</f>
        <v>-57.6</v>
      </c>
      <c r="T23" s="592">
        <f>-45.7-13.1</f>
        <v>-58.800000000000004</v>
      </c>
      <c r="U23" s="592">
        <f>67.7-17.5-19.2</f>
        <v>31.000000000000004</v>
      </c>
      <c r="V23" s="593"/>
      <c r="W23" s="598">
        <v>0</v>
      </c>
      <c r="X23" s="598">
        <v>0</v>
      </c>
      <c r="Y23" s="598">
        <v>0</v>
      </c>
      <c r="Z23" s="598">
        <v>0</v>
      </c>
      <c r="AA23" s="598">
        <v>0</v>
      </c>
      <c r="AB23" s="598">
        <v>0</v>
      </c>
      <c r="AC23" s="598">
        <v>0</v>
      </c>
      <c r="AD23" s="598">
        <v>0</v>
      </c>
      <c r="AF23" s="598">
        <v>0</v>
      </c>
      <c r="AK23" s="593">
        <f>+SUM(G23:J23)</f>
        <v>-50.2</v>
      </c>
      <c r="AL23" s="593">
        <f>+SUM(K23:N23)</f>
        <v>-74.5</v>
      </c>
      <c r="AM23" s="593">
        <f>+SUM(O23:R23)</f>
        <v>-12.099999999999994</v>
      </c>
      <c r="AN23" s="839"/>
      <c r="AO23" s="593">
        <f>+SUM(W23:Z23)</f>
        <v>0</v>
      </c>
      <c r="AP23" s="593">
        <f>+SUM(AA23:AD23)</f>
        <v>0</v>
      </c>
      <c r="AQ23" s="598">
        <v>0</v>
      </c>
      <c r="AR23" s="598">
        <f>+AQ23</f>
        <v>0</v>
      </c>
      <c r="AS23" s="598">
        <f>+AR23</f>
        <v>0</v>
      </c>
      <c r="AT23" s="598">
        <f>+AS23</f>
        <v>0</v>
      </c>
      <c r="AU23" s="598">
        <f>+AT23</f>
        <v>0</v>
      </c>
      <c r="AV23" s="598">
        <f>+AU23</f>
        <v>0</v>
      </c>
    </row>
    <row r="24" spans="2:48" s="85" customFormat="1">
      <c r="B24" s="603"/>
      <c r="G24" s="590"/>
      <c r="H24" s="590"/>
      <c r="I24" s="590"/>
      <c r="J24" s="590"/>
      <c r="K24" s="590"/>
      <c r="L24" s="590"/>
      <c r="M24" s="595"/>
      <c r="N24" s="590"/>
      <c r="O24" s="590"/>
      <c r="P24" s="590"/>
      <c r="Q24" s="595"/>
      <c r="R24" s="593"/>
      <c r="S24" s="593"/>
      <c r="T24" s="593"/>
      <c r="U24" s="595"/>
      <c r="V24" s="595"/>
      <c r="W24" s="593"/>
      <c r="X24" s="593"/>
      <c r="Y24" s="593"/>
      <c r="Z24" s="593"/>
      <c r="AA24" s="593"/>
      <c r="AB24" s="593"/>
      <c r="AC24" s="593"/>
      <c r="AD24" s="593"/>
      <c r="AF24" s="593"/>
      <c r="AK24" s="590"/>
      <c r="AL24" s="590"/>
      <c r="AM24" s="590"/>
      <c r="AN24" s="595"/>
      <c r="AO24" s="590"/>
      <c r="AP24" s="590"/>
      <c r="AQ24" s="593"/>
      <c r="AR24" s="593"/>
      <c r="AS24" s="593"/>
      <c r="AT24" s="593"/>
      <c r="AU24" s="593"/>
      <c r="AV24" s="593"/>
    </row>
    <row r="25" spans="2:48" s="85" customFormat="1">
      <c r="B25" s="602" t="s">
        <v>714</v>
      </c>
      <c r="G25" s="590">
        <f t="shared" ref="G25:AD25" si="31">+G20-G23</f>
        <v>54.600000000000065</v>
      </c>
      <c r="H25" s="590">
        <f t="shared" si="31"/>
        <v>104.49999999999991</v>
      </c>
      <c r="I25" s="590">
        <f t="shared" si="31"/>
        <v>98.8</v>
      </c>
      <c r="J25" s="590">
        <f t="shared" si="31"/>
        <v>114.2</v>
      </c>
      <c r="K25" s="590">
        <f t="shared" si="31"/>
        <v>39.799999999999841</v>
      </c>
      <c r="L25" s="590">
        <f t="shared" si="31"/>
        <v>67.30000000000004</v>
      </c>
      <c r="M25" s="590">
        <f t="shared" si="31"/>
        <v>93.499999999999957</v>
      </c>
      <c r="N25" s="590">
        <f t="shared" si="31"/>
        <v>155.19999999999987</v>
      </c>
      <c r="O25" s="590">
        <f t="shared" si="31"/>
        <v>55.799999999999976</v>
      </c>
      <c r="P25" s="590">
        <f t="shared" si="31"/>
        <v>76.699999999999775</v>
      </c>
      <c r="Q25" s="590">
        <f t="shared" si="31"/>
        <v>38.300000000000097</v>
      </c>
      <c r="R25" s="590">
        <f t="shared" si="31"/>
        <v>76.499999999999972</v>
      </c>
      <c r="S25" s="590">
        <f t="shared" si="31"/>
        <v>53.700000000000138</v>
      </c>
      <c r="T25" s="590">
        <f t="shared" si="31"/>
        <v>89.300000000000011</v>
      </c>
      <c r="U25" s="590">
        <f t="shared" si="31"/>
        <v>66.699999999999932</v>
      </c>
      <c r="V25" s="590">
        <f t="shared" si="31"/>
        <v>1.2999999999999545</v>
      </c>
      <c r="W25" s="590">
        <f t="shared" si="31"/>
        <v>-9.6682117943944377</v>
      </c>
      <c r="X25" s="590">
        <f t="shared" si="31"/>
        <v>-4.8663510302795316</v>
      </c>
      <c r="Y25" s="590">
        <f t="shared" si="31"/>
        <v>43.439420941774301</v>
      </c>
      <c r="Z25" s="590">
        <f t="shared" si="31"/>
        <v>0.82319524693014046</v>
      </c>
      <c r="AA25" s="590">
        <f t="shared" si="31"/>
        <v>-8.2089394553386796</v>
      </c>
      <c r="AB25" s="590">
        <f t="shared" si="31"/>
        <v>14.970703343553225</v>
      </c>
      <c r="AC25" s="590">
        <f t="shared" si="31"/>
        <v>53.802985980058679</v>
      </c>
      <c r="AD25" s="590">
        <f t="shared" si="31"/>
        <v>8.809245356786505</v>
      </c>
      <c r="AF25" s="590">
        <v>-15.877068486636063</v>
      </c>
      <c r="AK25" s="590">
        <f>+SUM(G25:J25)</f>
        <v>372.09999999999997</v>
      </c>
      <c r="AL25" s="590">
        <f>+SUM(K25:N25)</f>
        <v>355.79999999999973</v>
      </c>
      <c r="AM25" s="590">
        <f>+SUM(O25:R25)</f>
        <v>247.29999999999981</v>
      </c>
      <c r="AN25" s="590">
        <f>+AN20-AN23</f>
        <v>125.59999999999991</v>
      </c>
      <c r="AO25" s="590">
        <f>+SUM(W25:Z25)</f>
        <v>29.728053364030472</v>
      </c>
      <c r="AP25" s="590">
        <f>+SUM(AA25:AD25)</f>
        <v>69.37399522505973</v>
      </c>
      <c r="AQ25" s="590">
        <f t="shared" ref="AQ25:AV25" si="32">+AQ20-AQ23</f>
        <v>128.04769880045342</v>
      </c>
      <c r="AR25" s="590">
        <f t="shared" si="32"/>
        <v>176.08316713241129</v>
      </c>
      <c r="AS25" s="590">
        <f t="shared" si="32"/>
        <v>204.12098699983812</v>
      </c>
      <c r="AT25" s="590">
        <f t="shared" si="32"/>
        <v>229.99381136165812</v>
      </c>
      <c r="AU25" s="590">
        <f t="shared" si="32"/>
        <v>243.59175448578435</v>
      </c>
      <c r="AV25" s="590">
        <f t="shared" si="32"/>
        <v>253.30474361013194</v>
      </c>
    </row>
    <row r="26" spans="2:48" s="761" customFormat="1">
      <c r="B26" s="720" t="s">
        <v>715</v>
      </c>
      <c r="G26" s="756">
        <f t="shared" ref="G26:AD26" si="33">+G25/G6</f>
        <v>4.1791044776119453E-2</v>
      </c>
      <c r="H26" s="756">
        <f t="shared" si="33"/>
        <v>7.2857840061353915E-2</v>
      </c>
      <c r="I26" s="756">
        <f t="shared" si="33"/>
        <v>7.0130607609312889E-2</v>
      </c>
      <c r="J26" s="756">
        <f t="shared" si="33"/>
        <v>7.282698807474014E-2</v>
      </c>
      <c r="K26" s="756">
        <f t="shared" si="33"/>
        <v>2.9855224664316136E-2</v>
      </c>
      <c r="L26" s="756">
        <f t="shared" si="33"/>
        <v>4.8212622680707813E-2</v>
      </c>
      <c r="M26" s="756">
        <f t="shared" si="33"/>
        <v>6.5947242206234991E-2</v>
      </c>
      <c r="N26" s="756">
        <f t="shared" si="33"/>
        <v>9.8929117797042249E-2</v>
      </c>
      <c r="O26" s="756">
        <f t="shared" si="33"/>
        <v>4.0043057050592017E-2</v>
      </c>
      <c r="P26" s="756">
        <f t="shared" si="33"/>
        <v>5.6734965603964627E-2</v>
      </c>
      <c r="Q26" s="756">
        <f t="shared" si="33"/>
        <v>2.6892290408650536E-2</v>
      </c>
      <c r="R26" s="756">
        <f t="shared" si="33"/>
        <v>5.4576585574659317E-2</v>
      </c>
      <c r="S26" s="756">
        <f t="shared" si="33"/>
        <v>4.5243912713792342E-2</v>
      </c>
      <c r="T26" s="756">
        <f t="shared" si="33"/>
        <v>7.6012938372488945E-2</v>
      </c>
      <c r="U26" s="756">
        <f t="shared" si="33"/>
        <v>5.6144781144781088E-2</v>
      </c>
      <c r="V26" s="756">
        <f t="shared" si="33"/>
        <v>1.071281417387684E-3</v>
      </c>
      <c r="W26" s="756">
        <f t="shared" si="33"/>
        <v>-2.3285870755750147E-2</v>
      </c>
      <c r="X26" s="756">
        <f t="shared" si="33"/>
        <v>-9.0381341504937526E-3</v>
      </c>
      <c r="Y26" s="756">
        <f t="shared" si="33"/>
        <v>6.7239057239057112E-2</v>
      </c>
      <c r="Z26" s="756">
        <f t="shared" si="33"/>
        <v>1.0712814173876356E-3</v>
      </c>
      <c r="AA26" s="756">
        <f t="shared" si="33"/>
        <v>-1.3285870755750164E-2</v>
      </c>
      <c r="AB26" s="756">
        <f t="shared" si="33"/>
        <v>2.0961865849506153E-2</v>
      </c>
      <c r="AC26" s="756">
        <f t="shared" si="33"/>
        <v>7.7239057239057135E-2</v>
      </c>
      <c r="AD26" s="756">
        <f t="shared" si="33"/>
        <v>1.1071281417387672E-2</v>
      </c>
      <c r="AF26" s="756">
        <v>-2.3285870755750154E-2</v>
      </c>
      <c r="AK26" s="756">
        <f t="shared" ref="AK26:AV26" si="34">+AK25/AK6</f>
        <v>6.5078615527222466E-2</v>
      </c>
      <c r="AL26" s="756">
        <f t="shared" si="34"/>
        <v>6.2250682343061046E-2</v>
      </c>
      <c r="AM26" s="756">
        <f t="shared" si="34"/>
        <v>4.4388203830344773E-2</v>
      </c>
      <c r="AN26" s="756">
        <f t="shared" si="34"/>
        <v>2.6368827678871328E-2</v>
      </c>
      <c r="AO26" s="756">
        <f t="shared" si="34"/>
        <v>1.2553618783415987E-2</v>
      </c>
      <c r="AP26" s="756">
        <f t="shared" si="34"/>
        <v>2.4563085683735948E-2</v>
      </c>
      <c r="AQ26" s="756">
        <f t="shared" si="34"/>
        <v>4.2563085683735846E-2</v>
      </c>
      <c r="AR26" s="756">
        <f t="shared" si="34"/>
        <v>5.356308568373587E-2</v>
      </c>
      <c r="AS26" s="756">
        <f t="shared" si="34"/>
        <v>5.9563085683735938E-2</v>
      </c>
      <c r="AT26" s="756">
        <f t="shared" si="34"/>
        <v>6.4563085683735935E-2</v>
      </c>
      <c r="AU26" s="756">
        <f t="shared" si="34"/>
        <v>6.4563085683735866E-2</v>
      </c>
      <c r="AV26" s="756">
        <f t="shared" si="34"/>
        <v>6.4563085683735866E-2</v>
      </c>
    </row>
    <row r="27" spans="2:48" s="761" customFormat="1">
      <c r="B27" s="717" t="s">
        <v>716</v>
      </c>
      <c r="G27" s="756"/>
      <c r="H27" s="756"/>
      <c r="I27" s="756"/>
      <c r="J27" s="756"/>
      <c r="K27" s="757">
        <f t="shared" ref="K27:U27" si="35">+K26-G26</f>
        <v>-1.1935820111803316E-2</v>
      </c>
      <c r="L27" s="757">
        <f t="shared" si="35"/>
        <v>-2.4645217380646102E-2</v>
      </c>
      <c r="M27" s="757">
        <f t="shared" si="35"/>
        <v>-4.1833654030778988E-3</v>
      </c>
      <c r="N27" s="757">
        <f t="shared" si="35"/>
        <v>2.6102129722302109E-2</v>
      </c>
      <c r="O27" s="757">
        <f t="shared" si="35"/>
        <v>1.018783238627588E-2</v>
      </c>
      <c r="P27" s="757">
        <f t="shared" si="35"/>
        <v>8.5223429232568135E-3</v>
      </c>
      <c r="Q27" s="757">
        <f t="shared" si="35"/>
        <v>-3.9054951797584454E-2</v>
      </c>
      <c r="R27" s="757">
        <f t="shared" si="35"/>
        <v>-4.4352532222382932E-2</v>
      </c>
      <c r="S27" s="757">
        <f t="shared" si="35"/>
        <v>5.2008556632003253E-3</v>
      </c>
      <c r="T27" s="757">
        <f t="shared" si="35"/>
        <v>1.9277972768524318E-2</v>
      </c>
      <c r="U27" s="757">
        <f t="shared" si="35"/>
        <v>2.9252490736130551E-2</v>
      </c>
      <c r="V27" s="757"/>
      <c r="W27" s="756"/>
      <c r="X27" s="756"/>
      <c r="Y27" s="756"/>
      <c r="Z27" s="756"/>
      <c r="AA27" s="756"/>
      <c r="AB27" s="756"/>
      <c r="AC27" s="756"/>
      <c r="AD27" s="756"/>
      <c r="AF27" s="756"/>
      <c r="AK27" s="756"/>
      <c r="AL27" s="757">
        <f t="shared" ref="AL27:AV27" si="36">+AL26-AK26</f>
        <v>-2.82793318416142E-3</v>
      </c>
      <c r="AM27" s="757">
        <f t="shared" si="36"/>
        <v>-1.7862478512716273E-2</v>
      </c>
      <c r="AN27" s="757">
        <f t="shared" si="36"/>
        <v>-1.8019376151473445E-2</v>
      </c>
      <c r="AO27" s="757">
        <f t="shared" si="36"/>
        <v>-1.3815208895455341E-2</v>
      </c>
      <c r="AP27" s="757">
        <f t="shared" si="36"/>
        <v>1.2009466900319961E-2</v>
      </c>
      <c r="AQ27" s="757">
        <f t="shared" si="36"/>
        <v>1.7999999999999898E-2</v>
      </c>
      <c r="AR27" s="757">
        <f t="shared" si="36"/>
        <v>1.1000000000000024E-2</v>
      </c>
      <c r="AS27" s="757">
        <f t="shared" si="36"/>
        <v>6.0000000000000678E-3</v>
      </c>
      <c r="AT27" s="757">
        <f t="shared" si="36"/>
        <v>4.9999999999999975E-3</v>
      </c>
      <c r="AU27" s="757">
        <f t="shared" si="36"/>
        <v>0</v>
      </c>
      <c r="AV27" s="757">
        <f t="shared" si="36"/>
        <v>0</v>
      </c>
    </row>
    <row r="28" spans="2:48" s="85" customFormat="1">
      <c r="B28" s="602"/>
      <c r="G28" s="590"/>
      <c r="H28" s="590"/>
      <c r="I28" s="590"/>
      <c r="J28" s="590"/>
      <c r="K28" s="590"/>
      <c r="L28" s="590"/>
      <c r="M28" s="590"/>
      <c r="N28" s="590"/>
      <c r="O28" s="601"/>
      <c r="P28" s="601"/>
      <c r="Q28" s="601"/>
      <c r="R28" s="601"/>
      <c r="S28" s="601"/>
      <c r="T28" s="601"/>
      <c r="U28" s="601"/>
      <c r="V28" s="601"/>
      <c r="W28" s="590"/>
      <c r="X28" s="590"/>
      <c r="Y28" s="590"/>
      <c r="Z28" s="590"/>
      <c r="AA28" s="590"/>
      <c r="AB28" s="590"/>
      <c r="AC28" s="590"/>
      <c r="AD28" s="590"/>
      <c r="AF28" s="590"/>
      <c r="AK28" s="590"/>
      <c r="AL28" s="590"/>
      <c r="AM28" s="590"/>
      <c r="AN28" s="601"/>
      <c r="AO28" s="590"/>
      <c r="AP28" s="590"/>
      <c r="AQ28" s="590"/>
      <c r="AR28" s="590"/>
      <c r="AS28" s="590"/>
      <c r="AT28" s="590"/>
      <c r="AU28" s="590"/>
      <c r="AV28" s="590"/>
    </row>
    <row r="29" spans="2:48" s="85" customFormat="1">
      <c r="B29" s="602" t="s">
        <v>717</v>
      </c>
      <c r="G29" s="604">
        <f t="shared" ref="G29:AD29" si="37">+G30+G32+G33</f>
        <v>28.700000000000003</v>
      </c>
      <c r="H29" s="604">
        <f t="shared" si="37"/>
        <v>27.900000000000002</v>
      </c>
      <c r="I29" s="604">
        <f t="shared" si="37"/>
        <v>27</v>
      </c>
      <c r="J29" s="604">
        <f t="shared" si="37"/>
        <v>36.099999999999994</v>
      </c>
      <c r="K29" s="604">
        <f t="shared" si="37"/>
        <v>30.400000000000002</v>
      </c>
      <c r="L29" s="604">
        <f t="shared" si="37"/>
        <v>33</v>
      </c>
      <c r="M29" s="604">
        <f t="shared" si="37"/>
        <v>31.4</v>
      </c>
      <c r="N29" s="604">
        <f t="shared" si="37"/>
        <v>31.199999999999996</v>
      </c>
      <c r="O29" s="604">
        <f t="shared" si="37"/>
        <v>32</v>
      </c>
      <c r="P29" s="604">
        <f t="shared" si="37"/>
        <v>33.9</v>
      </c>
      <c r="Q29" s="604">
        <f t="shared" si="37"/>
        <v>27</v>
      </c>
      <c r="R29" s="604">
        <f t="shared" si="37"/>
        <v>27.1</v>
      </c>
      <c r="S29" s="604">
        <f t="shared" si="37"/>
        <v>33.5</v>
      </c>
      <c r="T29" s="604">
        <f t="shared" si="37"/>
        <v>29.2</v>
      </c>
      <c r="U29" s="604">
        <f t="shared" si="37"/>
        <v>38</v>
      </c>
      <c r="V29" s="604">
        <f t="shared" si="37"/>
        <v>30.79999999999999</v>
      </c>
      <c r="W29" s="636">
        <f t="shared" si="37"/>
        <v>29.974999999999998</v>
      </c>
      <c r="X29" s="636">
        <f t="shared" si="37"/>
        <v>29.593749999999996</v>
      </c>
      <c r="Y29" s="636">
        <f t="shared" si="37"/>
        <v>29.692187499999996</v>
      </c>
      <c r="Z29" s="636">
        <f t="shared" si="37"/>
        <v>29.640234374999991</v>
      </c>
      <c r="AA29" s="636">
        <f t="shared" si="37"/>
        <v>29.725292968749997</v>
      </c>
      <c r="AB29" s="636">
        <f t="shared" si="37"/>
        <v>29.662866210937491</v>
      </c>
      <c r="AC29" s="636">
        <f t="shared" si="37"/>
        <v>29.680145263671868</v>
      </c>
      <c r="AD29" s="636">
        <f t="shared" si="37"/>
        <v>29.677134704589836</v>
      </c>
      <c r="AF29" s="636">
        <v>29.974999999999998</v>
      </c>
      <c r="AK29" s="604">
        <f>+SUM(G29:J29)</f>
        <v>119.7</v>
      </c>
      <c r="AL29" s="604">
        <f>+SUM(K29:N29)</f>
        <v>126</v>
      </c>
      <c r="AM29" s="604">
        <f>+SUM(O29:R29)</f>
        <v>120</v>
      </c>
      <c r="AN29" s="604">
        <f>+AN30+AN32+AN33</f>
        <v>131.5</v>
      </c>
      <c r="AO29" s="604">
        <f>+SUM(W29:Z29)</f>
        <v>118.90117187499997</v>
      </c>
      <c r="AP29" s="604">
        <f>+SUM(AA29:AD29)</f>
        <v>118.74543914794918</v>
      </c>
      <c r="AQ29" s="636">
        <f t="shared" ref="AQ29:AV29" si="38">+AQ30+AQ32+AQ33</f>
        <v>119.2116527557373</v>
      </c>
      <c r="AR29" s="636">
        <f t="shared" si="38"/>
        <v>119.18956594467163</v>
      </c>
      <c r="AS29" s="636">
        <f t="shared" si="38"/>
        <v>119.01195743083953</v>
      </c>
      <c r="AT29" s="636">
        <f t="shared" si="38"/>
        <v>119.03965381979944</v>
      </c>
      <c r="AU29" s="636">
        <f t="shared" si="38"/>
        <v>119.11320748776197</v>
      </c>
      <c r="AV29" s="636">
        <f t="shared" si="38"/>
        <v>119.08859617076814</v>
      </c>
    </row>
    <row r="30" spans="2:48">
      <c r="B30" s="597" t="s">
        <v>718</v>
      </c>
      <c r="G30" s="592">
        <v>32.700000000000003</v>
      </c>
      <c r="H30" s="592">
        <v>33.200000000000003</v>
      </c>
      <c r="I30" s="592">
        <v>34.4</v>
      </c>
      <c r="J30" s="592">
        <v>36.299999999999997</v>
      </c>
      <c r="K30" s="592">
        <v>35.1</v>
      </c>
      <c r="L30" s="592">
        <v>36.1</v>
      </c>
      <c r="M30" s="592">
        <v>34.799999999999997</v>
      </c>
      <c r="N30" s="592">
        <v>34.799999999999997</v>
      </c>
      <c r="O30" s="592">
        <v>36.200000000000003</v>
      </c>
      <c r="P30" s="592">
        <v>34.5</v>
      </c>
      <c r="Q30" s="592">
        <v>31.3</v>
      </c>
      <c r="R30" s="592">
        <v>32.6</v>
      </c>
      <c r="S30" s="592">
        <v>33.200000000000003</v>
      </c>
      <c r="T30" s="592">
        <v>30.7</v>
      </c>
      <c r="U30" s="592">
        <v>32</v>
      </c>
      <c r="V30" s="593">
        <f>+AN30-SUM(S30:U30)</f>
        <v>31.699999999999989</v>
      </c>
      <c r="W30" s="598">
        <f t="shared" ref="W30:AD30" si="39">+AVERAGE(S30:V30)</f>
        <v>31.9</v>
      </c>
      <c r="X30" s="598">
        <f t="shared" si="39"/>
        <v>31.574999999999996</v>
      </c>
      <c r="Y30" s="598">
        <f t="shared" si="39"/>
        <v>31.793749999999996</v>
      </c>
      <c r="Z30" s="598">
        <f t="shared" si="39"/>
        <v>31.742187499999993</v>
      </c>
      <c r="AA30" s="598">
        <f t="shared" si="39"/>
        <v>31.752734374999996</v>
      </c>
      <c r="AB30" s="598">
        <f t="shared" si="39"/>
        <v>31.715917968749991</v>
      </c>
      <c r="AC30" s="598">
        <f t="shared" si="39"/>
        <v>31.751147460937492</v>
      </c>
      <c r="AD30" s="598">
        <f t="shared" si="39"/>
        <v>31.740496826171867</v>
      </c>
      <c r="AF30" s="598">
        <v>31.9</v>
      </c>
      <c r="AK30" s="593">
        <f>+SUM(G30:J30)</f>
        <v>136.60000000000002</v>
      </c>
      <c r="AL30" s="593">
        <f>+SUM(K30:N30)</f>
        <v>140.80000000000001</v>
      </c>
      <c r="AM30" s="593">
        <f>+SUM(O30:R30)</f>
        <v>134.6</v>
      </c>
      <c r="AN30" s="592">
        <v>127.6</v>
      </c>
      <c r="AO30" s="593">
        <f>+SUM(W30:Z30)</f>
        <v>127.01093749999998</v>
      </c>
      <c r="AP30" s="593">
        <f>+SUM(AA30:AD30)</f>
        <v>126.96029663085935</v>
      </c>
      <c r="AQ30" s="598">
        <f t="shared" ref="AQ30:AV30" si="40">+AVERAGE(AM30:AP30)</f>
        <v>129.04280853271484</v>
      </c>
      <c r="AR30" s="598">
        <f t="shared" si="40"/>
        <v>127.65351066589355</v>
      </c>
      <c r="AS30" s="598">
        <f t="shared" si="40"/>
        <v>127.66688833236694</v>
      </c>
      <c r="AT30" s="598">
        <f t="shared" si="40"/>
        <v>127.83087604045869</v>
      </c>
      <c r="AU30" s="598">
        <f t="shared" si="40"/>
        <v>128.04852089285851</v>
      </c>
      <c r="AV30" s="598">
        <f t="shared" si="40"/>
        <v>127.79994898289442</v>
      </c>
    </row>
    <row r="31" spans="2:48" s="617" customFormat="1" ht="12">
      <c r="B31" s="762" t="s">
        <v>719</v>
      </c>
      <c r="G31" s="757">
        <f>+G30/'Avon Bce'!G59</f>
        <v>1.4769647696476967E-2</v>
      </c>
      <c r="H31" s="757">
        <f>+H30/'Avon Bce'!H59</f>
        <v>1.5170901114969841E-2</v>
      </c>
      <c r="I31" s="757">
        <f>+I30/'Avon Bce'!I59</f>
        <v>1.4712800992258669E-2</v>
      </c>
      <c r="J31" s="757">
        <f>+J30/'Avon Bce'!J59</f>
        <v>1.9166798669412323E-2</v>
      </c>
      <c r="K31" s="757">
        <f>+K30/'Avon Bce'!K59</f>
        <v>1.8522427440633246E-2</v>
      </c>
      <c r="L31" s="757">
        <f>+L30/'Avon Bce'!L59</f>
        <v>1.913292346830613E-2</v>
      </c>
      <c r="M31" s="757">
        <f>+M30/'Avon Bce'!M59</f>
        <v>1.842147054152771E-2</v>
      </c>
      <c r="N31" s="757">
        <f>+N30/'Avon Bce'!N59</f>
        <v>1.8336055640444701E-2</v>
      </c>
      <c r="O31" s="757">
        <f>+O30/'Avon Bce'!O59</f>
        <v>1.9048621342875188E-2</v>
      </c>
      <c r="P31" s="757">
        <f>+P30/'Avon Bce'!P59</f>
        <v>2.1007124155148268E-2</v>
      </c>
      <c r="Q31" s="757">
        <f>+Q30/'Avon Bce'!Q59</f>
        <v>1.9003096351162652E-2</v>
      </c>
      <c r="R31" s="757">
        <f>+R30/'Avon Bce'!R59</f>
        <v>2.0456827309236949E-2</v>
      </c>
      <c r="S31" s="757">
        <f>+S30/'Avon Bce'!S59</f>
        <v>2.0471081514366753E-2</v>
      </c>
      <c r="T31" s="757">
        <f>+T30/'Avon Bce'!T59</f>
        <v>1.924161704794735E-2</v>
      </c>
      <c r="U31" s="757">
        <f>+U30/'Avon Bce'!U59</f>
        <v>1.8765026681522315E-2</v>
      </c>
      <c r="V31" s="757" t="e">
        <f>+V30/'Avon Bce'!V59</f>
        <v>#DIV/0!</v>
      </c>
      <c r="W31" s="746"/>
      <c r="X31" s="746"/>
      <c r="Y31" s="746"/>
      <c r="Z31" s="746"/>
      <c r="AA31" s="746"/>
      <c r="AB31" s="746"/>
      <c r="AC31" s="746"/>
      <c r="AD31" s="746"/>
      <c r="AF31" s="746"/>
      <c r="AK31" s="757">
        <f>+AK30/'Avon Bce'!AF59</f>
        <v>7.2126300227044735E-2</v>
      </c>
      <c r="AL31" s="757">
        <f>+AL30/'Avon Bce'!AG59</f>
        <v>7.4187259602718797E-2</v>
      </c>
      <c r="AM31" s="757">
        <f>+AM30/'Avon Bce'!AH59</f>
        <v>8.4462851405622486E-2</v>
      </c>
      <c r="AN31" s="757">
        <f>+AN30/'Avon Bce'!AI59</f>
        <v>7.482554389257022E-2</v>
      </c>
      <c r="AO31" s="757"/>
      <c r="AP31" s="757"/>
      <c r="AQ31" s="746"/>
      <c r="AR31" s="746"/>
      <c r="AS31" s="746"/>
      <c r="AT31" s="746"/>
      <c r="AU31" s="746"/>
      <c r="AV31" s="746"/>
    </row>
    <row r="32" spans="2:48">
      <c r="B32" s="597" t="s">
        <v>720</v>
      </c>
      <c r="G32" s="592">
        <v>0</v>
      </c>
      <c r="H32" s="592">
        <v>0</v>
      </c>
      <c r="I32" s="592">
        <v>-3.9</v>
      </c>
      <c r="J32" s="592">
        <v>2.8</v>
      </c>
      <c r="K32" s="592">
        <v>0</v>
      </c>
      <c r="L32" s="592">
        <v>0</v>
      </c>
      <c r="M32" s="592">
        <v>0</v>
      </c>
      <c r="N32" s="592">
        <v>0</v>
      </c>
      <c r="O32" s="592">
        <v>0</v>
      </c>
      <c r="P32" s="592">
        <v>2.9</v>
      </c>
      <c r="Q32" s="592">
        <v>0</v>
      </c>
      <c r="R32" s="592">
        <v>-2.2000000000000002</v>
      </c>
      <c r="S32" s="592">
        <v>2</v>
      </c>
      <c r="T32" s="592">
        <v>0</v>
      </c>
      <c r="U32" s="592">
        <v>8.1</v>
      </c>
      <c r="V32" s="593">
        <f>+AN32-SUM(S32:U32)</f>
        <v>1.5</v>
      </c>
      <c r="W32" s="598">
        <v>0</v>
      </c>
      <c r="X32" s="598">
        <v>0</v>
      </c>
      <c r="Y32" s="598">
        <v>0</v>
      </c>
      <c r="Z32" s="598">
        <v>0</v>
      </c>
      <c r="AA32" s="598">
        <v>0</v>
      </c>
      <c r="AB32" s="598">
        <v>0</v>
      </c>
      <c r="AC32" s="598">
        <v>0</v>
      </c>
      <c r="AD32" s="598">
        <v>0</v>
      </c>
      <c r="AF32" s="598">
        <v>0</v>
      </c>
      <c r="AK32" s="593">
        <f>+SUM(G32:J32)</f>
        <v>-1.1000000000000001</v>
      </c>
      <c r="AL32" s="593">
        <f>+SUM(K32:N32)</f>
        <v>0</v>
      </c>
      <c r="AM32" s="593">
        <f>+SUM(O32:R32)</f>
        <v>0.69999999999999973</v>
      </c>
      <c r="AN32" s="592">
        <v>11.6</v>
      </c>
      <c r="AO32" s="593">
        <f>+SUM(W32:Z32)</f>
        <v>0</v>
      </c>
      <c r="AP32" s="593">
        <f>+SUM(AA32:AD32)</f>
        <v>0</v>
      </c>
      <c r="AQ32" s="598">
        <v>0</v>
      </c>
      <c r="AR32" s="598">
        <v>0</v>
      </c>
      <c r="AS32" s="598">
        <v>0</v>
      </c>
      <c r="AT32" s="598">
        <v>0</v>
      </c>
      <c r="AU32" s="598">
        <v>0</v>
      </c>
      <c r="AV32" s="598">
        <v>0</v>
      </c>
    </row>
    <row r="33" spans="2:48">
      <c r="B33" s="597" t="s">
        <v>721</v>
      </c>
      <c r="G33" s="592">
        <v>-4</v>
      </c>
      <c r="H33" s="592">
        <v>-5.3</v>
      </c>
      <c r="I33" s="592">
        <v>-3.5</v>
      </c>
      <c r="J33" s="592">
        <v>-3</v>
      </c>
      <c r="K33" s="592">
        <v>-4.7</v>
      </c>
      <c r="L33" s="592">
        <v>-3.1</v>
      </c>
      <c r="M33" s="592">
        <v>-3.4</v>
      </c>
      <c r="N33" s="592">
        <v>-3.6</v>
      </c>
      <c r="O33" s="592">
        <v>-4.2</v>
      </c>
      <c r="P33" s="592">
        <v>-3.5</v>
      </c>
      <c r="Q33" s="592">
        <v>-4.3</v>
      </c>
      <c r="R33" s="592">
        <v>-3.3</v>
      </c>
      <c r="S33" s="592">
        <v>-1.7</v>
      </c>
      <c r="T33" s="592">
        <v>-1.5</v>
      </c>
      <c r="U33" s="592">
        <v>-2.1</v>
      </c>
      <c r="V33" s="593">
        <f>+AN33-SUM(S33:U33)</f>
        <v>-2.3999999999999995</v>
      </c>
      <c r="W33" s="598">
        <f t="shared" ref="W33:AD33" si="41">+AVERAGE(S33:V33)</f>
        <v>-1.925</v>
      </c>
      <c r="X33" s="598">
        <f t="shared" si="41"/>
        <v>-1.98125</v>
      </c>
      <c r="Y33" s="598">
        <f t="shared" si="41"/>
        <v>-2.1015625</v>
      </c>
      <c r="Z33" s="598">
        <f t="shared" si="41"/>
        <v>-2.1019531249999996</v>
      </c>
      <c r="AA33" s="598">
        <f t="shared" si="41"/>
        <v>-2.0274414062499999</v>
      </c>
      <c r="AB33" s="598">
        <f t="shared" si="41"/>
        <v>-2.0530517578124998</v>
      </c>
      <c r="AC33" s="598">
        <f t="shared" si="41"/>
        <v>-2.0710021972656252</v>
      </c>
      <c r="AD33" s="598">
        <f t="shared" si="41"/>
        <v>-2.0633621215820313</v>
      </c>
      <c r="AF33" s="598">
        <v>-1.925</v>
      </c>
      <c r="AK33" s="593">
        <f>+SUM(G33:J33)</f>
        <v>-15.8</v>
      </c>
      <c r="AL33" s="593">
        <f>+SUM(K33:N33)</f>
        <v>-14.8</v>
      </c>
      <c r="AM33" s="593">
        <f>+SUM(O33:R33)</f>
        <v>-15.3</v>
      </c>
      <c r="AN33" s="592">
        <v>-7.7</v>
      </c>
      <c r="AO33" s="593">
        <f>+SUM(W33:Z33)</f>
        <v>-8.1097656249999996</v>
      </c>
      <c r="AP33" s="593">
        <f>+SUM(AA33:AD33)</f>
        <v>-8.2148574829101548</v>
      </c>
      <c r="AQ33" s="598">
        <f t="shared" ref="AQ33:AV33" si="42">+AVERAGE(AM33:AP33)</f>
        <v>-9.8311557769775391</v>
      </c>
      <c r="AR33" s="598">
        <f t="shared" si="42"/>
        <v>-8.4639447212219245</v>
      </c>
      <c r="AS33" s="598">
        <f t="shared" si="42"/>
        <v>-8.6549309015274041</v>
      </c>
      <c r="AT33" s="598">
        <f t="shared" si="42"/>
        <v>-8.7912222206592556</v>
      </c>
      <c r="AU33" s="598">
        <f t="shared" si="42"/>
        <v>-8.9353134050965313</v>
      </c>
      <c r="AV33" s="598">
        <f t="shared" si="42"/>
        <v>-8.7113528121262789</v>
      </c>
    </row>
    <row r="34" spans="2:48">
      <c r="B34" s="597"/>
      <c r="G34" s="592"/>
      <c r="H34" s="592"/>
      <c r="I34" s="592"/>
      <c r="J34" s="592"/>
      <c r="K34" s="592"/>
      <c r="L34" s="592"/>
      <c r="M34" s="592"/>
      <c r="N34" s="592"/>
      <c r="O34" s="592"/>
      <c r="P34" s="592"/>
      <c r="Q34" s="592"/>
      <c r="R34" s="592"/>
      <c r="S34" s="592"/>
      <c r="T34" s="592"/>
      <c r="U34" s="592"/>
      <c r="V34" s="593"/>
      <c r="W34" s="598"/>
      <c r="X34" s="598"/>
      <c r="Y34" s="598"/>
      <c r="Z34" s="598"/>
      <c r="AA34" s="598"/>
      <c r="AB34" s="598"/>
      <c r="AC34" s="598"/>
      <c r="AD34" s="598"/>
      <c r="AF34" s="598"/>
      <c r="AK34" s="593"/>
      <c r="AL34" s="593"/>
      <c r="AM34" s="593"/>
      <c r="AN34" s="592"/>
      <c r="AO34" s="593"/>
      <c r="AP34" s="593"/>
      <c r="AQ34" s="598"/>
      <c r="AR34" s="598"/>
      <c r="AS34" s="598"/>
      <c r="AT34" s="598"/>
      <c r="AU34" s="598"/>
      <c r="AV34" s="598"/>
    </row>
    <row r="35" spans="2:48">
      <c r="B35" s="597" t="s">
        <v>722</v>
      </c>
      <c r="G35" s="592">
        <v>137.19999999999999</v>
      </c>
      <c r="H35" s="592">
        <v>-4.7</v>
      </c>
      <c r="I35" s="592">
        <v>10.4</v>
      </c>
      <c r="J35" s="592">
        <v>28.1</v>
      </c>
      <c r="K35" s="592">
        <v>6.1</v>
      </c>
      <c r="L35" s="592">
        <v>11.9</v>
      </c>
      <c r="M35" s="592">
        <v>7.9</v>
      </c>
      <c r="N35" s="592">
        <v>8.6999999999999993</v>
      </c>
      <c r="O35" s="592">
        <v>2.5</v>
      </c>
      <c r="P35" s="592">
        <v>19.399999999999999</v>
      </c>
      <c r="Q35" s="592">
        <v>-22.2</v>
      </c>
      <c r="R35" s="592">
        <v>7.4</v>
      </c>
      <c r="S35" s="592">
        <v>-22.6</v>
      </c>
      <c r="T35" s="592">
        <v>-6.8</v>
      </c>
      <c r="U35" s="592">
        <v>-57.9</v>
      </c>
      <c r="V35" s="593">
        <f>+AN35-SUM(S35:U35)</f>
        <v>-6.9000000000000057</v>
      </c>
      <c r="W35" s="598">
        <v>0</v>
      </c>
      <c r="X35" s="598">
        <v>0</v>
      </c>
      <c r="Y35" s="598">
        <v>0</v>
      </c>
      <c r="Z35" s="598">
        <v>0</v>
      </c>
      <c r="AA35" s="598">
        <v>0</v>
      </c>
      <c r="AB35" s="598">
        <v>0</v>
      </c>
      <c r="AC35" s="598">
        <v>0</v>
      </c>
      <c r="AD35" s="598">
        <v>0</v>
      </c>
      <c r="AF35" s="598">
        <v>0</v>
      </c>
      <c r="AK35" s="593">
        <f>+SUM(G35:J35)</f>
        <v>171</v>
      </c>
      <c r="AL35" s="593">
        <f>+SUM(K35:N35)</f>
        <v>34.599999999999994</v>
      </c>
      <c r="AM35" s="593">
        <f>+SUM(O35:R35)</f>
        <v>7.1</v>
      </c>
      <c r="AN35" s="592">
        <v>-94.2</v>
      </c>
      <c r="AO35" s="593">
        <f>+SUM(W35:Z35)</f>
        <v>0</v>
      </c>
      <c r="AP35" s="593">
        <f>+SUM(AA35:AD35)</f>
        <v>0</v>
      </c>
      <c r="AQ35" s="598">
        <v>0</v>
      </c>
      <c r="AR35" s="598">
        <v>0</v>
      </c>
      <c r="AS35" s="598">
        <v>0</v>
      </c>
      <c r="AT35" s="598">
        <v>0</v>
      </c>
      <c r="AU35" s="598">
        <v>0</v>
      </c>
      <c r="AV35" s="598">
        <v>0</v>
      </c>
    </row>
    <row r="36" spans="2:48">
      <c r="B36" s="597" t="s">
        <v>723</v>
      </c>
      <c r="G36" s="592">
        <v>0</v>
      </c>
      <c r="H36" s="592">
        <v>0</v>
      </c>
      <c r="I36" s="592">
        <v>0</v>
      </c>
      <c r="J36" s="592">
        <v>0</v>
      </c>
      <c r="K36" s="592">
        <v>0</v>
      </c>
      <c r="L36" s="592">
        <v>0</v>
      </c>
      <c r="M36" s="592">
        <v>0</v>
      </c>
      <c r="N36" s="592">
        <v>0</v>
      </c>
      <c r="O36" s="592">
        <v>0</v>
      </c>
      <c r="P36" s="592">
        <v>0</v>
      </c>
      <c r="Q36" s="592">
        <v>0</v>
      </c>
      <c r="R36" s="592">
        <v>0</v>
      </c>
      <c r="S36" s="592">
        <v>-10.3</v>
      </c>
      <c r="T36" s="592">
        <v>-13.2</v>
      </c>
      <c r="U36" s="592">
        <v>-26.8</v>
      </c>
      <c r="V36" s="593">
        <f>+AN36-SUM(S36:U36)</f>
        <v>0.19999999999999574</v>
      </c>
      <c r="W36" s="598">
        <v>0</v>
      </c>
      <c r="X36" s="598">
        <v>0</v>
      </c>
      <c r="Y36" s="598">
        <v>0</v>
      </c>
      <c r="Z36" s="598">
        <v>0</v>
      </c>
      <c r="AA36" s="598">
        <v>0</v>
      </c>
      <c r="AB36" s="598">
        <v>0</v>
      </c>
      <c r="AC36" s="598">
        <v>0</v>
      </c>
      <c r="AD36" s="598">
        <v>0</v>
      </c>
      <c r="AF36" s="598">
        <v>0</v>
      </c>
      <c r="AK36" s="593">
        <f>+SUM(G36:J36)</f>
        <v>0</v>
      </c>
      <c r="AL36" s="593">
        <f>+SUM(K36:N36)</f>
        <v>0</v>
      </c>
      <c r="AM36" s="593">
        <f>+SUM(O36:R36)</f>
        <v>0</v>
      </c>
      <c r="AN36" s="592">
        <v>-50.1</v>
      </c>
      <c r="AO36" s="593">
        <f>+SUM(W36:Z36)</f>
        <v>0</v>
      </c>
      <c r="AP36" s="593">
        <f>+SUM(AA36:AD36)</f>
        <v>0</v>
      </c>
      <c r="AQ36" s="598">
        <v>0</v>
      </c>
      <c r="AR36" s="598">
        <v>0</v>
      </c>
      <c r="AS36" s="598">
        <v>0</v>
      </c>
      <c r="AT36" s="598">
        <v>0</v>
      </c>
      <c r="AU36" s="598">
        <v>0</v>
      </c>
      <c r="AV36" s="598">
        <v>0</v>
      </c>
    </row>
    <row r="37" spans="2:48">
      <c r="B37" s="597"/>
      <c r="G37" s="593"/>
      <c r="H37" s="593"/>
      <c r="I37" s="593"/>
      <c r="J37" s="593"/>
      <c r="K37" s="593"/>
      <c r="L37" s="593"/>
      <c r="M37" s="593"/>
      <c r="N37" s="593"/>
      <c r="O37" s="593"/>
      <c r="P37" s="593"/>
      <c r="Q37" s="593"/>
      <c r="R37" s="593"/>
      <c r="S37" s="593"/>
      <c r="T37" s="593"/>
      <c r="U37" s="593"/>
      <c r="V37" s="593"/>
      <c r="W37" s="593"/>
      <c r="X37" s="593"/>
      <c r="Y37" s="593"/>
      <c r="Z37" s="593"/>
      <c r="AA37" s="593"/>
      <c r="AB37" s="593"/>
      <c r="AC37" s="593"/>
      <c r="AD37" s="593"/>
      <c r="AF37" s="593"/>
      <c r="AK37" s="593"/>
      <c r="AL37" s="593"/>
      <c r="AM37" s="593"/>
      <c r="AN37" s="593"/>
      <c r="AO37" s="593"/>
      <c r="AP37" s="593"/>
      <c r="AQ37" s="593"/>
      <c r="AR37" s="593"/>
      <c r="AS37" s="593"/>
      <c r="AT37" s="593"/>
      <c r="AU37" s="593"/>
      <c r="AV37" s="593"/>
    </row>
    <row r="38" spans="2:48">
      <c r="B38" s="591"/>
      <c r="G38" s="593"/>
      <c r="H38" s="593"/>
      <c r="I38" s="593"/>
      <c r="J38" s="593"/>
      <c r="K38" s="593"/>
      <c r="L38" s="593"/>
      <c r="M38" s="593"/>
      <c r="N38" s="593"/>
      <c r="O38" s="593"/>
      <c r="P38" s="593"/>
      <c r="Q38" s="593"/>
      <c r="R38" s="593"/>
      <c r="S38" s="593"/>
      <c r="T38" s="593"/>
      <c r="U38" s="593"/>
      <c r="V38" s="593"/>
      <c r="W38" s="593"/>
      <c r="X38" s="593"/>
      <c r="Y38" s="593"/>
      <c r="Z38" s="593"/>
      <c r="AA38" s="593"/>
      <c r="AB38" s="593"/>
      <c r="AC38" s="593"/>
      <c r="AD38" s="593"/>
      <c r="AF38" s="593"/>
      <c r="AK38" s="593"/>
      <c r="AL38" s="593"/>
      <c r="AM38" s="593"/>
      <c r="AN38" s="593"/>
      <c r="AO38" s="593"/>
      <c r="AP38" s="593"/>
      <c r="AQ38" s="593"/>
      <c r="AR38" s="593"/>
      <c r="AS38" s="593"/>
      <c r="AT38" s="593"/>
      <c r="AU38" s="593"/>
      <c r="AV38" s="593"/>
    </row>
    <row r="39" spans="2:48" s="85" customFormat="1">
      <c r="B39" s="588" t="s">
        <v>130</v>
      </c>
      <c r="G39" s="590">
        <f t="shared" ref="G39:AD39" si="43">+G20-G29-G35-G36</f>
        <v>-158.09999999999991</v>
      </c>
      <c r="H39" s="590">
        <f t="shared" si="43"/>
        <v>71.899999999999906</v>
      </c>
      <c r="I39" s="590">
        <f t="shared" si="43"/>
        <v>74.599999999999994</v>
      </c>
      <c r="J39" s="590">
        <f t="shared" si="43"/>
        <v>42.800000000000004</v>
      </c>
      <c r="K39" s="590">
        <f t="shared" si="43"/>
        <v>-6.7000000000001609</v>
      </c>
      <c r="L39" s="590">
        <f t="shared" si="43"/>
        <v>-12.199999999999955</v>
      </c>
      <c r="M39" s="590">
        <f t="shared" si="43"/>
        <v>47.999999999999957</v>
      </c>
      <c r="N39" s="590">
        <f t="shared" si="43"/>
        <v>91.599999999999895</v>
      </c>
      <c r="O39" s="590">
        <f t="shared" si="43"/>
        <v>10.399999999999977</v>
      </c>
      <c r="P39" s="590">
        <f t="shared" si="43"/>
        <v>-0.30000000000022453</v>
      </c>
      <c r="Q39" s="590">
        <f t="shared" si="43"/>
        <v>182.10000000000008</v>
      </c>
      <c r="R39" s="590">
        <f t="shared" si="43"/>
        <v>-84.100000000000023</v>
      </c>
      <c r="S39" s="590">
        <f t="shared" si="43"/>
        <v>-4.4999999999998614</v>
      </c>
      <c r="T39" s="590">
        <f t="shared" si="43"/>
        <v>21.3</v>
      </c>
      <c r="U39" s="590">
        <f t="shared" si="43"/>
        <v>144.39999999999995</v>
      </c>
      <c r="V39" s="590">
        <f t="shared" si="43"/>
        <v>-22.800000000000026</v>
      </c>
      <c r="W39" s="590">
        <f t="shared" si="43"/>
        <v>-39.643211794394432</v>
      </c>
      <c r="X39" s="590">
        <f t="shared" si="43"/>
        <v>-34.460101030279532</v>
      </c>
      <c r="Y39" s="590">
        <f t="shared" si="43"/>
        <v>13.747233441774306</v>
      </c>
      <c r="Z39" s="590">
        <f t="shared" si="43"/>
        <v>-28.817039128069851</v>
      </c>
      <c r="AA39" s="590">
        <f t="shared" si="43"/>
        <v>-37.934232424088677</v>
      </c>
      <c r="AB39" s="590">
        <f t="shared" si="43"/>
        <v>-14.692162867384265</v>
      </c>
      <c r="AC39" s="590">
        <f t="shared" si="43"/>
        <v>24.122840716386811</v>
      </c>
      <c r="AD39" s="590">
        <f t="shared" si="43"/>
        <v>-20.867889347803331</v>
      </c>
      <c r="AF39" s="590">
        <v>-45.852068486636057</v>
      </c>
      <c r="AK39" s="590">
        <f>+SUM(G39:J39)</f>
        <v>31.199999999999996</v>
      </c>
      <c r="AL39" s="590">
        <f>+SUM(K39:N39)</f>
        <v>120.69999999999973</v>
      </c>
      <c r="AM39" s="590">
        <f>+SUM(O39:R39)</f>
        <v>108.0999999999998</v>
      </c>
      <c r="AN39" s="590">
        <f>+AN20-AN29-AN35-AN36</f>
        <v>138.39999999999992</v>
      </c>
      <c r="AO39" s="590">
        <f>+SUM(W39:Z39)</f>
        <v>-89.173118510969516</v>
      </c>
      <c r="AP39" s="590">
        <f>+SUM(AA39:AD39)</f>
        <v>-49.371443922889469</v>
      </c>
      <c r="AQ39" s="590">
        <f t="shared" ref="AQ39:AV39" si="44">+AQ20-AQ29-AQ35-AQ36</f>
        <v>8.8360460447161131</v>
      </c>
      <c r="AR39" s="590">
        <f t="shared" si="44"/>
        <v>56.893601187739662</v>
      </c>
      <c r="AS39" s="590">
        <f t="shared" si="44"/>
        <v>85.109029568998594</v>
      </c>
      <c r="AT39" s="590">
        <f t="shared" si="44"/>
        <v>110.95415754185868</v>
      </c>
      <c r="AU39" s="590">
        <f t="shared" si="44"/>
        <v>124.47854699802238</v>
      </c>
      <c r="AV39" s="590">
        <f t="shared" si="44"/>
        <v>134.21614743936379</v>
      </c>
    </row>
    <row r="40" spans="2:48">
      <c r="B40" s="591" t="s">
        <v>724</v>
      </c>
      <c r="G40" s="592">
        <v>2.2999999999999998</v>
      </c>
      <c r="H40" s="592">
        <v>-36.1</v>
      </c>
      <c r="I40" s="592">
        <v>-38.299999999999997</v>
      </c>
      <c r="J40" s="592">
        <v>-52.5</v>
      </c>
      <c r="K40" s="592">
        <v>-29.8</v>
      </c>
      <c r="L40" s="592">
        <v>-33.6</v>
      </c>
      <c r="M40" s="592">
        <v>-36.1</v>
      </c>
      <c r="N40" s="592">
        <v>-1.2</v>
      </c>
      <c r="O40" s="592">
        <v>-31.5</v>
      </c>
      <c r="P40" s="592">
        <v>-36.700000000000003</v>
      </c>
      <c r="Q40" s="592">
        <v>-68.3</v>
      </c>
      <c r="R40" s="592">
        <v>6.6</v>
      </c>
      <c r="S40" s="592">
        <v>-19.5</v>
      </c>
      <c r="T40" s="592">
        <v>-27.2</v>
      </c>
      <c r="U40" s="592">
        <v>-31.5</v>
      </c>
      <c r="V40" s="593">
        <f>+AN40-SUM(S40:U40)</f>
        <v>-24.899999999999991</v>
      </c>
      <c r="W40" s="631">
        <f t="shared" ref="W40:AD40" si="45">+W41*W39</f>
        <v>11.892963538318329</v>
      </c>
      <c r="X40" s="631">
        <f t="shared" si="45"/>
        <v>10.338030309083859</v>
      </c>
      <c r="Y40" s="631">
        <f t="shared" si="45"/>
        <v>-4.1241700325322919</v>
      </c>
      <c r="Z40" s="631">
        <f t="shared" si="45"/>
        <v>8.6451117384209546</v>
      </c>
      <c r="AA40" s="631">
        <f t="shared" si="45"/>
        <v>11.380269727226603</v>
      </c>
      <c r="AB40" s="631">
        <f t="shared" si="45"/>
        <v>4.4076488602152795</v>
      </c>
      <c r="AC40" s="631">
        <f t="shared" si="45"/>
        <v>-7.236852214916043</v>
      </c>
      <c r="AD40" s="631">
        <f t="shared" si="45"/>
        <v>6.2603668043409995</v>
      </c>
      <c r="AF40" s="631">
        <v>13.755620545990817</v>
      </c>
      <c r="AK40" s="593">
        <f>+SUM(G40:J40)</f>
        <v>-124.6</v>
      </c>
      <c r="AL40" s="593">
        <f>+SUM(K40:N40)</f>
        <v>-100.7</v>
      </c>
      <c r="AM40" s="593">
        <f>+SUM(O40:R40)</f>
        <v>-129.9</v>
      </c>
      <c r="AN40" s="592">
        <v>-103.1</v>
      </c>
      <c r="AO40" s="593">
        <f>+SUM(W40:Z40)</f>
        <v>26.751935553290853</v>
      </c>
      <c r="AP40" s="593">
        <f>+SUM(AA40:AD40)</f>
        <v>14.811433176866839</v>
      </c>
      <c r="AQ40" s="631">
        <f t="shared" ref="AQ40:AV40" si="46">+AQ41*AQ39</f>
        <v>-2.6508138134148331</v>
      </c>
      <c r="AR40" s="631">
        <f t="shared" si="46"/>
        <v>-17.068080356321897</v>
      </c>
      <c r="AS40" s="631">
        <f t="shared" si="46"/>
        <v>-25.532708870699572</v>
      </c>
      <c r="AT40" s="631">
        <f t="shared" si="46"/>
        <v>-33.286247262557595</v>
      </c>
      <c r="AU40" s="631">
        <f t="shared" si="46"/>
        <v>-37.343564099406706</v>
      </c>
      <c r="AV40" s="631">
        <f t="shared" si="46"/>
        <v>-40.264844231809128</v>
      </c>
    </row>
    <row r="41" spans="2:48">
      <c r="B41" s="594" t="s">
        <v>725</v>
      </c>
      <c r="G41" s="595">
        <f t="shared" ref="G41:V41" si="47">+G40/G39</f>
        <v>-1.4547754585705256E-2</v>
      </c>
      <c r="H41" s="595">
        <f t="shared" si="47"/>
        <v>-0.50208623087621762</v>
      </c>
      <c r="I41" s="595">
        <f t="shared" si="47"/>
        <v>-0.51340482573726542</v>
      </c>
      <c r="J41" s="595">
        <f t="shared" si="47"/>
        <v>-1.2266355140186915</v>
      </c>
      <c r="K41" s="595">
        <f t="shared" si="47"/>
        <v>4.4477611940297441</v>
      </c>
      <c r="L41" s="595">
        <f t="shared" si="47"/>
        <v>2.7540983606557479</v>
      </c>
      <c r="M41" s="595">
        <f t="shared" si="47"/>
        <v>-0.75208333333333399</v>
      </c>
      <c r="N41" s="595">
        <f t="shared" si="47"/>
        <v>-1.3100436681222722E-2</v>
      </c>
      <c r="O41" s="595">
        <f t="shared" si="47"/>
        <v>-3.0288461538461604</v>
      </c>
      <c r="P41" s="595">
        <f t="shared" si="47"/>
        <v>122.33333333324178</v>
      </c>
      <c r="Q41" s="595">
        <f t="shared" si="47"/>
        <v>-0.3750686436024161</v>
      </c>
      <c r="R41" s="595">
        <f t="shared" si="47"/>
        <v>-7.8478002378121262E-2</v>
      </c>
      <c r="S41" s="595">
        <f t="shared" si="47"/>
        <v>4.3333333333334672</v>
      </c>
      <c r="T41" s="595">
        <f t="shared" si="47"/>
        <v>-1.2769953051643192</v>
      </c>
      <c r="U41" s="595">
        <f t="shared" si="47"/>
        <v>-0.21814404432132972</v>
      </c>
      <c r="V41" s="595">
        <f t="shared" si="47"/>
        <v>1.0921052631578931</v>
      </c>
      <c r="W41" s="619">
        <v>-0.3</v>
      </c>
      <c r="X41" s="619">
        <v>-0.3</v>
      </c>
      <c r="Y41" s="619">
        <v>-0.3</v>
      </c>
      <c r="Z41" s="619">
        <v>-0.3</v>
      </c>
      <c r="AA41" s="619">
        <v>-0.3</v>
      </c>
      <c r="AB41" s="619">
        <v>-0.3</v>
      </c>
      <c r="AC41" s="619">
        <v>-0.3</v>
      </c>
      <c r="AD41" s="619">
        <v>-0.3</v>
      </c>
      <c r="AF41" s="619">
        <v>-0.3</v>
      </c>
      <c r="AK41" s="595">
        <f t="shared" ref="AK41:AP41" si="48">+AK40/AK39</f>
        <v>-3.9935897435897441</v>
      </c>
      <c r="AL41" s="595">
        <f t="shared" si="48"/>
        <v>-0.83429991714996043</v>
      </c>
      <c r="AM41" s="595">
        <f t="shared" si="48"/>
        <v>-1.2016651248843686</v>
      </c>
      <c r="AN41" s="595">
        <f t="shared" si="48"/>
        <v>-0.74494219653179228</v>
      </c>
      <c r="AO41" s="595">
        <f t="shared" si="48"/>
        <v>-0.3</v>
      </c>
      <c r="AP41" s="595">
        <f t="shared" si="48"/>
        <v>-0.29999999999999993</v>
      </c>
      <c r="AQ41" s="619">
        <f t="shared" ref="AQ41:AV41" si="49">+AP41</f>
        <v>-0.29999999999999993</v>
      </c>
      <c r="AR41" s="619">
        <f t="shared" si="49"/>
        <v>-0.29999999999999993</v>
      </c>
      <c r="AS41" s="619">
        <f t="shared" si="49"/>
        <v>-0.29999999999999993</v>
      </c>
      <c r="AT41" s="619">
        <f t="shared" si="49"/>
        <v>-0.29999999999999993</v>
      </c>
      <c r="AU41" s="619">
        <f t="shared" si="49"/>
        <v>-0.29999999999999993</v>
      </c>
      <c r="AV41" s="619">
        <f t="shared" si="49"/>
        <v>-0.29999999999999993</v>
      </c>
    </row>
    <row r="42" spans="2:48">
      <c r="B42" s="591"/>
      <c r="G42" s="595"/>
      <c r="H42" s="595"/>
      <c r="I42" s="595"/>
      <c r="J42" s="595"/>
      <c r="K42" s="595"/>
      <c r="L42" s="595"/>
      <c r="M42" s="595"/>
      <c r="N42" s="595"/>
      <c r="O42" s="595"/>
      <c r="P42" s="595"/>
      <c r="Q42" s="595"/>
      <c r="R42" s="595"/>
      <c r="S42" s="595"/>
      <c r="T42" s="595"/>
      <c r="U42" s="595"/>
      <c r="V42" s="595"/>
      <c r="W42" s="595"/>
      <c r="X42" s="595"/>
      <c r="Y42" s="595"/>
      <c r="Z42" s="595"/>
      <c r="AA42" s="595"/>
      <c r="AB42" s="595"/>
      <c r="AC42" s="595"/>
      <c r="AD42" s="595"/>
      <c r="AF42" s="595"/>
      <c r="AK42" s="595"/>
      <c r="AL42" s="595"/>
      <c r="AM42" s="595"/>
      <c r="AN42" s="595"/>
      <c r="AO42" s="595"/>
      <c r="AP42" s="595"/>
      <c r="AQ42" s="595"/>
      <c r="AR42" s="595"/>
      <c r="AS42" s="595"/>
      <c r="AT42" s="595"/>
      <c r="AU42" s="595"/>
      <c r="AV42" s="595"/>
    </row>
    <row r="43" spans="2:48" s="85" customFormat="1">
      <c r="B43" s="588" t="s">
        <v>726</v>
      </c>
      <c r="G43" s="590">
        <f t="shared" ref="G43:AD43" si="50">+G39+G40</f>
        <v>-155.7999999999999</v>
      </c>
      <c r="H43" s="590">
        <f t="shared" si="50"/>
        <v>35.799999999999905</v>
      </c>
      <c r="I43" s="590">
        <f t="shared" si="50"/>
        <v>36.299999999999997</v>
      </c>
      <c r="J43" s="590">
        <f t="shared" si="50"/>
        <v>-9.6999999999999957</v>
      </c>
      <c r="K43" s="590">
        <f t="shared" si="50"/>
        <v>-36.500000000000163</v>
      </c>
      <c r="L43" s="590">
        <f t="shared" si="50"/>
        <v>-45.799999999999955</v>
      </c>
      <c r="M43" s="590">
        <f t="shared" si="50"/>
        <v>11.899999999999956</v>
      </c>
      <c r="N43" s="590">
        <f t="shared" si="50"/>
        <v>90.399999999999892</v>
      </c>
      <c r="O43" s="590">
        <f t="shared" si="50"/>
        <v>-21.100000000000023</v>
      </c>
      <c r="P43" s="590">
        <f t="shared" si="50"/>
        <v>-37.000000000000227</v>
      </c>
      <c r="Q43" s="590">
        <f t="shared" si="50"/>
        <v>113.80000000000008</v>
      </c>
      <c r="R43" s="590">
        <f t="shared" si="50"/>
        <v>-77.500000000000028</v>
      </c>
      <c r="S43" s="590">
        <f t="shared" si="50"/>
        <v>-23.999999999999861</v>
      </c>
      <c r="T43" s="590">
        <f t="shared" si="50"/>
        <v>-5.8999999999999986</v>
      </c>
      <c r="U43" s="590">
        <f t="shared" si="50"/>
        <v>112.89999999999995</v>
      </c>
      <c r="V43" s="590">
        <f t="shared" si="50"/>
        <v>-47.700000000000017</v>
      </c>
      <c r="W43" s="590">
        <f t="shared" si="50"/>
        <v>-27.750248256076105</v>
      </c>
      <c r="X43" s="590">
        <f t="shared" si="50"/>
        <v>-24.122070721195673</v>
      </c>
      <c r="Y43" s="590">
        <f t="shared" si="50"/>
        <v>9.6230634092420146</v>
      </c>
      <c r="Z43" s="590">
        <f t="shared" si="50"/>
        <v>-20.171927389648896</v>
      </c>
      <c r="AA43" s="590">
        <f t="shared" si="50"/>
        <v>-26.553962696862072</v>
      </c>
      <c r="AB43" s="590">
        <f t="shared" si="50"/>
        <v>-10.284514007168987</v>
      </c>
      <c r="AC43" s="590">
        <f t="shared" si="50"/>
        <v>16.88598850147077</v>
      </c>
      <c r="AD43" s="590">
        <f t="shared" si="50"/>
        <v>-14.607522543462331</v>
      </c>
      <c r="AF43" s="590">
        <v>-32.096447940645241</v>
      </c>
      <c r="AK43" s="590">
        <f>+SUM(G43:J43)</f>
        <v>-93.4</v>
      </c>
      <c r="AL43" s="590">
        <f>+SUM(K43:N43)</f>
        <v>19.999999999999716</v>
      </c>
      <c r="AM43" s="590">
        <f>+SUM(O43:R43)</f>
        <v>-21.800000000000196</v>
      </c>
      <c r="AN43" s="590">
        <f>+AN39+AN40</f>
        <v>35.299999999999926</v>
      </c>
      <c r="AO43" s="590">
        <f>+SUM(W43:Z43)</f>
        <v>-62.421182957678653</v>
      </c>
      <c r="AP43" s="590">
        <f>+SUM(AA43:AD43)</f>
        <v>-34.56001074602262</v>
      </c>
      <c r="AQ43" s="590">
        <f t="shared" ref="AQ43:AV43" si="51">+AQ39+AQ40</f>
        <v>6.1852322313012795</v>
      </c>
      <c r="AR43" s="590">
        <f t="shared" si="51"/>
        <v>39.825520831417762</v>
      </c>
      <c r="AS43" s="590">
        <f t="shared" si="51"/>
        <v>59.576320698299021</v>
      </c>
      <c r="AT43" s="590">
        <f t="shared" si="51"/>
        <v>77.667910279301083</v>
      </c>
      <c r="AU43" s="590">
        <f t="shared" si="51"/>
        <v>87.134982898615675</v>
      </c>
      <c r="AV43" s="590">
        <f t="shared" si="51"/>
        <v>93.951303207554673</v>
      </c>
    </row>
    <row r="44" spans="2:48">
      <c r="B44" s="591" t="s">
        <v>727</v>
      </c>
      <c r="G44" s="592">
        <v>-9.6</v>
      </c>
      <c r="H44" s="592">
        <v>-2.6</v>
      </c>
      <c r="I44" s="592">
        <v>-0.7</v>
      </c>
      <c r="J44" s="592">
        <v>-1.1000000000000001</v>
      </c>
      <c r="K44" s="592">
        <v>0</v>
      </c>
      <c r="L44" s="592">
        <v>0</v>
      </c>
      <c r="M44" s="592">
        <v>0</v>
      </c>
      <c r="N44" s="592">
        <v>0</v>
      </c>
      <c r="O44" s="592">
        <v>0</v>
      </c>
      <c r="P44" s="592">
        <v>0</v>
      </c>
      <c r="Q44" s="592">
        <v>0</v>
      </c>
      <c r="R44" s="592">
        <v>0</v>
      </c>
      <c r="S44" s="592">
        <v>-9.5</v>
      </c>
      <c r="T44" s="592">
        <v>-13.2</v>
      </c>
      <c r="U44" s="592">
        <v>-6.3</v>
      </c>
      <c r="V44" s="593">
        <f>+AN44-SUM(S44:U44)</f>
        <v>-7.6000000000000014</v>
      </c>
      <c r="W44" s="598">
        <v>0</v>
      </c>
      <c r="X44" s="598">
        <v>0</v>
      </c>
      <c r="Y44" s="598">
        <v>0</v>
      </c>
      <c r="Z44" s="598">
        <v>0</v>
      </c>
      <c r="AA44" s="598">
        <v>0</v>
      </c>
      <c r="AB44" s="598">
        <v>0</v>
      </c>
      <c r="AC44" s="598">
        <v>0</v>
      </c>
      <c r="AD44" s="598">
        <v>0</v>
      </c>
      <c r="AF44" s="598">
        <v>0</v>
      </c>
      <c r="AK44" s="593">
        <f>+SUM(G44:J44)</f>
        <v>-13.999999999999998</v>
      </c>
      <c r="AL44" s="593">
        <f>+SUM(K44:N44)</f>
        <v>0</v>
      </c>
      <c r="AM44" s="593">
        <f>+SUM(O44:R44)</f>
        <v>0</v>
      </c>
      <c r="AN44" s="592">
        <v>-36.6</v>
      </c>
      <c r="AO44" s="593">
        <f>+SUM(W44:Z44)</f>
        <v>0</v>
      </c>
      <c r="AP44" s="593">
        <f>+SUM(AA44:AD44)</f>
        <v>0</v>
      </c>
      <c r="AQ44" s="598">
        <v>0</v>
      </c>
      <c r="AR44" s="598">
        <v>0</v>
      </c>
      <c r="AS44" s="598">
        <v>0</v>
      </c>
      <c r="AT44" s="598">
        <v>0</v>
      </c>
      <c r="AU44" s="598">
        <v>0</v>
      </c>
      <c r="AV44" s="598">
        <v>0</v>
      </c>
    </row>
    <row r="45" spans="2:48">
      <c r="B45" s="591"/>
      <c r="G45" s="592"/>
      <c r="H45" s="592"/>
      <c r="I45" s="592"/>
      <c r="J45" s="592"/>
      <c r="K45" s="592"/>
      <c r="L45" s="592"/>
      <c r="M45" s="592"/>
      <c r="N45" s="592"/>
      <c r="O45" s="592"/>
      <c r="P45" s="592"/>
      <c r="Q45" s="592"/>
      <c r="R45" s="592"/>
      <c r="S45" s="592"/>
      <c r="T45" s="592"/>
      <c r="U45" s="592"/>
      <c r="V45" s="593"/>
      <c r="W45" s="598"/>
      <c r="X45" s="598"/>
      <c r="Y45" s="598"/>
      <c r="Z45" s="598"/>
      <c r="AA45" s="598"/>
      <c r="AB45" s="598"/>
      <c r="AC45" s="598"/>
      <c r="AD45" s="598"/>
      <c r="AF45" s="598"/>
      <c r="AK45" s="593"/>
      <c r="AL45" s="593"/>
      <c r="AM45" s="593"/>
      <c r="AN45" s="592"/>
      <c r="AO45" s="593"/>
      <c r="AP45" s="593"/>
      <c r="AQ45" s="598"/>
      <c r="AR45" s="598"/>
      <c r="AS45" s="598"/>
      <c r="AT45" s="598"/>
      <c r="AU45" s="598"/>
      <c r="AV45" s="598"/>
    </row>
    <row r="46" spans="2:48">
      <c r="B46" s="591" t="s">
        <v>728</v>
      </c>
      <c r="G46" s="593">
        <f t="shared" ref="G46:AD46" si="52">+G43+G44</f>
        <v>-165.39999999999989</v>
      </c>
      <c r="H46" s="593">
        <f t="shared" si="52"/>
        <v>33.199999999999903</v>
      </c>
      <c r="I46" s="593">
        <f t="shared" si="52"/>
        <v>35.599999999999994</v>
      </c>
      <c r="J46" s="593">
        <f t="shared" si="52"/>
        <v>-10.799999999999995</v>
      </c>
      <c r="K46" s="593">
        <f t="shared" si="52"/>
        <v>-36.500000000000163</v>
      </c>
      <c r="L46" s="593">
        <f t="shared" si="52"/>
        <v>-45.799999999999955</v>
      </c>
      <c r="M46" s="593">
        <f t="shared" si="52"/>
        <v>11.899999999999956</v>
      </c>
      <c r="N46" s="593">
        <f t="shared" si="52"/>
        <v>90.399999999999892</v>
      </c>
      <c r="O46" s="593">
        <f t="shared" si="52"/>
        <v>-21.100000000000023</v>
      </c>
      <c r="P46" s="593">
        <f t="shared" si="52"/>
        <v>-37.000000000000227</v>
      </c>
      <c r="Q46" s="593">
        <f t="shared" si="52"/>
        <v>113.80000000000008</v>
      </c>
      <c r="R46" s="593">
        <f t="shared" si="52"/>
        <v>-77.500000000000028</v>
      </c>
      <c r="S46" s="593">
        <f t="shared" si="52"/>
        <v>-33.499999999999858</v>
      </c>
      <c r="T46" s="593">
        <f t="shared" si="52"/>
        <v>-19.099999999999998</v>
      </c>
      <c r="U46" s="593">
        <f t="shared" si="52"/>
        <v>106.59999999999995</v>
      </c>
      <c r="V46" s="593">
        <f t="shared" si="52"/>
        <v>-55.300000000000018</v>
      </c>
      <c r="W46" s="593">
        <f t="shared" si="52"/>
        <v>-27.750248256076105</v>
      </c>
      <c r="X46" s="593">
        <f t="shared" si="52"/>
        <v>-24.122070721195673</v>
      </c>
      <c r="Y46" s="593">
        <f t="shared" si="52"/>
        <v>9.6230634092420146</v>
      </c>
      <c r="Z46" s="593">
        <f t="shared" si="52"/>
        <v>-20.171927389648896</v>
      </c>
      <c r="AA46" s="593">
        <f t="shared" si="52"/>
        <v>-26.553962696862072</v>
      </c>
      <c r="AB46" s="593">
        <f t="shared" si="52"/>
        <v>-10.284514007168987</v>
      </c>
      <c r="AC46" s="593">
        <f t="shared" si="52"/>
        <v>16.88598850147077</v>
      </c>
      <c r="AD46" s="593">
        <f t="shared" si="52"/>
        <v>-14.607522543462331</v>
      </c>
      <c r="AF46" s="593">
        <v>-32.096447940645241</v>
      </c>
      <c r="AK46" s="593">
        <f>+SUM(G46:J46)</f>
        <v>-107.39999999999999</v>
      </c>
      <c r="AL46" s="593">
        <f>+SUM(K46:N46)</f>
        <v>19.999999999999716</v>
      </c>
      <c r="AM46" s="593">
        <f>+SUM(O46:R46)</f>
        <v>-21.800000000000196</v>
      </c>
      <c r="AN46" s="593">
        <f>+AN43+AN44</f>
        <v>-1.3000000000000753</v>
      </c>
      <c r="AO46" s="593">
        <f>+SUM(W46:Z46)</f>
        <v>-62.421182957678653</v>
      </c>
      <c r="AP46" s="593">
        <f>+SUM(AA46:AD46)</f>
        <v>-34.56001074602262</v>
      </c>
      <c r="AQ46" s="593">
        <f t="shared" ref="AQ46:AV46" si="53">+AQ43+AQ44</f>
        <v>6.1852322313012795</v>
      </c>
      <c r="AR46" s="593">
        <f t="shared" si="53"/>
        <v>39.825520831417762</v>
      </c>
      <c r="AS46" s="593">
        <f t="shared" si="53"/>
        <v>59.576320698299021</v>
      </c>
      <c r="AT46" s="593">
        <f t="shared" si="53"/>
        <v>77.667910279301083</v>
      </c>
      <c r="AU46" s="593">
        <f t="shared" si="53"/>
        <v>87.134982898615675</v>
      </c>
      <c r="AV46" s="593">
        <f t="shared" si="53"/>
        <v>93.951303207554673</v>
      </c>
    </row>
    <row r="47" spans="2:48" s="93" customFormat="1">
      <c r="B47" s="605" t="s">
        <v>729</v>
      </c>
      <c r="G47" s="606">
        <v>-0.5</v>
      </c>
      <c r="H47" s="606">
        <v>-0.2</v>
      </c>
      <c r="I47" s="606">
        <v>0.4</v>
      </c>
      <c r="J47" s="606">
        <v>0.1</v>
      </c>
      <c r="K47" s="606">
        <v>0</v>
      </c>
      <c r="L47" s="606">
        <v>0.3</v>
      </c>
      <c r="M47" s="606">
        <v>0.6</v>
      </c>
      <c r="N47" s="606">
        <v>1.1000000000000001</v>
      </c>
      <c r="O47" s="606">
        <v>0.8</v>
      </c>
      <c r="P47" s="606">
        <v>0.9</v>
      </c>
      <c r="Q47" s="606">
        <v>0.7</v>
      </c>
      <c r="R47" s="606">
        <v>-0.1</v>
      </c>
      <c r="S47" s="606">
        <v>0.8</v>
      </c>
      <c r="T47" s="606">
        <v>-0.4</v>
      </c>
      <c r="U47" s="606">
        <v>0.3</v>
      </c>
      <c r="V47" s="607">
        <f>+AN47-SUM(S47:U47)</f>
        <v>0.30000000000000004</v>
      </c>
      <c r="W47" s="632">
        <v>0.3</v>
      </c>
      <c r="X47" s="632">
        <v>0.3</v>
      </c>
      <c r="Y47" s="632">
        <v>0.3</v>
      </c>
      <c r="Z47" s="632">
        <v>0.3</v>
      </c>
      <c r="AA47" s="632">
        <v>0.3</v>
      </c>
      <c r="AB47" s="632">
        <v>0.3</v>
      </c>
      <c r="AC47" s="632">
        <v>0.3</v>
      </c>
      <c r="AD47" s="632">
        <v>0.3</v>
      </c>
      <c r="AF47" s="632">
        <v>0.3</v>
      </c>
      <c r="AK47" s="607">
        <f>+SUM(G47:J47)</f>
        <v>-0.19999999999999993</v>
      </c>
      <c r="AL47" s="607">
        <f>+SUM(K47:N47)</f>
        <v>2</v>
      </c>
      <c r="AM47" s="607">
        <f>+SUM(O47:R47)</f>
        <v>2.3000000000000003</v>
      </c>
      <c r="AN47" s="606">
        <v>1</v>
      </c>
      <c r="AO47" s="607">
        <f>+SUM(W47:Z47)</f>
        <v>1.2</v>
      </c>
      <c r="AP47" s="607">
        <f>+SUM(AA47:AD47)</f>
        <v>1.2</v>
      </c>
      <c r="AQ47" s="784">
        <f t="shared" ref="AQ47:AV47" si="54">+AVERAGE(AM47:AP47)</f>
        <v>1.425</v>
      </c>
      <c r="AR47" s="784">
        <f t="shared" si="54"/>
        <v>1.20625</v>
      </c>
      <c r="AS47" s="784">
        <f t="shared" si="54"/>
        <v>1.2578125</v>
      </c>
      <c r="AT47" s="784">
        <f t="shared" si="54"/>
        <v>1.272265625</v>
      </c>
      <c r="AU47" s="784">
        <f t="shared" si="54"/>
        <v>1.29033203125</v>
      </c>
      <c r="AV47" s="784">
        <f t="shared" si="54"/>
        <v>1.2566650390625</v>
      </c>
    </row>
    <row r="48" spans="2:48" s="93" customFormat="1">
      <c r="B48" s="605"/>
      <c r="G48" s="606"/>
      <c r="H48" s="606"/>
      <c r="I48" s="606"/>
      <c r="J48" s="606"/>
      <c r="K48" s="606"/>
      <c r="L48" s="606"/>
      <c r="M48" s="606"/>
      <c r="N48" s="606"/>
      <c r="O48" s="606"/>
      <c r="P48" s="606"/>
      <c r="Q48" s="606"/>
      <c r="R48" s="606"/>
      <c r="S48" s="606"/>
      <c r="T48" s="606"/>
      <c r="U48" s="606"/>
      <c r="V48" s="606"/>
      <c r="W48" s="632"/>
      <c r="X48" s="632"/>
      <c r="Y48" s="632"/>
      <c r="Z48" s="632"/>
      <c r="AA48" s="632"/>
      <c r="AB48" s="632"/>
      <c r="AC48" s="632"/>
      <c r="AD48" s="632"/>
      <c r="AE48" s="772"/>
      <c r="AF48" s="632"/>
      <c r="AK48" s="607"/>
      <c r="AL48" s="607"/>
      <c r="AM48" s="607"/>
      <c r="AN48" s="606"/>
      <c r="AO48" s="607"/>
      <c r="AP48" s="607"/>
      <c r="AQ48" s="632"/>
      <c r="AR48" s="632"/>
      <c r="AS48" s="632"/>
      <c r="AT48" s="632"/>
      <c r="AU48" s="632"/>
      <c r="AV48" s="632"/>
    </row>
    <row r="49" spans="2:48" s="85" customFormat="1">
      <c r="B49" s="588" t="s">
        <v>730</v>
      </c>
      <c r="G49" s="590">
        <f t="shared" ref="G49:AD49" si="55">+G46+G47</f>
        <v>-165.89999999999989</v>
      </c>
      <c r="H49" s="590">
        <f t="shared" si="55"/>
        <v>32.999999999999901</v>
      </c>
      <c r="I49" s="590">
        <f t="shared" si="55"/>
        <v>35.999999999999993</v>
      </c>
      <c r="J49" s="590">
        <f t="shared" si="55"/>
        <v>-10.699999999999996</v>
      </c>
      <c r="K49" s="590">
        <f t="shared" si="55"/>
        <v>-36.500000000000163</v>
      </c>
      <c r="L49" s="590">
        <f t="shared" si="55"/>
        <v>-45.499999999999957</v>
      </c>
      <c r="M49" s="590">
        <f t="shared" si="55"/>
        <v>12.499999999999956</v>
      </c>
      <c r="N49" s="590">
        <f t="shared" si="55"/>
        <v>91.499999999999886</v>
      </c>
      <c r="O49" s="590">
        <f t="shared" si="55"/>
        <v>-20.300000000000022</v>
      </c>
      <c r="P49" s="590">
        <f t="shared" si="55"/>
        <v>-36.100000000000229</v>
      </c>
      <c r="Q49" s="590">
        <f t="shared" si="55"/>
        <v>114.50000000000009</v>
      </c>
      <c r="R49" s="590">
        <f t="shared" si="55"/>
        <v>-77.600000000000023</v>
      </c>
      <c r="S49" s="590">
        <f t="shared" si="55"/>
        <v>-32.699999999999861</v>
      </c>
      <c r="T49" s="590">
        <f t="shared" si="55"/>
        <v>-19.499999999999996</v>
      </c>
      <c r="U49" s="590">
        <f t="shared" si="55"/>
        <v>106.89999999999995</v>
      </c>
      <c r="V49" s="590">
        <f t="shared" si="55"/>
        <v>-55.000000000000021</v>
      </c>
      <c r="W49" s="590">
        <f t="shared" si="55"/>
        <v>-27.450248256076105</v>
      </c>
      <c r="X49" s="590">
        <f t="shared" si="55"/>
        <v>-23.822070721195672</v>
      </c>
      <c r="Y49" s="590">
        <f t="shared" si="55"/>
        <v>9.9230634092420154</v>
      </c>
      <c r="Z49" s="590">
        <f t="shared" si="55"/>
        <v>-19.871927389648896</v>
      </c>
      <c r="AA49" s="590">
        <f t="shared" si="55"/>
        <v>-26.253962696862072</v>
      </c>
      <c r="AB49" s="590">
        <f t="shared" si="55"/>
        <v>-9.9845140071689862</v>
      </c>
      <c r="AC49" s="590">
        <f t="shared" si="55"/>
        <v>17.185988501470771</v>
      </c>
      <c r="AD49" s="590">
        <f t="shared" si="55"/>
        <v>-14.30752254346233</v>
      </c>
      <c r="AF49" s="590">
        <v>-31.79644794064524</v>
      </c>
      <c r="AK49" s="590">
        <f>+SUM(G49:J49)</f>
        <v>-107.59999999999997</v>
      </c>
      <c r="AL49" s="590">
        <f>+SUM(K49:N49)</f>
        <v>21.99999999999973</v>
      </c>
      <c r="AM49" s="590">
        <f>+SUM(O49:R49)</f>
        <v>-19.500000000000185</v>
      </c>
      <c r="AN49" s="590">
        <f>+AN46+AN47</f>
        <v>-0.30000000000007532</v>
      </c>
      <c r="AO49" s="590">
        <f>+SUM(W49:Z49)</f>
        <v>-61.221182957678657</v>
      </c>
      <c r="AP49" s="590">
        <f>+SUM(AA49:AD49)</f>
        <v>-33.360010746022617</v>
      </c>
      <c r="AQ49" s="590">
        <f t="shared" ref="AQ49:AV49" si="56">+AQ46+AQ47</f>
        <v>7.6102322313012793</v>
      </c>
      <c r="AR49" s="590">
        <f t="shared" si="56"/>
        <v>41.031770831417759</v>
      </c>
      <c r="AS49" s="590">
        <f t="shared" si="56"/>
        <v>60.834133198299021</v>
      </c>
      <c r="AT49" s="590">
        <f t="shared" si="56"/>
        <v>78.940175904301086</v>
      </c>
      <c r="AU49" s="590">
        <f t="shared" si="56"/>
        <v>88.425314929865678</v>
      </c>
      <c r="AV49" s="590">
        <f t="shared" si="56"/>
        <v>95.20796824661717</v>
      </c>
    </row>
    <row r="50" spans="2:48">
      <c r="B50" s="591"/>
      <c r="G50" s="593"/>
      <c r="H50" s="593"/>
      <c r="I50" s="593"/>
      <c r="J50" s="593"/>
      <c r="K50" s="593"/>
      <c r="L50" s="593"/>
      <c r="M50" s="593"/>
      <c r="N50" s="593"/>
      <c r="O50" s="593"/>
      <c r="P50" s="593"/>
      <c r="Q50" s="593"/>
      <c r="R50" s="593"/>
      <c r="S50" s="593"/>
      <c r="T50" s="593"/>
      <c r="U50" s="593"/>
      <c r="V50" s="593"/>
      <c r="W50" s="593"/>
      <c r="X50" s="593"/>
      <c r="Y50" s="593"/>
      <c r="Z50" s="593"/>
      <c r="AA50" s="593"/>
      <c r="AB50" s="593"/>
      <c r="AC50" s="593"/>
      <c r="AD50" s="593"/>
      <c r="AF50" s="593"/>
      <c r="AK50" s="593"/>
      <c r="AL50" s="593"/>
      <c r="AM50" s="593"/>
      <c r="AN50" s="593"/>
      <c r="AO50" s="593"/>
      <c r="AP50" s="593"/>
    </row>
    <row r="51" spans="2:48" s="85" customFormat="1">
      <c r="B51" s="588" t="s">
        <v>340</v>
      </c>
      <c r="G51" s="590">
        <f t="shared" ref="G51:AD51" si="57">+G52+G53</f>
        <v>27.6</v>
      </c>
      <c r="H51" s="590">
        <f t="shared" si="57"/>
        <v>28.800000000000004</v>
      </c>
      <c r="I51" s="590">
        <f t="shared" si="57"/>
        <v>28.499999999999996</v>
      </c>
      <c r="J51" s="590">
        <f t="shared" si="57"/>
        <v>29</v>
      </c>
      <c r="K51" s="590">
        <f t="shared" si="57"/>
        <v>27.6</v>
      </c>
      <c r="L51" s="590">
        <f t="shared" si="57"/>
        <v>29.1</v>
      </c>
      <c r="M51" s="590">
        <f t="shared" si="57"/>
        <v>28.899999999999995</v>
      </c>
      <c r="N51" s="590">
        <f t="shared" si="57"/>
        <v>28.4</v>
      </c>
      <c r="O51" s="590">
        <f t="shared" si="57"/>
        <v>27.9</v>
      </c>
      <c r="P51" s="590">
        <f t="shared" si="57"/>
        <v>27.5</v>
      </c>
      <c r="Q51" s="590">
        <f t="shared" si="57"/>
        <v>26</v>
      </c>
      <c r="R51" s="590">
        <f t="shared" si="57"/>
        <v>26.299999999999994</v>
      </c>
      <c r="S51" s="590">
        <f t="shared" si="57"/>
        <v>27.200000000000003</v>
      </c>
      <c r="T51" s="590">
        <f t="shared" si="57"/>
        <v>22.1</v>
      </c>
      <c r="U51" s="590">
        <f t="shared" si="57"/>
        <v>24</v>
      </c>
      <c r="V51" s="590">
        <f t="shared" si="57"/>
        <v>19.599999999999994</v>
      </c>
      <c r="W51" s="590">
        <f t="shared" si="57"/>
        <v>24.154</v>
      </c>
      <c r="X51" s="590">
        <f t="shared" si="57"/>
        <v>23.362039999999997</v>
      </c>
      <c r="Y51" s="590">
        <f t="shared" si="57"/>
        <v>23.6901704</v>
      </c>
      <c r="Z51" s="590">
        <f t="shared" si="57"/>
        <v>23.609614703999995</v>
      </c>
      <c r="AA51" s="590">
        <f t="shared" si="57"/>
        <v>24.652114527039998</v>
      </c>
      <c r="AB51" s="590">
        <f t="shared" si="57"/>
        <v>24.781624304070398</v>
      </c>
      <c r="AC51" s="590">
        <f t="shared" si="57"/>
        <v>25.150716223128704</v>
      </c>
      <c r="AD51" s="590">
        <f t="shared" si="57"/>
        <v>25.530458137142169</v>
      </c>
      <c r="AE51" s="590"/>
      <c r="AF51" s="590">
        <v>24.154</v>
      </c>
      <c r="AG51" s="590">
        <f t="shared" ref="AG51:AV51" si="58">+AG52+AG53</f>
        <v>0</v>
      </c>
      <c r="AH51" s="590">
        <f t="shared" si="58"/>
        <v>0</v>
      </c>
      <c r="AI51" s="590">
        <f t="shared" si="58"/>
        <v>0</v>
      </c>
      <c r="AJ51" s="590">
        <f t="shared" si="58"/>
        <v>0</v>
      </c>
      <c r="AK51" s="590">
        <f t="shared" si="58"/>
        <v>113.9</v>
      </c>
      <c r="AL51" s="590">
        <f t="shared" si="58"/>
        <v>114</v>
      </c>
      <c r="AM51" s="590">
        <f t="shared" si="58"/>
        <v>107.69999999999999</v>
      </c>
      <c r="AN51" s="590">
        <f t="shared" si="58"/>
        <v>92.899999999999991</v>
      </c>
      <c r="AO51" s="590">
        <f t="shared" si="58"/>
        <v>94.815825103999998</v>
      </c>
      <c r="AP51" s="590">
        <f t="shared" si="58"/>
        <v>100.11491319138126</v>
      </c>
      <c r="AQ51" s="590">
        <f t="shared" si="58"/>
        <v>101.36398391359826</v>
      </c>
      <c r="AR51" s="590">
        <f t="shared" si="58"/>
        <v>104.76902649458935</v>
      </c>
      <c r="AS51" s="590">
        <f t="shared" si="58"/>
        <v>107.18916541225757</v>
      </c>
      <c r="AT51" s="590">
        <f t="shared" si="58"/>
        <v>110.2182597915604</v>
      </c>
      <c r="AU51" s="590">
        <f t="shared" si="58"/>
        <v>113.05186110598534</v>
      </c>
      <c r="AV51" s="590">
        <f t="shared" si="58"/>
        <v>116.10046286672377</v>
      </c>
    </row>
    <row r="52" spans="2:48">
      <c r="B52" s="597" t="s">
        <v>298</v>
      </c>
      <c r="G52" s="593">
        <v>20.5</v>
      </c>
      <c r="H52" s="593">
        <v>21.200000000000003</v>
      </c>
      <c r="I52" s="593">
        <v>20.799999999999997</v>
      </c>
      <c r="J52" s="593">
        <v>20.799999999999997</v>
      </c>
      <c r="K52" s="593">
        <v>20.5</v>
      </c>
      <c r="L52" s="593">
        <v>21.200000000000003</v>
      </c>
      <c r="M52" s="593">
        <v>21.699999999999996</v>
      </c>
      <c r="N52" s="593">
        <v>20.9</v>
      </c>
      <c r="O52" s="593">
        <v>20.8</v>
      </c>
      <c r="P52" s="593">
        <v>20.8</v>
      </c>
      <c r="Q52" s="593">
        <v>19.5</v>
      </c>
      <c r="R52" s="593">
        <v>19.999999999999993</v>
      </c>
      <c r="S52" s="593">
        <v>20.6</v>
      </c>
      <c r="T52" s="593">
        <v>15.899999999999999</v>
      </c>
      <c r="U52" s="609">
        <f>54.6-T52-S52</f>
        <v>18.100000000000001</v>
      </c>
      <c r="V52" s="593">
        <f>+AN52-SUM(S52:U52)</f>
        <v>13.499999999999993</v>
      </c>
      <c r="W52" s="598">
        <f t="shared" ref="W52:AD53" si="59">+AVERAGE(S52:V52)*1.04</f>
        <v>17.706</v>
      </c>
      <c r="X52" s="598">
        <f t="shared" si="59"/>
        <v>16.953559999999996</v>
      </c>
      <c r="Y52" s="598">
        <f t="shared" si="59"/>
        <v>17.227485599999998</v>
      </c>
      <c r="Z52" s="598">
        <f t="shared" si="59"/>
        <v>17.000631855999995</v>
      </c>
      <c r="AA52" s="598">
        <f t="shared" si="59"/>
        <v>17.910796138559999</v>
      </c>
      <c r="AB52" s="598">
        <f t="shared" si="59"/>
        <v>17.964043134585598</v>
      </c>
      <c r="AC52" s="598">
        <f t="shared" si="59"/>
        <v>18.226768749577854</v>
      </c>
      <c r="AD52" s="598">
        <f t="shared" si="59"/>
        <v>18.486582368468099</v>
      </c>
      <c r="AF52" s="598">
        <v>17.706</v>
      </c>
      <c r="AK52" s="72">
        <f>+SUM(G52:J52)</f>
        <v>83.3</v>
      </c>
      <c r="AL52" s="72">
        <f>+SUM(K52:N52)</f>
        <v>84.3</v>
      </c>
      <c r="AM52" s="72">
        <f>+SUM(O52:R52)</f>
        <v>81.099999999999994</v>
      </c>
      <c r="AN52" s="841">
        <v>68.099999999999994</v>
      </c>
      <c r="AO52" s="635">
        <f>+SUM(W52:Z52)</f>
        <v>68.887677455999992</v>
      </c>
      <c r="AP52" s="635">
        <f>+SUM(AA52:AD52)</f>
        <v>72.588190391191546</v>
      </c>
      <c r="AQ52" s="598">
        <f t="shared" ref="AQ52:AV53" si="60">+AVERAGE(AO52:AP52)*1.04</f>
        <v>73.567451280539601</v>
      </c>
      <c r="AR52" s="598">
        <f t="shared" si="60"/>
        <v>76.000933669300196</v>
      </c>
      <c r="AS52" s="598">
        <f t="shared" si="60"/>
        <v>77.775560173916702</v>
      </c>
      <c r="AT52" s="598">
        <f t="shared" si="60"/>
        <v>79.963776798472779</v>
      </c>
      <c r="AU52" s="598">
        <f t="shared" si="60"/>
        <v>82.024455225642527</v>
      </c>
      <c r="AV52" s="598">
        <f t="shared" si="60"/>
        <v>84.233880652539952</v>
      </c>
    </row>
    <row r="53" spans="2:48">
      <c r="B53" s="597" t="s">
        <v>731</v>
      </c>
      <c r="G53" s="593">
        <v>7.1</v>
      </c>
      <c r="H53" s="593">
        <v>7.6</v>
      </c>
      <c r="I53" s="593">
        <v>7.6999999999999993</v>
      </c>
      <c r="J53" s="593">
        <v>8.2000000000000028</v>
      </c>
      <c r="K53" s="593">
        <v>7.1</v>
      </c>
      <c r="L53" s="593">
        <v>7.9</v>
      </c>
      <c r="M53" s="593">
        <v>7.1999999999999993</v>
      </c>
      <c r="N53" s="593">
        <v>7.5</v>
      </c>
      <c r="O53" s="593">
        <v>7.1</v>
      </c>
      <c r="P53" s="593">
        <v>6.7000000000000011</v>
      </c>
      <c r="Q53" s="593">
        <v>6.5</v>
      </c>
      <c r="R53" s="593">
        <v>6.3000000000000007</v>
      </c>
      <c r="S53" s="593">
        <v>6.6</v>
      </c>
      <c r="T53" s="593">
        <v>6.2000000000000011</v>
      </c>
      <c r="U53" s="609">
        <f>18.7-T53-S53</f>
        <v>5.8999999999999986</v>
      </c>
      <c r="V53" s="593">
        <f>+AN53-SUM(S53:U53)</f>
        <v>6.1000000000000014</v>
      </c>
      <c r="W53" s="598">
        <f t="shared" si="59"/>
        <v>6.4480000000000004</v>
      </c>
      <c r="X53" s="598">
        <f t="shared" si="59"/>
        <v>6.4084800000000008</v>
      </c>
      <c r="Y53" s="598">
        <f t="shared" si="59"/>
        <v>6.4626848000000008</v>
      </c>
      <c r="Z53" s="598">
        <f t="shared" si="59"/>
        <v>6.608982848000001</v>
      </c>
      <c r="AA53" s="598">
        <f t="shared" si="59"/>
        <v>6.7413183884800008</v>
      </c>
      <c r="AB53" s="598">
        <f t="shared" si="59"/>
        <v>6.817581169484801</v>
      </c>
      <c r="AC53" s="598">
        <f t="shared" si="59"/>
        <v>6.9239474735508484</v>
      </c>
      <c r="AD53" s="598">
        <f t="shared" si="59"/>
        <v>7.0438757686740692</v>
      </c>
      <c r="AF53" s="598">
        <v>6.4480000000000004</v>
      </c>
      <c r="AK53" s="72">
        <f>+SUM(G53:J53)</f>
        <v>30.6</v>
      </c>
      <c r="AL53" s="72">
        <f>+SUM(K53:N53)</f>
        <v>29.7</v>
      </c>
      <c r="AM53" s="72">
        <f>+SUM(O53:R53)</f>
        <v>26.6</v>
      </c>
      <c r="AN53" s="841">
        <v>24.8</v>
      </c>
      <c r="AO53" s="635">
        <f>+SUM(W53:Z53)</f>
        <v>25.928147648000003</v>
      </c>
      <c r="AP53" s="635">
        <f>+SUM(AA53:AD53)</f>
        <v>27.52672280018972</v>
      </c>
      <c r="AQ53" s="598">
        <f t="shared" si="60"/>
        <v>27.796532633058657</v>
      </c>
      <c r="AR53" s="598">
        <f t="shared" si="60"/>
        <v>28.768092825289155</v>
      </c>
      <c r="AS53" s="598">
        <f t="shared" si="60"/>
        <v>29.413605238340864</v>
      </c>
      <c r="AT53" s="598">
        <f t="shared" si="60"/>
        <v>30.254482993087613</v>
      </c>
      <c r="AU53" s="598">
        <f t="shared" si="60"/>
        <v>31.027405880342808</v>
      </c>
      <c r="AV53" s="598">
        <f t="shared" si="60"/>
        <v>31.866582214183818</v>
      </c>
    </row>
    <row r="54" spans="2:48">
      <c r="B54" s="597"/>
      <c r="G54" s="593"/>
      <c r="H54" s="593"/>
      <c r="I54" s="593"/>
      <c r="J54" s="593"/>
      <c r="K54" s="593"/>
      <c r="L54" s="593"/>
      <c r="M54" s="593"/>
      <c r="N54" s="593"/>
      <c r="O54" s="593"/>
      <c r="P54" s="593"/>
      <c r="Q54" s="593"/>
      <c r="R54" s="593"/>
      <c r="S54" s="593"/>
      <c r="T54" s="593"/>
      <c r="U54" s="609"/>
      <c r="V54" s="598"/>
      <c r="W54" s="598"/>
      <c r="X54" s="598"/>
      <c r="Y54" s="598"/>
      <c r="Z54" s="598"/>
      <c r="AA54" s="598"/>
      <c r="AB54" s="598"/>
      <c r="AC54" s="598"/>
      <c r="AD54" s="598"/>
      <c r="AF54" s="598"/>
      <c r="AO54" s="635"/>
      <c r="AP54" s="635"/>
      <c r="AQ54" s="598"/>
      <c r="AR54" s="598"/>
      <c r="AS54" s="598"/>
      <c r="AT54" s="598"/>
      <c r="AU54" s="598"/>
      <c r="AV54" s="598"/>
    </row>
    <row r="55" spans="2:48">
      <c r="B55" s="597"/>
      <c r="G55" s="593"/>
      <c r="H55" s="593"/>
      <c r="I55" s="593"/>
      <c r="J55" s="593"/>
      <c r="K55" s="593"/>
      <c r="L55" s="593"/>
      <c r="M55" s="593"/>
      <c r="N55" s="593"/>
      <c r="O55" s="593"/>
      <c r="P55" s="593"/>
      <c r="Q55" s="593"/>
      <c r="R55" s="593"/>
      <c r="S55" s="593"/>
      <c r="T55" s="593"/>
      <c r="U55" s="609"/>
      <c r="V55" s="598"/>
      <c r="W55" s="598"/>
      <c r="X55" s="598"/>
      <c r="Y55" s="598"/>
      <c r="Z55" s="598"/>
      <c r="AA55" s="598"/>
      <c r="AB55" s="598"/>
      <c r="AC55" s="598"/>
      <c r="AD55" s="598"/>
      <c r="AF55" s="598"/>
      <c r="AO55" s="635"/>
      <c r="AP55" s="635"/>
      <c r="AQ55" s="598"/>
      <c r="AR55" s="598"/>
      <c r="AS55" s="598"/>
      <c r="AT55" s="598"/>
      <c r="AU55" s="598"/>
      <c r="AV55" s="598"/>
    </row>
    <row r="56" spans="2:48" s="700" customFormat="1">
      <c r="B56" s="699" t="s">
        <v>114</v>
      </c>
      <c r="G56" s="701">
        <f t="shared" ref="G56:AD56" si="61">+G20+G52+G53+G35+G36</f>
        <v>172.60000000000005</v>
      </c>
      <c r="H56" s="701">
        <f t="shared" si="61"/>
        <v>119.1999999999999</v>
      </c>
      <c r="I56" s="701">
        <f t="shared" si="61"/>
        <v>150.9</v>
      </c>
      <c r="J56" s="701">
        <f t="shared" si="61"/>
        <v>164.1</v>
      </c>
      <c r="K56" s="701">
        <f t="shared" si="61"/>
        <v>63.499999999999844</v>
      </c>
      <c r="L56" s="701">
        <f t="shared" si="61"/>
        <v>73.700000000000045</v>
      </c>
      <c r="M56" s="701">
        <f t="shared" si="61"/>
        <v>124.09999999999995</v>
      </c>
      <c r="N56" s="701">
        <f t="shared" si="61"/>
        <v>168.59999999999988</v>
      </c>
      <c r="O56" s="701">
        <f t="shared" si="61"/>
        <v>75.299999999999969</v>
      </c>
      <c r="P56" s="701">
        <f t="shared" si="61"/>
        <v>99.899999999999778</v>
      </c>
      <c r="Q56" s="701">
        <f t="shared" si="61"/>
        <v>190.7000000000001</v>
      </c>
      <c r="R56" s="701">
        <f t="shared" si="61"/>
        <v>-15.900000000000029</v>
      </c>
      <c r="S56" s="701">
        <f t="shared" si="61"/>
        <v>-9.5999999999998629</v>
      </c>
      <c r="T56" s="701">
        <f t="shared" si="61"/>
        <v>32.600000000000009</v>
      </c>
      <c r="U56" s="701">
        <f t="shared" si="61"/>
        <v>36.999999999999929</v>
      </c>
      <c r="V56" s="701">
        <f t="shared" si="61"/>
        <v>14.199999999999939</v>
      </c>
      <c r="W56" s="702">
        <f t="shared" si="61"/>
        <v>14.485788205605562</v>
      </c>
      <c r="X56" s="702">
        <f t="shared" si="61"/>
        <v>18.495688969720465</v>
      </c>
      <c r="Y56" s="702">
        <f t="shared" si="61"/>
        <v>67.129591341774301</v>
      </c>
      <c r="Z56" s="702">
        <f t="shared" si="61"/>
        <v>24.432809950930135</v>
      </c>
      <c r="AA56" s="702">
        <f t="shared" si="61"/>
        <v>16.443175071701319</v>
      </c>
      <c r="AB56" s="702">
        <f t="shared" si="61"/>
        <v>39.752327647623623</v>
      </c>
      <c r="AC56" s="702">
        <f t="shared" si="61"/>
        <v>78.95370220318739</v>
      </c>
      <c r="AD56" s="702">
        <f t="shared" si="61"/>
        <v>34.339703493928674</v>
      </c>
      <c r="AF56" s="702">
        <v>8.2769315133639374</v>
      </c>
      <c r="AK56" s="701">
        <f t="shared" ref="AK56:AV56" si="62">+AK20+AK52+AK53+AK35+AK36</f>
        <v>606.79999999999995</v>
      </c>
      <c r="AL56" s="701">
        <f t="shared" si="62"/>
        <v>429.89999999999975</v>
      </c>
      <c r="AM56" s="701">
        <f t="shared" si="62"/>
        <v>349.99999999999989</v>
      </c>
      <c r="AN56" s="701">
        <f t="shared" si="62"/>
        <v>74.199999999999903</v>
      </c>
      <c r="AO56" s="701">
        <f t="shared" si="62"/>
        <v>124.54387846803047</v>
      </c>
      <c r="AP56" s="701">
        <f t="shared" si="62"/>
        <v>169.48890841644101</v>
      </c>
      <c r="AQ56" s="702">
        <f t="shared" si="62"/>
        <v>229.41168271405169</v>
      </c>
      <c r="AR56" s="702">
        <f t="shared" si="62"/>
        <v>280.85219362700064</v>
      </c>
      <c r="AS56" s="702">
        <f t="shared" si="62"/>
        <v>311.3101524120957</v>
      </c>
      <c r="AT56" s="702">
        <f t="shared" si="62"/>
        <v>340.21207115321852</v>
      </c>
      <c r="AU56" s="702">
        <f t="shared" si="62"/>
        <v>356.64361559176973</v>
      </c>
      <c r="AV56" s="702">
        <f t="shared" si="62"/>
        <v>369.40520647685571</v>
      </c>
    </row>
    <row r="57" spans="2:48">
      <c r="B57" s="85" t="s">
        <v>113</v>
      </c>
      <c r="G57" s="263">
        <f t="shared" ref="G57:AD57" si="63">+G56/G$6</f>
        <v>0.13210868733256798</v>
      </c>
      <c r="H57" s="263">
        <f t="shared" si="63"/>
        <v>8.3106741964721398E-2</v>
      </c>
      <c r="I57" s="263">
        <f t="shared" si="63"/>
        <v>0.10711243611584328</v>
      </c>
      <c r="J57" s="263">
        <f t="shared" si="63"/>
        <v>0.10464893820547159</v>
      </c>
      <c r="K57" s="263">
        <f t="shared" si="63"/>
        <v>4.7633335833770794E-2</v>
      </c>
      <c r="L57" s="263">
        <f t="shared" si="63"/>
        <v>5.2797478329393251E-2</v>
      </c>
      <c r="M57" s="263">
        <f t="shared" si="63"/>
        <v>8.7529976019184622E-2</v>
      </c>
      <c r="N57" s="263">
        <f t="shared" si="63"/>
        <v>0.10747067822539513</v>
      </c>
      <c r="O57" s="263">
        <f t="shared" si="63"/>
        <v>5.4036598493003206E-2</v>
      </c>
      <c r="P57" s="263">
        <f t="shared" si="63"/>
        <v>7.3895998224720608E-2</v>
      </c>
      <c r="Q57" s="263">
        <f t="shared" si="63"/>
        <v>0.1338997331835417</v>
      </c>
      <c r="R57" s="263">
        <f t="shared" si="63"/>
        <v>-1.1343368766497844E-2</v>
      </c>
      <c r="S57" s="263">
        <f t="shared" si="63"/>
        <v>-8.0882972449236347E-3</v>
      </c>
      <c r="T57" s="263">
        <f t="shared" si="63"/>
        <v>2.7749404153898545E-2</v>
      </c>
      <c r="U57" s="263">
        <f t="shared" si="63"/>
        <v>3.1144781144781086E-2</v>
      </c>
      <c r="V57" s="263">
        <f t="shared" si="63"/>
        <v>1.1701689328388908E-2</v>
      </c>
      <c r="W57" s="633">
        <f t="shared" si="63"/>
        <v>3.4888994896292339E-2</v>
      </c>
      <c r="X57" s="633">
        <f t="shared" si="63"/>
        <v>3.4351512472896722E-2</v>
      </c>
      <c r="Y57" s="633">
        <f t="shared" si="63"/>
        <v>0.10390862347622513</v>
      </c>
      <c r="Z57" s="633">
        <f t="shared" si="63"/>
        <v>3.1796120510419357E-2</v>
      </c>
      <c r="AA57" s="633">
        <f t="shared" si="63"/>
        <v>2.6612682430581222E-2</v>
      </c>
      <c r="AB57" s="633">
        <f t="shared" si="63"/>
        <v>5.5660909192615467E-2</v>
      </c>
      <c r="AC57" s="633">
        <f t="shared" si="63"/>
        <v>0.11334518730926411</v>
      </c>
      <c r="AD57" s="633">
        <f t="shared" si="63"/>
        <v>4.3157444908495685E-2</v>
      </c>
      <c r="AF57" s="633">
        <v>1.2139240794773683E-2</v>
      </c>
      <c r="AK57" s="263">
        <f t="shared" ref="AK57:AP57" si="64">+AK56/AK6</f>
        <v>0.10612658936285567</v>
      </c>
      <c r="AL57" s="263">
        <f t="shared" si="64"/>
        <v>7.5215200503884055E-2</v>
      </c>
      <c r="AM57" s="263">
        <f t="shared" si="64"/>
        <v>6.2821962558110303E-2</v>
      </c>
      <c r="AN57" s="263">
        <f t="shared" si="64"/>
        <v>1.5577762848505186E-2</v>
      </c>
      <c r="AO57" s="263">
        <f t="shared" si="64"/>
        <v>5.259262532095281E-2</v>
      </c>
      <c r="AP57" s="263">
        <f t="shared" si="64"/>
        <v>6.0010535163355673E-2</v>
      </c>
      <c r="AQ57" s="633">
        <f t="shared" ref="AQ57:AV57" si="65">+AQ56/AQ$6</f>
        <v>7.6256498161867997E-2</v>
      </c>
      <c r="AR57" s="633">
        <f t="shared" si="65"/>
        <v>8.5432982361090329E-2</v>
      </c>
      <c r="AS57" s="633">
        <f t="shared" si="65"/>
        <v>9.0841189604639994E-2</v>
      </c>
      <c r="AT57" s="633">
        <f t="shared" si="65"/>
        <v>9.5503183196381805E-2</v>
      </c>
      <c r="AU57" s="633">
        <f t="shared" si="65"/>
        <v>9.4527059672508532E-2</v>
      </c>
      <c r="AV57" s="633">
        <f t="shared" si="65"/>
        <v>9.4155125789872507E-2</v>
      </c>
    </row>
    <row r="58" spans="2:48">
      <c r="H58" s="610"/>
      <c r="I58" s="610"/>
      <c r="J58" s="610"/>
      <c r="K58" s="141">
        <f t="shared" ref="K58:AD58" si="66">+K57-G57</f>
        <v>-8.4475351498797174E-2</v>
      </c>
      <c r="L58" s="141">
        <f t="shared" si="66"/>
        <v>-3.0309263635328147E-2</v>
      </c>
      <c r="M58" s="141">
        <f t="shared" si="66"/>
        <v>-1.9582460096658663E-2</v>
      </c>
      <c r="N58" s="141">
        <f t="shared" si="66"/>
        <v>2.8217400199235382E-3</v>
      </c>
      <c r="O58" s="141">
        <f t="shared" si="66"/>
        <v>6.4032626592324116E-3</v>
      </c>
      <c r="P58" s="141">
        <f t="shared" si="66"/>
        <v>2.1098519895327357E-2</v>
      </c>
      <c r="Q58" s="141">
        <f t="shared" si="66"/>
        <v>4.6369757164357081E-2</v>
      </c>
      <c r="R58" s="141">
        <f t="shared" si="66"/>
        <v>-0.11881404699189298</v>
      </c>
      <c r="S58" s="141">
        <f t="shared" si="66"/>
        <v>-6.2124895737926844E-2</v>
      </c>
      <c r="T58" s="141">
        <f t="shared" si="66"/>
        <v>-4.6146594070822063E-2</v>
      </c>
      <c r="U58" s="141">
        <f t="shared" si="66"/>
        <v>-0.10275495203876062</v>
      </c>
      <c r="V58" s="141">
        <f t="shared" si="66"/>
        <v>2.3045058094886751E-2</v>
      </c>
      <c r="W58" s="141">
        <f t="shared" si="66"/>
        <v>4.297729214121597E-2</v>
      </c>
      <c r="X58" s="141">
        <f t="shared" si="66"/>
        <v>6.6021083189981775E-3</v>
      </c>
      <c r="Y58" s="141">
        <f t="shared" si="66"/>
        <v>7.2763842331444048E-2</v>
      </c>
      <c r="Z58" s="141">
        <f t="shared" si="66"/>
        <v>2.0094431182030449E-2</v>
      </c>
      <c r="AA58" s="141">
        <f t="shared" si="66"/>
        <v>-8.2763124657111165E-3</v>
      </c>
      <c r="AB58" s="141">
        <f t="shared" si="66"/>
        <v>2.1309396719718744E-2</v>
      </c>
      <c r="AC58" s="141">
        <f t="shared" si="66"/>
        <v>9.4365638330389801E-3</v>
      </c>
      <c r="AD58" s="141">
        <f t="shared" si="66"/>
        <v>1.1361324398076328E-2</v>
      </c>
      <c r="AF58" s="141">
        <v>2.0227538039697318E-2</v>
      </c>
      <c r="AK58" s="284">
        <f t="shared" ref="AK58:AV58" si="67">+AK57-AJ57</f>
        <v>0.10612658936285567</v>
      </c>
      <c r="AL58" s="284">
        <f t="shared" si="67"/>
        <v>-3.0911388858971614E-2</v>
      </c>
      <c r="AM58" s="284">
        <f t="shared" si="67"/>
        <v>-1.2393237945773752E-2</v>
      </c>
      <c r="AN58" s="284">
        <f t="shared" si="67"/>
        <v>-4.7244199709605118E-2</v>
      </c>
      <c r="AO58" s="284">
        <f t="shared" si="67"/>
        <v>3.7014862472447625E-2</v>
      </c>
      <c r="AP58" s="284">
        <f t="shared" si="67"/>
        <v>7.4179098424028631E-3</v>
      </c>
      <c r="AQ58" s="284">
        <f t="shared" si="67"/>
        <v>1.6245962998512324E-2</v>
      </c>
      <c r="AR58" s="284">
        <f t="shared" si="67"/>
        <v>9.1764841992223317E-3</v>
      </c>
      <c r="AS58" s="284">
        <f t="shared" si="67"/>
        <v>5.4082072435496648E-3</v>
      </c>
      <c r="AT58" s="284">
        <f t="shared" si="67"/>
        <v>4.6619935917418115E-3</v>
      </c>
      <c r="AU58" s="284">
        <f t="shared" si="67"/>
        <v>-9.761235238732735E-4</v>
      </c>
      <c r="AV58" s="284">
        <f t="shared" si="67"/>
        <v>-3.7193388263602467E-4</v>
      </c>
    </row>
    <row r="59" spans="2:48">
      <c r="H59" s="610"/>
      <c r="I59" s="610"/>
      <c r="J59" s="610"/>
      <c r="K59" s="141"/>
      <c r="L59" s="141"/>
      <c r="M59" s="141"/>
      <c r="N59" s="141"/>
      <c r="O59" s="141"/>
      <c r="P59" s="141"/>
      <c r="Q59" s="141"/>
      <c r="R59" s="141"/>
      <c r="S59" s="141"/>
      <c r="T59" s="141"/>
      <c r="U59" s="141"/>
      <c r="V59" s="141"/>
      <c r="W59" s="634"/>
      <c r="X59" s="634"/>
      <c r="Y59" s="634"/>
      <c r="Z59" s="634"/>
      <c r="AA59" s="634"/>
      <c r="AB59" s="634"/>
      <c r="AC59" s="634"/>
      <c r="AD59" s="634"/>
      <c r="AF59" s="634"/>
      <c r="AQ59" s="634"/>
      <c r="AR59" s="634"/>
      <c r="AS59" s="634"/>
      <c r="AT59" s="634"/>
      <c r="AU59" s="634"/>
      <c r="AV59" s="634"/>
    </row>
    <row r="60" spans="2:48" s="700" customFormat="1">
      <c r="B60" s="699" t="s">
        <v>732</v>
      </c>
      <c r="G60" s="701">
        <f t="shared" ref="G60:AD60" si="68">+G25+G52+G53</f>
        <v>82.20000000000006</v>
      </c>
      <c r="H60" s="701">
        <f t="shared" si="68"/>
        <v>133.29999999999993</v>
      </c>
      <c r="I60" s="701">
        <f t="shared" si="68"/>
        <v>127.3</v>
      </c>
      <c r="J60" s="701">
        <f t="shared" si="68"/>
        <v>143.19999999999999</v>
      </c>
      <c r="K60" s="701">
        <f t="shared" si="68"/>
        <v>67.399999999999835</v>
      </c>
      <c r="L60" s="701">
        <f t="shared" si="68"/>
        <v>96.400000000000048</v>
      </c>
      <c r="M60" s="701">
        <f t="shared" si="68"/>
        <v>122.39999999999996</v>
      </c>
      <c r="N60" s="701">
        <f t="shared" si="68"/>
        <v>183.59999999999988</v>
      </c>
      <c r="O60" s="701">
        <f t="shared" si="68"/>
        <v>83.699999999999974</v>
      </c>
      <c r="P60" s="701">
        <f t="shared" si="68"/>
        <v>104.19999999999978</v>
      </c>
      <c r="Q60" s="701">
        <f t="shared" si="68"/>
        <v>64.300000000000097</v>
      </c>
      <c r="R60" s="701">
        <f t="shared" si="68"/>
        <v>102.79999999999997</v>
      </c>
      <c r="S60" s="701">
        <f t="shared" si="68"/>
        <v>80.900000000000134</v>
      </c>
      <c r="T60" s="701">
        <f t="shared" si="68"/>
        <v>111.40000000000002</v>
      </c>
      <c r="U60" s="701">
        <f t="shared" si="68"/>
        <v>90.699999999999932</v>
      </c>
      <c r="V60" s="701">
        <f>+V25+V52+V53</f>
        <v>20.899999999999949</v>
      </c>
      <c r="W60" s="702">
        <f t="shared" si="68"/>
        <v>14.485788205605562</v>
      </c>
      <c r="X60" s="702">
        <f t="shared" si="68"/>
        <v>18.495688969720465</v>
      </c>
      <c r="Y60" s="702">
        <f t="shared" si="68"/>
        <v>67.129591341774301</v>
      </c>
      <c r="Z60" s="702">
        <f t="shared" si="68"/>
        <v>24.432809950930135</v>
      </c>
      <c r="AA60" s="702">
        <f t="shared" si="68"/>
        <v>16.443175071701319</v>
      </c>
      <c r="AB60" s="702">
        <f t="shared" si="68"/>
        <v>39.752327647623623</v>
      </c>
      <c r="AC60" s="702">
        <f t="shared" si="68"/>
        <v>78.95370220318739</v>
      </c>
      <c r="AD60" s="702">
        <f t="shared" si="68"/>
        <v>34.339703493928674</v>
      </c>
      <c r="AF60" s="702">
        <v>8.2769315133639374</v>
      </c>
      <c r="AK60" s="701">
        <f t="shared" ref="AK60:AV60" si="69">+AK25+AK52+AK53</f>
        <v>486</v>
      </c>
      <c r="AL60" s="701">
        <f t="shared" si="69"/>
        <v>469.79999999999973</v>
      </c>
      <c r="AM60" s="701">
        <f t="shared" si="69"/>
        <v>354.99999999999983</v>
      </c>
      <c r="AN60" s="701">
        <f t="shared" si="69"/>
        <v>218.49999999999991</v>
      </c>
      <c r="AO60" s="701">
        <f t="shared" si="69"/>
        <v>124.54387846803047</v>
      </c>
      <c r="AP60" s="701">
        <f t="shared" si="69"/>
        <v>169.48890841644101</v>
      </c>
      <c r="AQ60" s="702">
        <f t="shared" si="69"/>
        <v>229.41168271405169</v>
      </c>
      <c r="AR60" s="702">
        <f t="shared" si="69"/>
        <v>280.85219362700064</v>
      </c>
      <c r="AS60" s="702">
        <f t="shared" si="69"/>
        <v>311.3101524120957</v>
      </c>
      <c r="AT60" s="702">
        <f t="shared" si="69"/>
        <v>340.21207115321852</v>
      </c>
      <c r="AU60" s="702">
        <f t="shared" si="69"/>
        <v>356.64361559176973</v>
      </c>
      <c r="AV60" s="702">
        <f t="shared" si="69"/>
        <v>369.40520647685571</v>
      </c>
    </row>
    <row r="61" spans="2:48">
      <c r="B61" s="85" t="s">
        <v>113</v>
      </c>
      <c r="G61" s="263">
        <f t="shared" ref="G61:AD61" si="70">+G60/G$6</f>
        <v>6.2916188289322661E-2</v>
      </c>
      <c r="H61" s="263">
        <f t="shared" si="70"/>
        <v>9.2937321341420853E-2</v>
      </c>
      <c r="I61" s="263">
        <f t="shared" si="70"/>
        <v>9.0360590573537763E-2</v>
      </c>
      <c r="J61" s="263">
        <f t="shared" si="70"/>
        <v>9.1320706587590075E-2</v>
      </c>
      <c r="K61" s="263">
        <f t="shared" si="70"/>
        <v>5.0558847798364594E-2</v>
      </c>
      <c r="L61" s="263">
        <f t="shared" si="70"/>
        <v>6.9059388208324413E-2</v>
      </c>
      <c r="M61" s="263">
        <f t="shared" si="70"/>
        <v>8.6330935251798538E-2</v>
      </c>
      <c r="N61" s="263">
        <f t="shared" si="70"/>
        <v>0.11703212646608865</v>
      </c>
      <c r="O61" s="263">
        <f t="shared" si="70"/>
        <v>6.0064585575888035E-2</v>
      </c>
      <c r="P61" s="263">
        <f t="shared" si="70"/>
        <v>7.7076706857015898E-2</v>
      </c>
      <c r="Q61" s="263">
        <f t="shared" si="70"/>
        <v>4.5148153349248765E-2</v>
      </c>
      <c r="R61" s="263">
        <f t="shared" si="70"/>
        <v>7.3339516301633711E-2</v>
      </c>
      <c r="S61" s="263">
        <f t="shared" si="70"/>
        <v>6.8160754907742968E-2</v>
      </c>
      <c r="T61" s="263">
        <f t="shared" si="70"/>
        <v>9.4824651004426302E-2</v>
      </c>
      <c r="U61" s="263">
        <f t="shared" si="70"/>
        <v>7.6346801346801288E-2</v>
      </c>
      <c r="V61" s="263">
        <f t="shared" si="70"/>
        <v>1.722290894107948E-2</v>
      </c>
      <c r="W61" s="633">
        <f t="shared" si="70"/>
        <v>3.4888994896292339E-2</v>
      </c>
      <c r="X61" s="633">
        <f t="shared" si="70"/>
        <v>3.4351512472896722E-2</v>
      </c>
      <c r="Y61" s="633">
        <f t="shared" si="70"/>
        <v>0.10390862347622513</v>
      </c>
      <c r="Z61" s="633">
        <f t="shared" si="70"/>
        <v>3.1796120510419357E-2</v>
      </c>
      <c r="AA61" s="633">
        <f t="shared" si="70"/>
        <v>2.6612682430581222E-2</v>
      </c>
      <c r="AB61" s="633">
        <f t="shared" si="70"/>
        <v>5.5660909192615467E-2</v>
      </c>
      <c r="AC61" s="633">
        <f t="shared" si="70"/>
        <v>0.11334518730926411</v>
      </c>
      <c r="AD61" s="633">
        <f t="shared" si="70"/>
        <v>4.3157444908495685E-2</v>
      </c>
      <c r="AF61" s="633">
        <v>1.2139240794773683E-2</v>
      </c>
      <c r="AK61" s="263">
        <f t="shared" ref="AK61:AV61" si="71">+AK60/AK$6</f>
        <v>8.499921297025026E-2</v>
      </c>
      <c r="AL61" s="263">
        <f t="shared" si="71"/>
        <v>8.2196094898173366E-2</v>
      </c>
      <c r="AM61" s="263">
        <f t="shared" si="71"/>
        <v>6.3719419166083299E-2</v>
      </c>
      <c r="AN61" s="263">
        <f t="shared" si="71"/>
        <v>4.5872522673832704E-2</v>
      </c>
      <c r="AO61" s="263">
        <f t="shared" si="71"/>
        <v>5.259262532095281E-2</v>
      </c>
      <c r="AP61" s="263">
        <f t="shared" si="71"/>
        <v>6.0010535163355673E-2</v>
      </c>
      <c r="AQ61" s="633">
        <f t="shared" si="71"/>
        <v>7.6256498161867997E-2</v>
      </c>
      <c r="AR61" s="633">
        <f t="shared" si="71"/>
        <v>8.5432982361090329E-2</v>
      </c>
      <c r="AS61" s="633">
        <f t="shared" si="71"/>
        <v>9.0841189604639994E-2</v>
      </c>
      <c r="AT61" s="633">
        <f t="shared" si="71"/>
        <v>9.5503183196381805E-2</v>
      </c>
      <c r="AU61" s="633">
        <f t="shared" si="71"/>
        <v>9.4527059672508532E-2</v>
      </c>
      <c r="AV61" s="633">
        <f t="shared" si="71"/>
        <v>9.4155125789872507E-2</v>
      </c>
    </row>
    <row r="63" spans="2:48">
      <c r="AM63" s="85">
        <v>2100</v>
      </c>
      <c r="AN63" s="85">
        <v>2100</v>
      </c>
    </row>
    <row r="64" spans="2:48" s="608" customFormat="1">
      <c r="AM64" s="1590">
        <f>+AM63/AM60</f>
        <v>5.9154929577464817</v>
      </c>
      <c r="AN64" s="1590">
        <f>+AN63/AN60</f>
        <v>9.6109839816933675</v>
      </c>
    </row>
    <row r="66" spans="2:2" s="363" customFormat="1" ht="15">
      <c r="B66" s="848" t="s">
        <v>733</v>
      </c>
    </row>
    <row r="102" spans="2:48" s="363" customFormat="1">
      <c r="O102" s="849"/>
      <c r="P102" s="849"/>
      <c r="Q102" s="849"/>
      <c r="R102" s="849"/>
      <c r="S102" s="849"/>
      <c r="T102" s="849"/>
      <c r="U102" s="849"/>
      <c r="V102" s="849"/>
      <c r="W102" s="849"/>
      <c r="X102" s="849"/>
      <c r="Y102" s="849"/>
      <c r="Z102" s="849"/>
      <c r="AA102" s="849"/>
      <c r="AB102" s="849"/>
      <c r="AC102" s="849"/>
      <c r="AD102" s="849"/>
      <c r="AF102" s="849"/>
      <c r="AM102" s="849"/>
      <c r="AN102" s="849"/>
      <c r="AO102" s="849"/>
      <c r="AP102" s="849"/>
      <c r="AQ102" s="849"/>
      <c r="AR102" s="849"/>
      <c r="AS102" s="849"/>
      <c r="AT102" s="849"/>
      <c r="AU102" s="849"/>
      <c r="AV102" s="849"/>
    </row>
    <row r="103" spans="2:48" s="870" customFormat="1">
      <c r="B103" s="872" t="s">
        <v>734</v>
      </c>
      <c r="O103" s="873"/>
      <c r="P103" s="873"/>
      <c r="Q103" s="873"/>
      <c r="R103" s="873"/>
      <c r="S103" s="873"/>
      <c r="T103" s="873"/>
      <c r="U103" s="873"/>
      <c r="V103" s="873"/>
      <c r="W103" s="873"/>
      <c r="X103" s="873"/>
      <c r="Y103" s="873"/>
      <c r="Z103" s="873"/>
      <c r="AA103" s="873"/>
      <c r="AB103" s="873"/>
      <c r="AC103" s="873"/>
      <c r="AD103" s="873"/>
      <c r="AF103" s="873"/>
      <c r="AM103" s="873"/>
      <c r="AN103" s="873"/>
      <c r="AO103" s="873"/>
      <c r="AP103" s="873"/>
      <c r="AQ103" s="873"/>
      <c r="AR103" s="873"/>
      <c r="AS103" s="873"/>
      <c r="AT103" s="873"/>
      <c r="AU103" s="873"/>
      <c r="AV103" s="873"/>
    </row>
    <row r="104" spans="2:48" s="361" customFormat="1">
      <c r="B104" s="361" t="s">
        <v>735</v>
      </c>
      <c r="G104" s="850">
        <v>426.4</v>
      </c>
      <c r="H104" s="850">
        <v>535.70000000000005</v>
      </c>
      <c r="I104" s="850">
        <v>594.79999999999995</v>
      </c>
      <c r="J104" s="850">
        <v>589</v>
      </c>
      <c r="K104" s="850">
        <v>499.2</v>
      </c>
      <c r="L104" s="850">
        <v>558.1</v>
      </c>
      <c r="M104" s="850">
        <v>589.70000000000005</v>
      </c>
      <c r="N104" s="850">
        <v>575.4</v>
      </c>
      <c r="O104" s="850">
        <v>497.1</v>
      </c>
      <c r="P104" s="850">
        <v>516.1</v>
      </c>
      <c r="Q104" s="850">
        <v>645.4</v>
      </c>
      <c r="R104" s="850">
        <v>488.3</v>
      </c>
      <c r="S104" s="850">
        <v>414.7</v>
      </c>
      <c r="T104" s="850">
        <v>443</v>
      </c>
      <c r="U104" s="851">
        <v>494</v>
      </c>
      <c r="V104" s="851">
        <f>1762.7-SUM(S104:U104)</f>
        <v>411</v>
      </c>
      <c r="W104" s="852"/>
      <c r="X104" s="852"/>
      <c r="Y104" s="852"/>
      <c r="Z104" s="852"/>
      <c r="AA104" s="852"/>
      <c r="AB104" s="852"/>
      <c r="AC104" s="852"/>
      <c r="AD104" s="852"/>
      <c r="AF104" s="852">
        <v>307.50570096661897</v>
      </c>
      <c r="AK104" s="361">
        <v>2145.9</v>
      </c>
      <c r="AL104" s="853">
        <f>+SUM(K104:N104)</f>
        <v>2222.4</v>
      </c>
      <c r="AM104" s="853">
        <f>+SUM(O104:R104)-168.4</f>
        <v>1978.5</v>
      </c>
      <c r="AN104" s="853">
        <f>+SUM(S104:V104)</f>
        <v>1762.7</v>
      </c>
      <c r="AO104" s="853">
        <f>+(AN104+AN130)*5</f>
        <v>12570</v>
      </c>
      <c r="AP104" s="853"/>
      <c r="AQ104" s="852"/>
      <c r="AR104" s="852"/>
      <c r="AS104" s="852"/>
      <c r="AT104" s="852"/>
      <c r="AU104" s="852"/>
      <c r="AV104" s="852"/>
    </row>
    <row r="105" spans="2:48" s="363" customFormat="1">
      <c r="B105" s="361"/>
      <c r="K105" s="854">
        <f t="shared" ref="K105:V105" si="72">+K104/G104-1</f>
        <v>0.1707317073170731</v>
      </c>
      <c r="L105" s="854">
        <f t="shared" si="72"/>
        <v>4.1814448385290248E-2</v>
      </c>
      <c r="M105" s="854">
        <f t="shared" si="72"/>
        <v>-8.5743106926696733E-3</v>
      </c>
      <c r="N105" s="854">
        <f t="shared" si="72"/>
        <v>-2.3089983022071325E-2</v>
      </c>
      <c r="O105" s="854">
        <f t="shared" si="72"/>
        <v>-4.2067307692307265E-3</v>
      </c>
      <c r="P105" s="854">
        <f t="shared" si="72"/>
        <v>-7.5255330585916491E-2</v>
      </c>
      <c r="Q105" s="854">
        <f t="shared" si="72"/>
        <v>9.445480752925195E-2</v>
      </c>
      <c r="R105" s="854">
        <f t="shared" si="72"/>
        <v>-0.15137295794230099</v>
      </c>
      <c r="S105" s="854">
        <f t="shared" si="72"/>
        <v>-0.1657614162140415</v>
      </c>
      <c r="T105" s="854">
        <f t="shared" si="72"/>
        <v>-0.14163921720596784</v>
      </c>
      <c r="U105" s="854">
        <f t="shared" si="72"/>
        <v>-0.23458320421444068</v>
      </c>
      <c r="V105" s="854">
        <f t="shared" si="72"/>
        <v>-0.15830432111406922</v>
      </c>
      <c r="W105" s="854"/>
      <c r="X105" s="854"/>
      <c r="Y105" s="854"/>
      <c r="Z105" s="854"/>
      <c r="AA105" s="854"/>
      <c r="AB105" s="854"/>
      <c r="AC105" s="854"/>
      <c r="AD105" s="854"/>
      <c r="AF105" s="854">
        <v>-0.25848637336238489</v>
      </c>
      <c r="AL105" s="849">
        <f t="shared" ref="AL105:AN105" si="73">+AL104/AK104-1</f>
        <v>3.5649377883405498E-2</v>
      </c>
      <c r="AM105" s="849">
        <f t="shared" si="73"/>
        <v>-0.1097462203023758</v>
      </c>
      <c r="AN105" s="849">
        <f t="shared" si="73"/>
        <v>-0.10907252969421277</v>
      </c>
      <c r="AO105" s="849"/>
      <c r="AP105" s="849"/>
      <c r="AQ105" s="849"/>
      <c r="AR105" s="849"/>
      <c r="AS105" s="849"/>
      <c r="AT105" s="849"/>
      <c r="AU105" s="849"/>
      <c r="AV105" s="849"/>
    </row>
    <row r="106" spans="2:48" s="363" customFormat="1">
      <c r="B106" s="361"/>
      <c r="K106" s="854"/>
      <c r="L106" s="854"/>
      <c r="M106" s="854"/>
      <c r="N106" s="854"/>
      <c r="O106" s="854"/>
      <c r="P106" s="854"/>
      <c r="Q106" s="854"/>
      <c r="R106" s="854"/>
      <c r="S106" s="854"/>
      <c r="T106" s="854"/>
      <c r="U106" s="854"/>
      <c r="V106" s="854"/>
      <c r="W106" s="854"/>
      <c r="X106" s="854"/>
      <c r="Y106" s="854"/>
      <c r="Z106" s="854"/>
      <c r="AA106" s="854"/>
      <c r="AB106" s="854"/>
      <c r="AC106" s="854"/>
      <c r="AD106" s="854"/>
      <c r="AF106" s="854"/>
      <c r="AL106" s="849"/>
      <c r="AM106" s="849"/>
      <c r="AN106" s="849"/>
      <c r="AO106" s="849"/>
      <c r="AP106" s="849"/>
      <c r="AQ106" s="849"/>
      <c r="AR106" s="849"/>
      <c r="AS106" s="849"/>
      <c r="AT106" s="849"/>
      <c r="AU106" s="849"/>
      <c r="AV106" s="849"/>
    </row>
    <row r="107" spans="2:48" s="363" customFormat="1">
      <c r="B107" s="361"/>
      <c r="U107" s="855"/>
      <c r="V107" s="855"/>
      <c r="W107" s="856"/>
      <c r="X107" s="856"/>
      <c r="Y107" s="856"/>
      <c r="Z107" s="856"/>
      <c r="AA107" s="856"/>
      <c r="AB107" s="856"/>
      <c r="AC107" s="856"/>
      <c r="AD107" s="856"/>
      <c r="AF107" s="856"/>
      <c r="AL107" s="849"/>
      <c r="AM107" s="849"/>
      <c r="AN107" s="855"/>
      <c r="AO107" s="855"/>
      <c r="AP107" s="855"/>
      <c r="AQ107" s="856"/>
      <c r="AR107" s="856"/>
      <c r="AS107" s="856"/>
      <c r="AT107" s="856"/>
      <c r="AU107" s="856"/>
      <c r="AV107" s="856"/>
    </row>
    <row r="108" spans="2:48" s="855" customFormat="1">
      <c r="B108" s="855" t="s">
        <v>736</v>
      </c>
      <c r="G108" s="855">
        <f>+$AK$110*G104</f>
        <v>242.49897944918214</v>
      </c>
      <c r="H108" s="855">
        <f>+$AK$110*H104</f>
        <v>304.65924786802742</v>
      </c>
      <c r="I108" s="855">
        <f>+$AK$110*I104</f>
        <v>338.27015238361525</v>
      </c>
      <c r="J108" s="855">
        <f>+$AK$110*J104</f>
        <v>334.97162029917519</v>
      </c>
      <c r="K108" s="855">
        <f>+$AL$110*K104</f>
        <v>283.87732181425486</v>
      </c>
      <c r="L108" s="855">
        <f>+$AL$110*L104</f>
        <v>317.3716612670986</v>
      </c>
      <c r="M108" s="855">
        <f>+$AL$110*M104</f>
        <v>335.34145968322537</v>
      </c>
      <c r="N108" s="855">
        <f>+$AL$110*N104</f>
        <v>327.20955723542113</v>
      </c>
      <c r="O108" s="855">
        <f>+$AM$110*O104</f>
        <v>274.96903714935553</v>
      </c>
      <c r="P108" s="855">
        <f>+$AM$110*P104</f>
        <v>285.47881728582252</v>
      </c>
      <c r="Q108" s="855">
        <f>+$AM$110*Q104</f>
        <v>357.00063684609546</v>
      </c>
      <c r="R108" s="855">
        <f>+$AM$110*R104</f>
        <v>270.10134950720237</v>
      </c>
      <c r="S108" s="856">
        <f>+S111/MACRO!S3</f>
        <v>234.87081441355321</v>
      </c>
      <c r="T108" s="855">
        <f>+$AM$110*T104</f>
        <v>245.0438210765731</v>
      </c>
      <c r="U108" s="855">
        <f>+$AM$110*U104</f>
        <v>273.2542835481425</v>
      </c>
      <c r="V108" s="855">
        <f>+$AM$110*V104</f>
        <v>227.34313874147077</v>
      </c>
      <c r="W108" s="856"/>
      <c r="X108" s="856"/>
      <c r="Y108" s="856"/>
      <c r="Z108" s="856"/>
      <c r="AA108" s="856"/>
      <c r="AB108" s="856"/>
      <c r="AC108" s="856"/>
      <c r="AD108" s="856"/>
      <c r="AF108" s="856">
        <v>174.1066119615561</v>
      </c>
      <c r="AK108" s="857">
        <v>1220.4000000000001</v>
      </c>
      <c r="AL108" s="857">
        <v>1263.8</v>
      </c>
      <c r="AM108" s="857">
        <f>1262.8-168.4</f>
        <v>1094.3999999999999</v>
      </c>
      <c r="AN108" s="855">
        <f>+SUM(S108:V108)</f>
        <v>980.51205777973951</v>
      </c>
      <c r="AQ108" s="856"/>
      <c r="AR108" s="856"/>
      <c r="AS108" s="856"/>
      <c r="AT108" s="856"/>
      <c r="AU108" s="856"/>
      <c r="AV108" s="856"/>
    </row>
    <row r="109" spans="2:48" s="855" customFormat="1">
      <c r="B109" s="858" t="s">
        <v>108</v>
      </c>
      <c r="K109" s="854">
        <f t="shared" ref="K109:V109" si="74">+K108/G108-1</f>
        <v>0.17063305775166748</v>
      </c>
      <c r="L109" s="854">
        <f t="shared" si="74"/>
        <v>4.1726661796847697E-2</v>
      </c>
      <c r="M109" s="854">
        <f t="shared" si="74"/>
        <v>-8.6578513645171329E-3</v>
      </c>
      <c r="N109" s="854">
        <f t="shared" si="74"/>
        <v>-2.3172300557347203E-2</v>
      </c>
      <c r="O109" s="854">
        <f t="shared" si="74"/>
        <v>-3.1380754925989351E-2</v>
      </c>
      <c r="P109" s="854">
        <f t="shared" si="74"/>
        <v>-0.10049052222855903</v>
      </c>
      <c r="Q109" s="854">
        <f t="shared" si="74"/>
        <v>6.45884263261991E-2</v>
      </c>
      <c r="R109" s="854">
        <f t="shared" si="74"/>
        <v>-0.17453098928626487</v>
      </c>
      <c r="S109" s="854">
        <f t="shared" si="74"/>
        <v>-0.14582813814786744</v>
      </c>
      <c r="T109" s="854">
        <f t="shared" si="74"/>
        <v>-0.14163921720596784</v>
      </c>
      <c r="U109" s="854">
        <f t="shared" si="74"/>
        <v>-0.23458320421444057</v>
      </c>
      <c r="V109" s="854">
        <f t="shared" si="74"/>
        <v>-0.15830432111406922</v>
      </c>
      <c r="W109" s="854"/>
      <c r="X109" s="854"/>
      <c r="Y109" s="854"/>
      <c r="Z109" s="854"/>
      <c r="AA109" s="854"/>
      <c r="AB109" s="854"/>
      <c r="AC109" s="854"/>
      <c r="AD109" s="854"/>
      <c r="AF109" s="854">
        <v>-0.24100100772589861</v>
      </c>
      <c r="AL109" s="849">
        <f t="shared" ref="AL109:AN109" si="75">+AL108/AK108-1</f>
        <v>3.5562110783349699E-2</v>
      </c>
      <c r="AM109" s="849">
        <f t="shared" si="75"/>
        <v>-0.13404019623358132</v>
      </c>
      <c r="AN109" s="849">
        <f t="shared" si="75"/>
        <v>-0.10406427468956536</v>
      </c>
      <c r="AO109" s="854"/>
      <c r="AP109" s="854"/>
      <c r="AQ109" s="854"/>
      <c r="AR109" s="854"/>
      <c r="AS109" s="854"/>
      <c r="AT109" s="854"/>
      <c r="AU109" s="854"/>
      <c r="AV109" s="854"/>
    </row>
    <row r="110" spans="2:48" s="855" customFormat="1">
      <c r="B110" s="858"/>
      <c r="AK110" s="849">
        <f t="shared" ref="AK110:AN110" si="76">+AK108/AK$104</f>
        <v>0.56871242835174052</v>
      </c>
      <c r="AL110" s="849">
        <f t="shared" si="76"/>
        <v>0.5686645068394528</v>
      </c>
      <c r="AM110" s="849">
        <f t="shared" si="76"/>
        <v>0.55314632297194832</v>
      </c>
      <c r="AN110" s="849">
        <f t="shared" si="76"/>
        <v>0.55625577680815763</v>
      </c>
      <c r="AO110" s="849"/>
      <c r="AP110" s="849"/>
      <c r="AQ110" s="849"/>
      <c r="AR110" s="849"/>
      <c r="AS110" s="849"/>
      <c r="AT110" s="849"/>
      <c r="AU110" s="849"/>
      <c r="AV110" s="849"/>
    </row>
    <row r="111" spans="2:48" s="855" customFormat="1">
      <c r="B111" s="855" t="s">
        <v>737</v>
      </c>
      <c r="G111" s="855">
        <f>+G108*MACRO!G3</f>
        <v>945.47927097441618</v>
      </c>
      <c r="H111" s="855">
        <f>+H108*MACRO!H3</f>
        <v>1066.3682993876696</v>
      </c>
      <c r="I111" s="855">
        <f>+I108*MACRO!I3</f>
        <v>1098.1940497134069</v>
      </c>
      <c r="J111" s="855">
        <f>+J108*MACRO!J3</f>
        <v>1103.396517265483</v>
      </c>
      <c r="K111" s="855">
        <f>+K108*MACRO!K3</f>
        <v>892.56707524838009</v>
      </c>
      <c r="L111" s="855">
        <f>+L108*MACRO!L3</f>
        <v>1021.1750572930165</v>
      </c>
      <c r="M111" s="855">
        <f>+M108*MACRO!M3</f>
        <v>1060.7185711240102</v>
      </c>
      <c r="N111" s="855">
        <f>+N108*MACRO!N3</f>
        <v>1063.5619448380128</v>
      </c>
      <c r="O111" s="855">
        <f>+O108*MACRO!O3</f>
        <v>891.58710295678532</v>
      </c>
      <c r="P111" s="855">
        <f>+P108*MACRO!P3</f>
        <v>1030.2359558210762</v>
      </c>
      <c r="Q111" s="855">
        <f>+Q108*MACRO!Q3</f>
        <v>1409.3671141410157</v>
      </c>
      <c r="R111" s="855">
        <f>+R108*MACRO!R3</f>
        <v>1029.5183037816525</v>
      </c>
      <c r="S111" s="857">
        <v>884.5</v>
      </c>
      <c r="T111" s="855">
        <f>+T108*MACRO!T3</f>
        <v>960.96384873388911</v>
      </c>
      <c r="U111" s="855">
        <f>+U108*MACRO!U3</f>
        <v>1085.4753159666411</v>
      </c>
      <c r="V111" s="855">
        <f>+V108*MACRO!V3</f>
        <v>935.90349925701264</v>
      </c>
      <c r="W111" s="856"/>
      <c r="X111" s="856"/>
      <c r="Y111" s="856"/>
      <c r="Z111" s="856"/>
      <c r="AA111" s="856"/>
      <c r="AB111" s="856"/>
      <c r="AC111" s="856"/>
      <c r="AD111" s="856"/>
      <c r="AF111" s="856">
        <v>777.47307571432873</v>
      </c>
      <c r="AK111" s="855">
        <f>+AK108*MACRO!BE3</f>
        <v>4252.9719600000008</v>
      </c>
      <c r="AL111" s="855">
        <f>+AL108*MACRO!BF3</f>
        <v>4036.3560350000002</v>
      </c>
      <c r="AM111" s="855">
        <f>+AM108*MACRO!BG3</f>
        <v>3997.4875199999992</v>
      </c>
      <c r="AN111" s="855">
        <f>+SUM(S111:V111)</f>
        <v>3866.8426639575432</v>
      </c>
      <c r="AQ111" s="856"/>
      <c r="AR111" s="856"/>
      <c r="AS111" s="856"/>
      <c r="AT111" s="856"/>
      <c r="AU111" s="856"/>
      <c r="AV111" s="856"/>
    </row>
    <row r="112" spans="2:48" s="855" customFormat="1">
      <c r="B112" s="858" t="s">
        <v>108</v>
      </c>
      <c r="K112" s="854">
        <f t="shared" ref="K112:V112" si="77">+K111/G111-1</f>
        <v>-5.5963358849215661E-2</v>
      </c>
      <c r="L112" s="854">
        <f t="shared" si="77"/>
        <v>-4.2380519113897175E-2</v>
      </c>
      <c r="M112" s="854">
        <f t="shared" si="77"/>
        <v>-3.4124641814601508E-2</v>
      </c>
      <c r="N112" s="854">
        <f t="shared" si="77"/>
        <v>-3.6101774660473929E-2</v>
      </c>
      <c r="O112" s="854">
        <f t="shared" si="77"/>
        <v>-1.0979256559761064E-3</v>
      </c>
      <c r="P112" s="854">
        <f t="shared" si="77"/>
        <v>8.8730119907931559E-3</v>
      </c>
      <c r="Q112" s="854">
        <f t="shared" si="77"/>
        <v>0.32869090115727273</v>
      </c>
      <c r="R112" s="854">
        <f t="shared" si="77"/>
        <v>-3.2009081578737053E-2</v>
      </c>
      <c r="S112" s="854">
        <f t="shared" si="77"/>
        <v>-7.9488621283128058E-3</v>
      </c>
      <c r="T112" s="854">
        <f t="shared" si="77"/>
        <v>-6.7239069550798947E-2</v>
      </c>
      <c r="U112" s="854">
        <f t="shared" si="77"/>
        <v>-0.22981364821456107</v>
      </c>
      <c r="V112" s="854">
        <f t="shared" si="77"/>
        <v>-9.0930684943406725E-2</v>
      </c>
      <c r="W112" s="859"/>
      <c r="X112" s="859"/>
      <c r="Y112" s="859"/>
      <c r="Z112" s="859"/>
      <c r="AA112" s="859"/>
      <c r="AB112" s="859"/>
      <c r="AC112" s="859"/>
      <c r="AD112" s="859"/>
      <c r="AF112" s="859">
        <v>-0.1</v>
      </c>
      <c r="AL112" s="849">
        <f>+AL111/AK111-1</f>
        <v>-5.0932836387663438E-2</v>
      </c>
      <c r="AM112" s="849">
        <f>+AM111/AL111-1</f>
        <v>-9.6296051842218455E-3</v>
      </c>
      <c r="AN112" s="849">
        <f>+AN111/AM111-1</f>
        <v>-3.2681742066440811E-2</v>
      </c>
      <c r="AO112" s="849"/>
      <c r="AP112" s="849"/>
      <c r="AQ112" s="859"/>
      <c r="AR112" s="859"/>
      <c r="AS112" s="859"/>
      <c r="AT112" s="859"/>
      <c r="AU112" s="859"/>
      <c r="AV112" s="859"/>
    </row>
    <row r="113" spans="2:48" s="855" customFormat="1">
      <c r="AL113" s="849"/>
      <c r="AM113" s="849"/>
    </row>
    <row r="114" spans="2:48" s="855" customFormat="1">
      <c r="B114" s="855" t="s">
        <v>738</v>
      </c>
      <c r="G114" s="855">
        <f t="shared" ref="G114:N114" si="78">+(1-$AL$110)*G104</f>
        <v>183.92145428365731</v>
      </c>
      <c r="H114" s="855">
        <f t="shared" si="78"/>
        <v>231.06642368610517</v>
      </c>
      <c r="I114" s="855">
        <f t="shared" si="78"/>
        <v>256.55835133189345</v>
      </c>
      <c r="J114" s="855">
        <f t="shared" si="78"/>
        <v>254.05660547156231</v>
      </c>
      <c r="K114" s="855">
        <f t="shared" si="78"/>
        <v>215.32267818574516</v>
      </c>
      <c r="L114" s="855">
        <f t="shared" si="78"/>
        <v>240.72833873290139</v>
      </c>
      <c r="M114" s="855">
        <f t="shared" si="78"/>
        <v>254.35854031677471</v>
      </c>
      <c r="N114" s="855">
        <f t="shared" si="78"/>
        <v>248.19044276457885</v>
      </c>
      <c r="O114" s="855">
        <f t="shared" ref="O114:V114" si="79">+(1-$AM$110)*O104</f>
        <v>222.13096285064449</v>
      </c>
      <c r="P114" s="855">
        <f t="shared" si="79"/>
        <v>230.62118271417748</v>
      </c>
      <c r="Q114" s="855">
        <f t="shared" si="79"/>
        <v>288.39936315390452</v>
      </c>
      <c r="R114" s="855">
        <f t="shared" si="79"/>
        <v>218.19865049279764</v>
      </c>
      <c r="S114" s="855">
        <f t="shared" si="79"/>
        <v>185.31021986353304</v>
      </c>
      <c r="T114" s="855">
        <f t="shared" si="79"/>
        <v>197.9561789234269</v>
      </c>
      <c r="U114" s="855">
        <f t="shared" si="79"/>
        <v>220.74571645185753</v>
      </c>
      <c r="V114" s="855">
        <f t="shared" si="79"/>
        <v>183.65686125852923</v>
      </c>
      <c r="W114" s="856"/>
      <c r="X114" s="856"/>
      <c r="Y114" s="856"/>
      <c r="Z114" s="856"/>
      <c r="AA114" s="856"/>
      <c r="AB114" s="856"/>
      <c r="AC114" s="856"/>
      <c r="AD114" s="856"/>
      <c r="AF114" s="856">
        <v>133.39908900506285</v>
      </c>
      <c r="AK114" s="855">
        <f>+AK104-AK108</f>
        <v>925.5</v>
      </c>
      <c r="AL114" s="855">
        <f>+AL104-AL108</f>
        <v>958.60000000000014</v>
      </c>
      <c r="AM114" s="855">
        <f>+AM104-AM108</f>
        <v>884.10000000000014</v>
      </c>
      <c r="AN114" s="855">
        <f>+SUM(S114:V114)</f>
        <v>787.66897649734676</v>
      </c>
      <c r="AQ114" s="856"/>
      <c r="AR114" s="856"/>
      <c r="AS114" s="856"/>
      <c r="AT114" s="856"/>
      <c r="AU114" s="856"/>
      <c r="AV114" s="856"/>
    </row>
    <row r="115" spans="2:48" s="855" customFormat="1">
      <c r="B115" s="858" t="s">
        <v>108</v>
      </c>
      <c r="K115" s="854">
        <f t="shared" ref="K115:V115" si="80">+K114/G114-1</f>
        <v>0.17073170731707332</v>
      </c>
      <c r="L115" s="854">
        <f t="shared" si="80"/>
        <v>4.1814448385290026E-2</v>
      </c>
      <c r="M115" s="854">
        <f t="shared" si="80"/>
        <v>-8.5743106926695623E-3</v>
      </c>
      <c r="N115" s="854">
        <f t="shared" si="80"/>
        <v>-2.3089983022071325E-2</v>
      </c>
      <c r="O115" s="854">
        <f t="shared" si="80"/>
        <v>3.1618985618534046E-2</v>
      </c>
      <c r="P115" s="854">
        <f t="shared" si="80"/>
        <v>-4.19857340931441E-2</v>
      </c>
      <c r="Q115" s="854">
        <f t="shared" si="80"/>
        <v>0.13383007621735765</v>
      </c>
      <c r="R115" s="854">
        <f t="shared" si="80"/>
        <v>-0.12084185006362202</v>
      </c>
      <c r="S115" s="854">
        <f t="shared" si="80"/>
        <v>-0.16576141621404139</v>
      </c>
      <c r="T115" s="854">
        <f t="shared" si="80"/>
        <v>-0.14163921720596784</v>
      </c>
      <c r="U115" s="854">
        <f t="shared" si="80"/>
        <v>-0.23458320421444057</v>
      </c>
      <c r="V115" s="854">
        <f t="shared" si="80"/>
        <v>-0.15830432111406922</v>
      </c>
      <c r="W115" s="854"/>
      <c r="X115" s="854"/>
      <c r="Y115" s="854"/>
      <c r="Z115" s="854"/>
      <c r="AA115" s="854"/>
      <c r="AB115" s="854"/>
      <c r="AC115" s="854"/>
      <c r="AD115" s="854"/>
      <c r="AF115" s="854">
        <v>-0.28013096577565344</v>
      </c>
      <c r="AL115" s="849">
        <f t="shared" ref="AL115:AN115" si="81">+AL114/AK114-1</f>
        <v>3.5764451647758211E-2</v>
      </c>
      <c r="AM115" s="849">
        <f t="shared" si="81"/>
        <v>-7.7717504694345907E-2</v>
      </c>
      <c r="AN115" s="849">
        <f t="shared" si="81"/>
        <v>-0.10907252969421255</v>
      </c>
      <c r="AO115" s="854"/>
      <c r="AP115" s="854"/>
      <c r="AQ115" s="854"/>
      <c r="AR115" s="854"/>
      <c r="AS115" s="854"/>
      <c r="AT115" s="854"/>
      <c r="AU115" s="854"/>
      <c r="AV115" s="854"/>
    </row>
    <row r="116" spans="2:48" s="855" customFormat="1">
      <c r="B116" s="858"/>
      <c r="O116" s="854"/>
      <c r="P116" s="854"/>
      <c r="Q116" s="854"/>
      <c r="R116" s="854"/>
      <c r="S116" s="854"/>
      <c r="T116" s="854"/>
      <c r="U116" s="854"/>
      <c r="V116" s="854"/>
      <c r="W116" s="854"/>
      <c r="X116" s="854"/>
      <c r="Y116" s="854"/>
      <c r="Z116" s="854"/>
      <c r="AA116" s="854"/>
      <c r="AB116" s="854"/>
      <c r="AC116" s="854"/>
      <c r="AD116" s="854"/>
      <c r="AF116" s="854"/>
      <c r="AK116" s="849">
        <f t="shared" ref="AK116:AN116" si="82">+AK114/AK$104</f>
        <v>0.43128757164825943</v>
      </c>
      <c r="AL116" s="849">
        <f t="shared" si="82"/>
        <v>0.4313354931605472</v>
      </c>
      <c r="AM116" s="849">
        <f t="shared" si="82"/>
        <v>0.44685367702805162</v>
      </c>
      <c r="AN116" s="849">
        <f t="shared" si="82"/>
        <v>0.44685367702805173</v>
      </c>
      <c r="AO116" s="849"/>
      <c r="AP116" s="849"/>
      <c r="AQ116" s="849"/>
      <c r="AR116" s="849"/>
      <c r="AS116" s="849"/>
      <c r="AT116" s="849"/>
      <c r="AU116" s="849"/>
      <c r="AV116" s="849"/>
    </row>
    <row r="117" spans="2:48" s="363" customFormat="1">
      <c r="B117" s="855" t="s">
        <v>739</v>
      </c>
      <c r="G117" s="855">
        <f>+G114*MACRO!G42</f>
        <v>2261.2866921994241</v>
      </c>
      <c r="H117" s="855">
        <f>+H114*MACRO!H42</f>
        <v>3316.4270592395615</v>
      </c>
      <c r="I117" s="855">
        <f>+I114*MACRO!I42</f>
        <v>3743.6994626349888</v>
      </c>
      <c r="J117" s="855">
        <f>+J114*MACRO!J42</f>
        <v>3861.9652710943128</v>
      </c>
      <c r="K117" s="855">
        <f>+K114*MACRO!K42</f>
        <v>3351.6374457019447</v>
      </c>
      <c r="L117" s="855">
        <f>+L114*MACRO!L42</f>
        <v>3781.432963318035</v>
      </c>
      <c r="M117" s="855">
        <f>+M114*MACRO!M42</f>
        <v>4198.0732465852234</v>
      </c>
      <c r="N117" s="855">
        <f>+N114*MACRO!N42</f>
        <v>4321.8766846031322</v>
      </c>
      <c r="O117" s="855">
        <f>+O114*MACRO!O42</f>
        <v>4134.790168694467</v>
      </c>
      <c r="P117" s="855">
        <f>+P114*MACRO!P42</f>
        <v>4988.5552722312368</v>
      </c>
      <c r="Q117" s="855">
        <f>+Q114*MACRO!Q42</f>
        <v>8008.4609756436712</v>
      </c>
      <c r="R117" s="855">
        <f>+R114*MACRO!R42</f>
        <v>7533.4611473191835</v>
      </c>
      <c r="S117" s="855">
        <f>+S114*MACRO!S42</f>
        <v>7050.9241486535284</v>
      </c>
      <c r="T117" s="855">
        <f>+T114*MACRO!T42</f>
        <v>8216.1118193631573</v>
      </c>
      <c r="U117" s="855">
        <f>+U114*MACRO!U42</f>
        <v>10434.142301531465</v>
      </c>
      <c r="V117" s="855">
        <f>+V114*MACRO!V42</f>
        <v>10585.522340788479</v>
      </c>
      <c r="W117" s="856"/>
      <c r="X117" s="856"/>
      <c r="Y117" s="856"/>
      <c r="Z117" s="856"/>
      <c r="AA117" s="856"/>
      <c r="AB117" s="856"/>
      <c r="AC117" s="856"/>
      <c r="AD117" s="856"/>
      <c r="AF117" s="856">
        <v>8108.5627709515575</v>
      </c>
      <c r="AK117" s="855">
        <f>+AK114*MACRO!BE42</f>
        <v>13058.978531249999</v>
      </c>
      <c r="AL117" s="855">
        <f>+AL114*MACRO!BF42</f>
        <v>15623.274782500001</v>
      </c>
      <c r="AM117" s="855">
        <f>+AM114*MACRO!BG42</f>
        <v>22663.792987500005</v>
      </c>
      <c r="AN117" s="855">
        <f>+SUM(S117:V117)</f>
        <v>36286.700610336629</v>
      </c>
      <c r="AO117" s="855"/>
      <c r="AP117" s="855"/>
      <c r="AQ117" s="856"/>
      <c r="AR117" s="856"/>
      <c r="AS117" s="856"/>
      <c r="AT117" s="856"/>
      <c r="AU117" s="856"/>
      <c r="AV117" s="856"/>
    </row>
    <row r="118" spans="2:48" s="363" customFormat="1">
      <c r="B118" s="858" t="s">
        <v>108</v>
      </c>
      <c r="K118" s="854">
        <f t="shared" ref="K118:V118" si="83">+K117/G117-1</f>
        <v>0.48218156382550448</v>
      </c>
      <c r="L118" s="854">
        <f t="shared" si="83"/>
        <v>0.14021291461332397</v>
      </c>
      <c r="M118" s="854">
        <f t="shared" si="83"/>
        <v>0.12137026181861965</v>
      </c>
      <c r="N118" s="854">
        <f t="shared" si="83"/>
        <v>0.11908740271465468</v>
      </c>
      <c r="O118" s="854">
        <f t="shared" si="83"/>
        <v>0.23366272029118718</v>
      </c>
      <c r="P118" s="854">
        <f t="shared" si="83"/>
        <v>0.31922351146323291</v>
      </c>
      <c r="Q118" s="854">
        <f t="shared" si="83"/>
        <v>0.90765155947621334</v>
      </c>
      <c r="R118" s="854">
        <f t="shared" si="83"/>
        <v>0.74309951372686234</v>
      </c>
      <c r="S118" s="854">
        <f t="shared" si="83"/>
        <v>0.70526770669956673</v>
      </c>
      <c r="T118" s="854">
        <f t="shared" si="83"/>
        <v>0.64699223943615403</v>
      </c>
      <c r="U118" s="854">
        <f t="shared" si="83"/>
        <v>0.302889822809286</v>
      </c>
      <c r="V118" s="854">
        <f t="shared" si="83"/>
        <v>0.40513399270073691</v>
      </c>
      <c r="W118" s="371"/>
      <c r="X118" s="371"/>
      <c r="Y118" s="371"/>
      <c r="Z118" s="371"/>
      <c r="AA118" s="371"/>
      <c r="AB118" s="371"/>
      <c r="AC118" s="371"/>
      <c r="AD118" s="371"/>
      <c r="AF118" s="371">
        <v>0.15</v>
      </c>
      <c r="AL118" s="849">
        <f>+AL117/AK117-1</f>
        <v>0.19636269751984559</v>
      </c>
      <c r="AM118" s="849">
        <f>+AM117/AL117-1</f>
        <v>0.45064292237157955</v>
      </c>
      <c r="AN118" s="849">
        <f>+AN117/AM117-1</f>
        <v>0.60108683618625558</v>
      </c>
      <c r="AO118" s="849"/>
      <c r="AP118" s="849"/>
      <c r="AQ118" s="371"/>
      <c r="AR118" s="371"/>
      <c r="AS118" s="371"/>
      <c r="AT118" s="371"/>
      <c r="AU118" s="371"/>
      <c r="AV118" s="371"/>
    </row>
    <row r="119" spans="2:48" s="363" customFormat="1">
      <c r="O119" s="849"/>
      <c r="P119" s="849"/>
      <c r="Q119" s="849"/>
      <c r="R119" s="849"/>
      <c r="S119" s="849"/>
      <c r="T119" s="849"/>
      <c r="U119" s="849"/>
      <c r="V119" s="849"/>
      <c r="W119" s="849"/>
      <c r="X119" s="849"/>
      <c r="Y119" s="849"/>
      <c r="Z119" s="849"/>
      <c r="AA119" s="849"/>
      <c r="AB119" s="849"/>
      <c r="AC119" s="849"/>
      <c r="AD119" s="849"/>
      <c r="AF119" s="849"/>
      <c r="AM119" s="849"/>
      <c r="AN119" s="849"/>
      <c r="AO119" s="849"/>
      <c r="AP119" s="849"/>
      <c r="AQ119" s="849"/>
      <c r="AR119" s="849"/>
      <c r="AS119" s="849"/>
      <c r="AT119" s="849"/>
      <c r="AU119" s="849"/>
      <c r="AV119" s="849"/>
    </row>
    <row r="120" spans="2:48" s="363" customFormat="1">
      <c r="O120" s="849"/>
      <c r="P120" s="849"/>
      <c r="Q120" s="849"/>
      <c r="R120" s="849"/>
      <c r="S120" s="849"/>
      <c r="T120" s="849"/>
      <c r="U120" s="849"/>
      <c r="V120" s="849"/>
      <c r="W120" s="849"/>
      <c r="X120" s="849"/>
      <c r="Y120" s="849"/>
      <c r="Z120" s="849"/>
      <c r="AA120" s="849"/>
      <c r="AB120" s="849"/>
      <c r="AC120" s="849"/>
      <c r="AD120" s="849"/>
      <c r="AF120" s="849"/>
      <c r="AM120" s="849"/>
      <c r="AN120" s="849"/>
      <c r="AO120" s="849"/>
      <c r="AP120" s="849"/>
      <c r="AQ120" s="849"/>
      <c r="AR120" s="849"/>
      <c r="AS120" s="849"/>
      <c r="AT120" s="849"/>
      <c r="AU120" s="849"/>
      <c r="AV120" s="849"/>
    </row>
    <row r="121" spans="2:48" s="361" customFormat="1">
      <c r="B121" s="361" t="s">
        <v>740</v>
      </c>
      <c r="G121" s="850">
        <v>23.1</v>
      </c>
      <c r="H121" s="850">
        <v>61</v>
      </c>
      <c r="I121" s="850">
        <v>73.8</v>
      </c>
      <c r="J121" s="850">
        <v>42.6</v>
      </c>
      <c r="K121" s="850">
        <v>13.3</v>
      </c>
      <c r="L121" s="850">
        <v>45.2</v>
      </c>
      <c r="M121" s="850">
        <v>66.3</v>
      </c>
      <c r="N121" s="850">
        <v>69.3</v>
      </c>
      <c r="O121" s="850">
        <v>27.2</v>
      </c>
      <c r="P121" s="850">
        <v>55.2</v>
      </c>
      <c r="Q121" s="850">
        <v>194.1</v>
      </c>
      <c r="R121" s="850">
        <v>38.1</v>
      </c>
      <c r="S121" s="850">
        <v>23.8</v>
      </c>
      <c r="T121" s="850">
        <v>65.2</v>
      </c>
      <c r="U121" s="850">
        <f>50.7+67.7</f>
        <v>118.4</v>
      </c>
      <c r="V121" s="850">
        <f>240.6-SUM(S121:U121)</f>
        <v>33.199999999999989</v>
      </c>
      <c r="W121" s="852"/>
      <c r="X121" s="852"/>
      <c r="Y121" s="852"/>
      <c r="Z121" s="852"/>
      <c r="AA121" s="852"/>
      <c r="AB121" s="852"/>
      <c r="AC121" s="852"/>
      <c r="AD121" s="852"/>
      <c r="AF121" s="852">
        <v>14.572967304309049</v>
      </c>
      <c r="AL121" s="853">
        <f>+SUM(K121:N121)</f>
        <v>194.1</v>
      </c>
      <c r="AM121" s="853">
        <f>+SUM(O121:R121)-168.4</f>
        <v>146.20000000000002</v>
      </c>
      <c r="AN121" s="853">
        <f>+SUM(S121:V121)-67.7</f>
        <v>172.89999999999998</v>
      </c>
      <c r="AO121" s="853"/>
      <c r="AP121" s="853"/>
      <c r="AQ121" s="852"/>
      <c r="AR121" s="852"/>
      <c r="AS121" s="852"/>
      <c r="AT121" s="852"/>
      <c r="AU121" s="852"/>
      <c r="AV121" s="852"/>
    </row>
    <row r="122" spans="2:48" s="361" customFormat="1">
      <c r="B122" s="361" t="s">
        <v>715</v>
      </c>
      <c r="G122" s="860">
        <f t="shared" ref="G122:V122" si="84">+G121/G104</f>
        <v>5.4174484052532841E-2</v>
      </c>
      <c r="H122" s="860">
        <f t="shared" si="84"/>
        <v>0.11386970319208511</v>
      </c>
      <c r="I122" s="860">
        <f t="shared" si="84"/>
        <v>0.12407531943510425</v>
      </c>
      <c r="J122" s="860">
        <f t="shared" si="84"/>
        <v>7.2325976230899827E-2</v>
      </c>
      <c r="K122" s="860">
        <f t="shared" si="84"/>
        <v>2.6642628205128208E-2</v>
      </c>
      <c r="L122" s="860">
        <f t="shared" si="84"/>
        <v>8.0989070059129184E-2</v>
      </c>
      <c r="M122" s="860">
        <f t="shared" si="84"/>
        <v>0.1124300491775479</v>
      </c>
      <c r="N122" s="860">
        <f t="shared" si="84"/>
        <v>0.12043795620437957</v>
      </c>
      <c r="O122" s="860">
        <f t="shared" si="84"/>
        <v>5.4717360692013675E-2</v>
      </c>
      <c r="P122" s="860">
        <f t="shared" si="84"/>
        <v>0.10695601627591553</v>
      </c>
      <c r="Q122" s="860">
        <f t="shared" si="84"/>
        <v>0.30074372482181594</v>
      </c>
      <c r="R122" s="860">
        <f t="shared" si="84"/>
        <v>7.8025803809133737E-2</v>
      </c>
      <c r="S122" s="860">
        <f t="shared" si="84"/>
        <v>5.7390884977091876E-2</v>
      </c>
      <c r="T122" s="860">
        <f t="shared" si="84"/>
        <v>0.1471783295711061</v>
      </c>
      <c r="U122" s="860">
        <f t="shared" si="84"/>
        <v>0.23967611336032391</v>
      </c>
      <c r="V122" s="860">
        <f t="shared" si="84"/>
        <v>8.0778588807785864E-2</v>
      </c>
      <c r="W122" s="861"/>
      <c r="X122" s="861"/>
      <c r="Y122" s="861"/>
      <c r="Z122" s="861"/>
      <c r="AA122" s="861"/>
      <c r="AB122" s="861"/>
      <c r="AC122" s="861"/>
      <c r="AD122" s="861"/>
      <c r="AF122" s="861">
        <v>4.7390884977091874E-2</v>
      </c>
      <c r="AL122" s="860">
        <f>+AL121/AL104</f>
        <v>8.7338012958963276E-2</v>
      </c>
      <c r="AM122" s="860">
        <f>+AM121/AM104</f>
        <v>7.3894364417488007E-2</v>
      </c>
      <c r="AN122" s="860">
        <f>+AN121/AN104</f>
        <v>9.8088160208770619E-2</v>
      </c>
      <c r="AO122" s="860"/>
      <c r="AP122" s="860"/>
      <c r="AQ122" s="861"/>
      <c r="AR122" s="861"/>
      <c r="AS122" s="861"/>
      <c r="AT122" s="861"/>
      <c r="AU122" s="861"/>
      <c r="AV122" s="861"/>
    </row>
    <row r="123" spans="2:48" s="862" customFormat="1" ht="12">
      <c r="K123" s="863">
        <f t="shared" ref="K123:V123" si="85">+K122-G122</f>
        <v>-2.7531855847404633E-2</v>
      </c>
      <c r="L123" s="863">
        <f t="shared" si="85"/>
        <v>-3.288063313295593E-2</v>
      </c>
      <c r="M123" s="863">
        <f t="shared" si="85"/>
        <v>-1.164527025755635E-2</v>
      </c>
      <c r="N123" s="863">
        <f t="shared" si="85"/>
        <v>4.811197997347974E-2</v>
      </c>
      <c r="O123" s="863">
        <f t="shared" si="85"/>
        <v>2.8074732486885468E-2</v>
      </c>
      <c r="P123" s="863">
        <f t="shared" si="85"/>
        <v>2.5966946216786344E-2</v>
      </c>
      <c r="Q123" s="863">
        <f t="shared" si="85"/>
        <v>0.18831367564426804</v>
      </c>
      <c r="R123" s="863">
        <f t="shared" si="85"/>
        <v>-4.2412152395245831E-2</v>
      </c>
      <c r="S123" s="863">
        <f t="shared" si="85"/>
        <v>2.6735242850782007E-3</v>
      </c>
      <c r="T123" s="863">
        <f t="shared" si="85"/>
        <v>4.0222313295190576E-2</v>
      </c>
      <c r="U123" s="863">
        <f t="shared" si="85"/>
        <v>-6.1067611461492033E-2</v>
      </c>
      <c r="V123" s="863">
        <f t="shared" si="85"/>
        <v>2.7527849986521274E-3</v>
      </c>
      <c r="W123" s="864"/>
      <c r="X123" s="864"/>
      <c r="Y123" s="864"/>
      <c r="Z123" s="864"/>
      <c r="AA123" s="864"/>
      <c r="AB123" s="864"/>
      <c r="AC123" s="864"/>
      <c r="AD123" s="864"/>
      <c r="AF123" s="864">
        <v>-0.01</v>
      </c>
      <c r="AM123" s="863">
        <f>+AM122-AL122</f>
        <v>-1.344364854147527E-2</v>
      </c>
      <c r="AN123" s="863">
        <f>+AN122-AM122</f>
        <v>2.4193795791282613E-2</v>
      </c>
      <c r="AO123" s="863"/>
      <c r="AP123" s="863"/>
      <c r="AQ123" s="864"/>
      <c r="AR123" s="864"/>
      <c r="AS123" s="864"/>
      <c r="AT123" s="864"/>
      <c r="AU123" s="864"/>
      <c r="AV123" s="864"/>
    </row>
    <row r="124" spans="2:48" s="862" customFormat="1" ht="12">
      <c r="K124" s="863"/>
      <c r="L124" s="863"/>
      <c r="M124" s="863"/>
      <c r="N124" s="863"/>
      <c r="O124" s="863"/>
      <c r="P124" s="863"/>
      <c r="Q124" s="863"/>
      <c r="R124" s="863"/>
      <c r="S124" s="863"/>
      <c r="T124" s="863"/>
      <c r="U124" s="863"/>
      <c r="V124" s="863"/>
      <c r="W124" s="865"/>
      <c r="X124" s="865"/>
      <c r="Y124" s="865"/>
      <c r="Z124" s="865"/>
      <c r="AA124" s="865"/>
      <c r="AB124" s="865"/>
      <c r="AC124" s="865"/>
      <c r="AD124" s="865"/>
      <c r="AF124" s="865"/>
      <c r="AM124" s="863"/>
      <c r="AN124" s="863"/>
      <c r="AO124" s="863"/>
      <c r="AP124" s="863"/>
      <c r="AQ124" s="864"/>
      <c r="AR124" s="864"/>
      <c r="AS124" s="864"/>
      <c r="AT124" s="864"/>
      <c r="AU124" s="864"/>
      <c r="AV124" s="864"/>
    </row>
    <row r="125" spans="2:48" s="867" customFormat="1">
      <c r="B125" s="866" t="s">
        <v>741</v>
      </c>
      <c r="S125" s="867">
        <v>-0.06</v>
      </c>
      <c r="T125" s="867">
        <v>-0.12</v>
      </c>
      <c r="U125" s="867">
        <v>-0.1</v>
      </c>
      <c r="V125" s="867">
        <v>-0.09</v>
      </c>
      <c r="W125" s="865"/>
      <c r="X125" s="865"/>
      <c r="Y125" s="865"/>
      <c r="Z125" s="865"/>
      <c r="AA125" s="865"/>
      <c r="AB125" s="865"/>
      <c r="AC125" s="865"/>
      <c r="AD125" s="865"/>
      <c r="AF125" s="865"/>
      <c r="AN125" s="2150">
        <f>+AN121*MACRO!BH3</f>
        <v>681.94353499999988</v>
      </c>
      <c r="AQ125" s="865"/>
      <c r="AR125" s="865"/>
      <c r="AS125" s="865"/>
      <c r="AT125" s="865"/>
      <c r="AU125" s="865"/>
      <c r="AV125" s="865"/>
    </row>
    <row r="126" spans="2:48" s="867" customFormat="1">
      <c r="B126" s="866" t="s">
        <v>742</v>
      </c>
      <c r="S126" s="867">
        <v>7.0000000000000007E-2</v>
      </c>
      <c r="T126" s="867">
        <v>0.12</v>
      </c>
      <c r="U126" s="867">
        <v>7.0000000000000007E-2</v>
      </c>
      <c r="W126" s="865"/>
      <c r="X126" s="865"/>
      <c r="Y126" s="865"/>
      <c r="Z126" s="865"/>
      <c r="AA126" s="865"/>
      <c r="AB126" s="865"/>
      <c r="AC126" s="865"/>
      <c r="AD126" s="865"/>
      <c r="AF126" s="865"/>
      <c r="AN126" s="2151">
        <f>+AN135*5</f>
        <v>329</v>
      </c>
      <c r="AQ126" s="865"/>
      <c r="AR126" s="865"/>
      <c r="AS126" s="865"/>
      <c r="AT126" s="865"/>
      <c r="AU126" s="865"/>
      <c r="AV126" s="865"/>
    </row>
    <row r="127" spans="2:48" s="867" customFormat="1">
      <c r="B127" s="866" t="s">
        <v>743</v>
      </c>
      <c r="S127" s="867">
        <v>-0.11</v>
      </c>
      <c r="T127" s="867">
        <v>-0.17</v>
      </c>
      <c r="U127" s="867">
        <v>-0.16</v>
      </c>
      <c r="V127" s="867">
        <v>-0.15</v>
      </c>
      <c r="W127" s="865"/>
      <c r="X127" s="865"/>
      <c r="Y127" s="865"/>
      <c r="Z127" s="865"/>
      <c r="AA127" s="865"/>
      <c r="AB127" s="865"/>
      <c r="AC127" s="865"/>
      <c r="AD127" s="865"/>
      <c r="AF127" s="865"/>
      <c r="AQ127" s="865"/>
      <c r="AR127" s="865"/>
      <c r="AS127" s="865"/>
      <c r="AT127" s="865"/>
      <c r="AU127" s="865"/>
      <c r="AV127" s="865"/>
    </row>
    <row r="128" spans="2:48" s="862" customFormat="1" ht="12">
      <c r="O128" s="863"/>
      <c r="P128" s="863"/>
      <c r="Q128" s="863"/>
      <c r="R128" s="863"/>
      <c r="S128" s="863"/>
      <c r="T128" s="863"/>
      <c r="U128" s="863"/>
      <c r="V128" s="863"/>
      <c r="W128" s="865"/>
      <c r="X128" s="865"/>
      <c r="Y128" s="865"/>
      <c r="Z128" s="865"/>
      <c r="AA128" s="865"/>
      <c r="AB128" s="865"/>
      <c r="AC128" s="865"/>
      <c r="AD128" s="865"/>
      <c r="AF128" s="865"/>
      <c r="AM128" s="863"/>
      <c r="AN128" s="863"/>
      <c r="AO128" s="863"/>
      <c r="AP128" s="863"/>
      <c r="AQ128" s="864"/>
      <c r="AR128" s="864"/>
      <c r="AS128" s="864"/>
      <c r="AT128" s="864"/>
      <c r="AU128" s="864"/>
      <c r="AV128" s="864"/>
    </row>
    <row r="129" spans="2:48" s="870" customFormat="1">
      <c r="B129" s="872" t="s">
        <v>744</v>
      </c>
    </row>
    <row r="130" spans="2:48" s="361" customFormat="1">
      <c r="B130" s="361" t="s">
        <v>735</v>
      </c>
      <c r="G130" s="850">
        <v>204.7</v>
      </c>
      <c r="H130" s="850">
        <v>224.4</v>
      </c>
      <c r="I130" s="850">
        <v>196.8</v>
      </c>
      <c r="J130" s="850">
        <v>204.1</v>
      </c>
      <c r="K130" s="850">
        <v>193.2</v>
      </c>
      <c r="L130" s="850">
        <v>207.8</v>
      </c>
      <c r="M130" s="850">
        <v>206</v>
      </c>
      <c r="N130" s="850">
        <v>204.8</v>
      </c>
      <c r="O130" s="850">
        <v>195.6</v>
      </c>
      <c r="P130" s="850">
        <v>207.3</v>
      </c>
      <c r="Q130" s="850">
        <v>207</v>
      </c>
      <c r="R130" s="850">
        <v>199.4</v>
      </c>
      <c r="S130" s="850">
        <v>192.7</v>
      </c>
      <c r="T130" s="850">
        <v>193.8</v>
      </c>
      <c r="U130" s="851">
        <v>184.7</v>
      </c>
      <c r="V130" s="851">
        <f>751.3-SUM(S130:U130)</f>
        <v>180.09999999999991</v>
      </c>
      <c r="W130" s="852">
        <f>+W132/MACRO!W43</f>
        <v>88.301489571127249</v>
      </c>
      <c r="X130" s="852">
        <f>+X132/MACRO!X43</f>
        <v>96.239297454545479</v>
      </c>
      <c r="Y130" s="852">
        <f>+Y132/MACRO!Y43</f>
        <v>152.36046768687982</v>
      </c>
      <c r="Z130" s="852">
        <f>+Z132/MACRO!Z43</f>
        <v>165.89610165369646</v>
      </c>
      <c r="AA130" s="852">
        <f>+AA132/MACRO!AA43</f>
        <v>98.17688645707139</v>
      </c>
      <c r="AB130" s="852">
        <f>+AB132/MACRO!AB43</f>
        <v>157.31053707489858</v>
      </c>
      <c r="AC130" s="852">
        <f>+AC132/MACRO!AC43</f>
        <v>179.3501258011093</v>
      </c>
      <c r="AD130" s="852">
        <f>+AD132/MACRO!AD43</f>
        <v>164.39230986680104</v>
      </c>
      <c r="AF130" s="852">
        <v>162.23201438139594</v>
      </c>
      <c r="AK130" s="361">
        <v>829.9</v>
      </c>
      <c r="AL130" s="853">
        <f>+SUM(K130:N130)</f>
        <v>811.8</v>
      </c>
      <c r="AM130" s="853">
        <f>+SUM(O130:R130)</f>
        <v>809.3</v>
      </c>
      <c r="AN130" s="853">
        <f>+SUM(S130:V130)</f>
        <v>751.3</v>
      </c>
      <c r="AO130" s="853">
        <f>+SUM(W130:Z130)</f>
        <v>502.79735636624901</v>
      </c>
      <c r="AP130" s="853">
        <f>+SUM(AA130:AD130)</f>
        <v>599.22985919988037</v>
      </c>
      <c r="AQ130" s="852">
        <f>+AQ132/MACRO!BK43</f>
        <v>628.38682821216742</v>
      </c>
      <c r="AR130" s="852">
        <f>+AR132/MACRO!BL43</f>
        <v>740.90321356329957</v>
      </c>
      <c r="AS130" s="852">
        <f>+AS132/MACRO!BM43</f>
        <v>746.28055878358691</v>
      </c>
      <c r="AT130" s="852">
        <f>+AT132/MACRO!BN43</f>
        <v>739.91014909449575</v>
      </c>
      <c r="AU130" s="852">
        <f>+AU132/MACRO!BO43</f>
        <v>800.86548231190216</v>
      </c>
      <c r="AV130" s="852">
        <f>+AV132/MACRO!BP43</f>
        <v>793.2381920041696</v>
      </c>
    </row>
    <row r="131" spans="2:48" s="363" customFormat="1">
      <c r="B131" s="858" t="s">
        <v>108</v>
      </c>
      <c r="K131" s="854">
        <f t="shared" ref="K131:AD131" si="86">+K130/G130-1</f>
        <v>-5.6179775280898903E-2</v>
      </c>
      <c r="L131" s="854">
        <f t="shared" si="86"/>
        <v>-7.3975044563279857E-2</v>
      </c>
      <c r="M131" s="854">
        <f t="shared" si="86"/>
        <v>4.674796747967469E-2</v>
      </c>
      <c r="N131" s="854">
        <f t="shared" si="86"/>
        <v>3.4296913277804819E-3</v>
      </c>
      <c r="O131" s="854">
        <f t="shared" si="86"/>
        <v>1.2422360248447228E-2</v>
      </c>
      <c r="P131" s="854">
        <f t="shared" si="86"/>
        <v>-2.4061597690087089E-3</v>
      </c>
      <c r="Q131" s="854">
        <f t="shared" si="86"/>
        <v>4.8543689320388328E-3</v>
      </c>
      <c r="R131" s="854">
        <f t="shared" si="86"/>
        <v>-2.63671875E-2</v>
      </c>
      <c r="S131" s="854">
        <f t="shared" si="86"/>
        <v>-1.4826175869120717E-2</v>
      </c>
      <c r="T131" s="854">
        <f t="shared" si="86"/>
        <v>-6.5123010130246017E-2</v>
      </c>
      <c r="U131" s="854">
        <f t="shared" si="86"/>
        <v>-0.10772946859903387</v>
      </c>
      <c r="V131" s="854">
        <f t="shared" si="86"/>
        <v>-9.6790371113340545E-2</v>
      </c>
      <c r="W131" s="854">
        <f t="shared" si="86"/>
        <v>-0.54176704944926179</v>
      </c>
      <c r="X131" s="854">
        <f t="shared" si="86"/>
        <v>-0.5034091978609625</v>
      </c>
      <c r="Y131" s="854">
        <f t="shared" si="86"/>
        <v>-0.17509221609702319</v>
      </c>
      <c r="Z131" s="854">
        <f t="shared" si="86"/>
        <v>-7.8866731517509447E-2</v>
      </c>
      <c r="AA131" s="854">
        <f t="shared" si="86"/>
        <v>0.11183726269973593</v>
      </c>
      <c r="AB131" s="854">
        <f t="shared" si="86"/>
        <v>0.63457694762576056</v>
      </c>
      <c r="AC131" s="854">
        <f t="shared" si="86"/>
        <v>0.17714344491050449</v>
      </c>
      <c r="AD131" s="854">
        <f t="shared" si="86"/>
        <v>-9.0646601813135774E-3</v>
      </c>
      <c r="AF131" s="854">
        <v>-0.1581109788199484</v>
      </c>
      <c r="AL131" s="849">
        <f t="shared" ref="AL131:AV131" si="87">+AL130/AK130-1</f>
        <v>-2.1809856609230072E-2</v>
      </c>
      <c r="AM131" s="849">
        <f t="shared" si="87"/>
        <v>-3.0795762503079693E-3</v>
      </c>
      <c r="AN131" s="849">
        <f t="shared" si="87"/>
        <v>-7.1666872605955723E-2</v>
      </c>
      <c r="AO131" s="849">
        <f t="shared" si="87"/>
        <v>-0.33076353471815645</v>
      </c>
      <c r="AP131" s="849">
        <f t="shared" si="87"/>
        <v>0.19179198460897973</v>
      </c>
      <c r="AQ131" s="849">
        <f t="shared" si="87"/>
        <v>4.865740343983993E-2</v>
      </c>
      <c r="AR131" s="849">
        <f t="shared" si="87"/>
        <v>0.17905592590356201</v>
      </c>
      <c r="AS131" s="849">
        <f t="shared" si="87"/>
        <v>7.2578241285059519E-3</v>
      </c>
      <c r="AT131" s="849">
        <f t="shared" si="87"/>
        <v>-8.5362128412868055E-3</v>
      </c>
      <c r="AU131" s="849">
        <f t="shared" si="87"/>
        <v>8.238207475867676E-2</v>
      </c>
      <c r="AV131" s="849">
        <f t="shared" si="87"/>
        <v>-9.523809523809712E-3</v>
      </c>
    </row>
    <row r="132" spans="2:48" s="363" customFormat="1">
      <c r="B132" s="363" t="s">
        <v>667</v>
      </c>
      <c r="G132" s="855">
        <f>+G130*MACRO!G43</f>
        <v>3529.611394999999</v>
      </c>
      <c r="H132" s="855">
        <f>+H130*MACRO!H43</f>
        <v>4005.7195200000001</v>
      </c>
      <c r="I132" s="855">
        <f>+I130*MACRO!I43</f>
        <v>3723.6724800000006</v>
      </c>
      <c r="J132" s="855">
        <f>+J130*MACRO!J43</f>
        <v>4081.6938499999997</v>
      </c>
      <c r="K132" s="855">
        <f>+K130*MACRO!K43</f>
        <v>3807.4793399999999</v>
      </c>
      <c r="L132" s="855">
        <f>+L130*MACRO!L43</f>
        <v>3829.5565900000001</v>
      </c>
      <c r="M132" s="855">
        <f>+M130*MACRO!M43</f>
        <v>3730.8247999999994</v>
      </c>
      <c r="N132" s="855">
        <f>+N130*MACRO!N43</f>
        <v>3872.9625599999999</v>
      </c>
      <c r="O132" s="855">
        <f>+O130*MACRO!O43</f>
        <v>3709.9256400000004</v>
      </c>
      <c r="P132" s="855">
        <f>+P130*MACRO!P43</f>
        <v>3934.7716650000002</v>
      </c>
      <c r="Q132" s="855">
        <f>+Q130*MACRO!Q43</f>
        <v>3975.8800499999998</v>
      </c>
      <c r="R132" s="855">
        <f>+R130*MACRO!R43</f>
        <v>3825.9177099999997</v>
      </c>
      <c r="S132" s="855">
        <f>+S130*MACRO!S43</f>
        <v>3767.8245599999996</v>
      </c>
      <c r="T132" s="855">
        <f>+T130*MACRO!T43</f>
        <v>3749.3226300000006</v>
      </c>
      <c r="U132" s="855">
        <f>+U130*MACRO!U43</f>
        <v>3598.7225049999997</v>
      </c>
      <c r="V132" s="855">
        <f>+V130*MACRO!V43</f>
        <v>3480.432499999999</v>
      </c>
      <c r="W132" s="856">
        <f t="shared" ref="W132:AD132" si="88">+S132*(1+W133)</f>
        <v>1883.9122799999998</v>
      </c>
      <c r="X132" s="856">
        <f t="shared" si="88"/>
        <v>2249.5935780000004</v>
      </c>
      <c r="Y132" s="856">
        <f t="shared" si="88"/>
        <v>3454.7736047999997</v>
      </c>
      <c r="Z132" s="856">
        <f t="shared" si="88"/>
        <v>3410.8238499999989</v>
      </c>
      <c r="AA132" s="856">
        <f t="shared" si="88"/>
        <v>1996.9470167999998</v>
      </c>
      <c r="AB132" s="856">
        <f t="shared" si="88"/>
        <v>3149.4310092000005</v>
      </c>
      <c r="AC132" s="856">
        <f t="shared" si="88"/>
        <v>3592.9645489919999</v>
      </c>
      <c r="AD132" s="856">
        <f t="shared" si="88"/>
        <v>3410.8238499999989</v>
      </c>
      <c r="AF132" s="856">
        <v>3480.5499713406257</v>
      </c>
      <c r="AK132" s="855"/>
      <c r="AL132" s="855">
        <f>+SUM(K132:N132)</f>
        <v>15240.82329</v>
      </c>
      <c r="AM132" s="855">
        <f>+SUM(O132:R132)</f>
        <v>15446.495065000001</v>
      </c>
      <c r="AN132" s="855">
        <f>+SUM(S132:V132)</f>
        <v>14596.302194999998</v>
      </c>
      <c r="AO132" s="855">
        <f>+SUM(W132:Z132)</f>
        <v>10999.103312799998</v>
      </c>
      <c r="AP132" s="855">
        <f>+SUM(AA132:AD132)</f>
        <v>12150.166424992</v>
      </c>
      <c r="AQ132" s="856">
        <f t="shared" ref="AQ132:AV132" si="89">+AP132*(1+AQ133)</f>
        <v>12636.173081991679</v>
      </c>
      <c r="AR132" s="856">
        <f t="shared" si="89"/>
        <v>13141.620005271347</v>
      </c>
      <c r="AS132" s="856">
        <f t="shared" si="89"/>
        <v>13667.284805482201</v>
      </c>
      <c r="AT132" s="856">
        <f t="shared" si="89"/>
        <v>14213.97619770149</v>
      </c>
      <c r="AU132" s="856">
        <f t="shared" si="89"/>
        <v>14782.53524560955</v>
      </c>
      <c r="AV132" s="856">
        <f t="shared" si="89"/>
        <v>15373.836655433932</v>
      </c>
    </row>
    <row r="133" spans="2:48" s="363" customFormat="1">
      <c r="B133" s="858" t="s">
        <v>108</v>
      </c>
      <c r="K133" s="854">
        <f t="shared" ref="K133:V133" si="90">+K132/G132-1</f>
        <v>7.8724798257854944E-2</v>
      </c>
      <c r="L133" s="854">
        <f t="shared" si="90"/>
        <v>-4.3977849452624618E-2</v>
      </c>
      <c r="M133" s="854">
        <f t="shared" si="90"/>
        <v>1.9207704325270303E-3</v>
      </c>
      <c r="N133" s="854">
        <f t="shared" si="90"/>
        <v>-5.1138399319194394E-2</v>
      </c>
      <c r="O133" s="854">
        <f t="shared" si="90"/>
        <v>-2.5621596675557967E-2</v>
      </c>
      <c r="P133" s="854">
        <f t="shared" si="90"/>
        <v>2.747447975432582E-2</v>
      </c>
      <c r="Q133" s="854">
        <f t="shared" si="90"/>
        <v>6.5683934019094226E-2</v>
      </c>
      <c r="R133" s="854">
        <f t="shared" si="90"/>
        <v>-1.214699323093904E-2</v>
      </c>
      <c r="S133" s="854">
        <f t="shared" si="90"/>
        <v>1.5606490700444065E-2</v>
      </c>
      <c r="T133" s="854">
        <f t="shared" si="90"/>
        <v>-4.7130825061484138E-2</v>
      </c>
      <c r="U133" s="854">
        <f t="shared" si="90"/>
        <v>-9.4861399302023752E-2</v>
      </c>
      <c r="V133" s="854">
        <f t="shared" si="90"/>
        <v>-9.0301265261662045E-2</v>
      </c>
      <c r="W133" s="371">
        <v>-0.5</v>
      </c>
      <c r="X133" s="371">
        <v>-0.4</v>
      </c>
      <c r="Y133" s="371">
        <v>-0.04</v>
      </c>
      <c r="Z133" s="371">
        <v>-0.02</v>
      </c>
      <c r="AA133" s="371">
        <v>0.06</v>
      </c>
      <c r="AB133" s="371">
        <v>0.4</v>
      </c>
      <c r="AC133" s="371">
        <v>0.04</v>
      </c>
      <c r="AD133" s="371">
        <v>0</v>
      </c>
      <c r="AF133" s="371">
        <v>-0.06</v>
      </c>
      <c r="AL133" s="849"/>
      <c r="AM133" s="849">
        <f>+AM132/AL132-1</f>
        <v>1.3494794282861822E-2</v>
      </c>
      <c r="AN133" s="849">
        <f>+AN132/AM132-1</f>
        <v>-5.5041151175223124E-2</v>
      </c>
      <c r="AO133" s="849">
        <f>+AO132/AN132-1</f>
        <v>-0.24644590349960216</v>
      </c>
      <c r="AP133" s="849">
        <f>+AP132/AO132-1</f>
        <v>0.10465063191582846</v>
      </c>
      <c r="AQ133" s="371">
        <v>0.04</v>
      </c>
      <c r="AR133" s="371">
        <v>0.04</v>
      </c>
      <c r="AS133" s="371">
        <v>0.04</v>
      </c>
      <c r="AT133" s="371">
        <v>0.04</v>
      </c>
      <c r="AU133" s="371">
        <v>0.04</v>
      </c>
      <c r="AV133" s="371">
        <v>0.04</v>
      </c>
    </row>
    <row r="134" spans="2:48" s="363" customFormat="1">
      <c r="B134" s="858"/>
      <c r="O134" s="854"/>
      <c r="P134" s="854"/>
      <c r="Q134" s="854"/>
      <c r="R134" s="854"/>
      <c r="S134" s="854"/>
      <c r="T134" s="854"/>
      <c r="U134" s="854"/>
      <c r="V134" s="854"/>
      <c r="W134" s="371"/>
      <c r="X134" s="371"/>
      <c r="Y134" s="371"/>
      <c r="Z134" s="371"/>
      <c r="AA134" s="371"/>
      <c r="AB134" s="371"/>
      <c r="AC134" s="371"/>
      <c r="AD134" s="371"/>
      <c r="AF134" s="371"/>
      <c r="AL134" s="849"/>
      <c r="AM134" s="849"/>
      <c r="AN134" s="849"/>
      <c r="AO134" s="849"/>
      <c r="AP134" s="849"/>
      <c r="AQ134" s="371"/>
      <c r="AR134" s="371"/>
      <c r="AS134" s="371"/>
      <c r="AT134" s="371"/>
      <c r="AU134" s="371"/>
      <c r="AV134" s="371"/>
    </row>
    <row r="135" spans="2:48" s="361" customFormat="1">
      <c r="B135" s="361" t="s">
        <v>740</v>
      </c>
      <c r="G135" s="850">
        <v>28.5</v>
      </c>
      <c r="H135" s="850">
        <v>32.1</v>
      </c>
      <c r="I135" s="850">
        <v>24.4</v>
      </c>
      <c r="J135" s="850">
        <v>29.4</v>
      </c>
      <c r="K135" s="850">
        <v>21</v>
      </c>
      <c r="L135" s="850">
        <v>17.8</v>
      </c>
      <c r="M135" s="850">
        <v>17.2</v>
      </c>
      <c r="N135" s="850">
        <v>25.8</v>
      </c>
      <c r="O135" s="850">
        <v>20.8</v>
      </c>
      <c r="P135" s="850">
        <v>19</v>
      </c>
      <c r="Q135" s="850">
        <v>14.3</v>
      </c>
      <c r="R135" s="850">
        <v>16.3</v>
      </c>
      <c r="S135" s="850">
        <v>16.5</v>
      </c>
      <c r="T135" s="850">
        <v>19.100000000000001</v>
      </c>
      <c r="U135" s="850">
        <v>17</v>
      </c>
      <c r="V135" s="850">
        <f>65.8-SUM(S135:U135)</f>
        <v>13.199999999999996</v>
      </c>
      <c r="W135" s="852">
        <f t="shared" ref="W135:AD135" si="91">+W130*W136</f>
        <v>6.6778287883759084</v>
      </c>
      <c r="X135" s="852">
        <f t="shared" si="91"/>
        <v>6.5977053972192525</v>
      </c>
      <c r="Y135" s="852">
        <f t="shared" si="91"/>
        <v>9.4526182957442124</v>
      </c>
      <c r="Z135" s="852">
        <f t="shared" si="91"/>
        <v>10.499998127431908</v>
      </c>
      <c r="AA135" s="852">
        <f t="shared" si="91"/>
        <v>8.4064277454160763</v>
      </c>
      <c r="AB135" s="852">
        <f t="shared" si="91"/>
        <v>13.930667891018624</v>
      </c>
      <c r="AC135" s="852">
        <f t="shared" si="91"/>
        <v>12.920588922087497</v>
      </c>
      <c r="AD135" s="852">
        <f t="shared" si="91"/>
        <v>10.404819212502309</v>
      </c>
      <c r="AF135" s="852">
        <v>12.268848705656893</v>
      </c>
      <c r="AL135" s="853">
        <f>+SUM(K135:N135)</f>
        <v>81.8</v>
      </c>
      <c r="AM135" s="853">
        <f>+SUM(O135:R135)</f>
        <v>70.399999999999991</v>
      </c>
      <c r="AN135" s="853">
        <f>+SUM(S135:V135)</f>
        <v>65.8</v>
      </c>
      <c r="AO135" s="853">
        <f>+SUM(W135:Z135)</f>
        <v>33.22815060877128</v>
      </c>
      <c r="AP135" s="853">
        <f>+SUM(AA135:AD135)</f>
        <v>45.662503771024511</v>
      </c>
      <c r="AQ135" s="852">
        <f t="shared" ref="AQ135:AV135" si="92">+AQ130*AQ136</f>
        <v>49.769483123720967</v>
      </c>
      <c r="AR135" s="852">
        <f t="shared" si="92"/>
        <v>60.162810433307129</v>
      </c>
      <c r="AS135" s="852">
        <f t="shared" si="92"/>
        <v>60.599461530508712</v>
      </c>
      <c r="AT135" s="852">
        <f t="shared" si="92"/>
        <v>60.082171628816916</v>
      </c>
      <c r="AU135" s="852">
        <f t="shared" si="92"/>
        <v>65.031865583605764</v>
      </c>
      <c r="AV135" s="852">
        <f t="shared" si="92"/>
        <v>64.412514482809499</v>
      </c>
    </row>
    <row r="136" spans="2:48" s="361" customFormat="1">
      <c r="B136" s="361" t="s">
        <v>715</v>
      </c>
      <c r="G136" s="860">
        <f t="shared" ref="G136:V136" si="93">+G135/G130</f>
        <v>0.13922813873961895</v>
      </c>
      <c r="H136" s="860">
        <f t="shared" si="93"/>
        <v>0.14304812834224598</v>
      </c>
      <c r="I136" s="860">
        <f t="shared" si="93"/>
        <v>0.12398373983739835</v>
      </c>
      <c r="J136" s="860">
        <f t="shared" si="93"/>
        <v>0.14404703576678099</v>
      </c>
      <c r="K136" s="860">
        <f t="shared" si="93"/>
        <v>0.10869565217391305</v>
      </c>
      <c r="L136" s="860">
        <f t="shared" si="93"/>
        <v>8.5659287776708379E-2</v>
      </c>
      <c r="M136" s="860">
        <f t="shared" si="93"/>
        <v>8.3495145631067955E-2</v>
      </c>
      <c r="N136" s="860">
        <f t="shared" si="93"/>
        <v>0.1259765625</v>
      </c>
      <c r="O136" s="860">
        <f t="shared" si="93"/>
        <v>0.10633946830265849</v>
      </c>
      <c r="P136" s="860">
        <f t="shared" si="93"/>
        <v>9.1654606849975881E-2</v>
      </c>
      <c r="Q136" s="860">
        <f t="shared" si="93"/>
        <v>6.9082125603864744E-2</v>
      </c>
      <c r="R136" s="860">
        <f t="shared" si="93"/>
        <v>8.1745235707121361E-2</v>
      </c>
      <c r="S136" s="860">
        <f t="shared" si="93"/>
        <v>8.5625324338349768E-2</v>
      </c>
      <c r="T136" s="860">
        <f t="shared" si="93"/>
        <v>9.8555211558307529E-2</v>
      </c>
      <c r="U136" s="860">
        <f t="shared" si="93"/>
        <v>9.2041147807255017E-2</v>
      </c>
      <c r="V136" s="860">
        <f t="shared" si="93"/>
        <v>7.3292615213770146E-2</v>
      </c>
      <c r="W136" s="868">
        <f t="shared" ref="W136:AD136" si="94">+S136+W137</f>
        <v>7.5625324338349773E-2</v>
      </c>
      <c r="X136" s="868">
        <f t="shared" si="94"/>
        <v>6.855521155830753E-2</v>
      </c>
      <c r="Y136" s="868">
        <f t="shared" si="94"/>
        <v>6.2041147807255018E-2</v>
      </c>
      <c r="Z136" s="868">
        <f t="shared" si="94"/>
        <v>6.3292615213770151E-2</v>
      </c>
      <c r="AA136" s="868">
        <f t="shared" si="94"/>
        <v>8.5625324338349768E-2</v>
      </c>
      <c r="AB136" s="868">
        <f t="shared" si="94"/>
        <v>8.8555211558307534E-2</v>
      </c>
      <c r="AC136" s="868">
        <f t="shared" si="94"/>
        <v>7.2041147807255013E-2</v>
      </c>
      <c r="AD136" s="868">
        <f t="shared" si="94"/>
        <v>6.3292615213770151E-2</v>
      </c>
      <c r="AF136" s="868">
        <v>7.5625324338349773E-2</v>
      </c>
      <c r="AL136" s="860">
        <f>+AL135/AL130</f>
        <v>0.10076373491007637</v>
      </c>
      <c r="AM136" s="860">
        <f>+AM135/AM130</f>
        <v>8.6988755714815263E-2</v>
      </c>
      <c r="AN136" s="860">
        <f>+AN135/AN130</f>
        <v>8.7581525356049517E-2</v>
      </c>
      <c r="AO136" s="860">
        <f>+AO135/AO130</f>
        <v>6.6086565866044736E-2</v>
      </c>
      <c r="AP136" s="860">
        <f>+AP135/AP130</f>
        <v>7.6201983379124691E-2</v>
      </c>
      <c r="AQ136" s="868">
        <f t="shared" ref="AQ136:AV136" si="95">+AP136+AQ137</f>
        <v>7.9201983379124694E-2</v>
      </c>
      <c r="AR136" s="868">
        <f t="shared" si="95"/>
        <v>8.1201983379124695E-2</v>
      </c>
      <c r="AS136" s="868">
        <f t="shared" si="95"/>
        <v>8.1201983379124695E-2</v>
      </c>
      <c r="AT136" s="868">
        <f t="shared" si="95"/>
        <v>8.1201983379124695E-2</v>
      </c>
      <c r="AU136" s="868">
        <f t="shared" si="95"/>
        <v>8.1201983379124695E-2</v>
      </c>
      <c r="AV136" s="868">
        <f t="shared" si="95"/>
        <v>8.1201983379124695E-2</v>
      </c>
    </row>
    <row r="137" spans="2:48" s="363" customFormat="1">
      <c r="B137" s="858" t="s">
        <v>745</v>
      </c>
      <c r="K137" s="854">
        <f t="shared" ref="K137:V137" si="96">+K136-G136</f>
        <v>-3.0532486565705896E-2</v>
      </c>
      <c r="L137" s="854">
        <f t="shared" si="96"/>
        <v>-5.7388840565537599E-2</v>
      </c>
      <c r="M137" s="854">
        <f t="shared" si="96"/>
        <v>-4.04885942063304E-2</v>
      </c>
      <c r="N137" s="854">
        <f t="shared" si="96"/>
        <v>-1.807047326678099E-2</v>
      </c>
      <c r="O137" s="854">
        <f t="shared" si="96"/>
        <v>-2.3561838712545663E-3</v>
      </c>
      <c r="P137" s="854">
        <f t="shared" si="96"/>
        <v>5.9953190732675021E-3</v>
      </c>
      <c r="Q137" s="854">
        <f t="shared" si="96"/>
        <v>-1.4413020027203211E-2</v>
      </c>
      <c r="R137" s="854">
        <f t="shared" si="96"/>
        <v>-4.4231326792878639E-2</v>
      </c>
      <c r="S137" s="854">
        <f t="shared" si="96"/>
        <v>-2.0714143964308721E-2</v>
      </c>
      <c r="T137" s="854">
        <f t="shared" si="96"/>
        <v>6.900604708331648E-3</v>
      </c>
      <c r="U137" s="854">
        <f t="shared" si="96"/>
        <v>2.2959022203390272E-2</v>
      </c>
      <c r="V137" s="854">
        <f t="shared" si="96"/>
        <v>-8.452620493351215E-3</v>
      </c>
      <c r="W137" s="371">
        <v>-0.01</v>
      </c>
      <c r="X137" s="371">
        <v>-0.03</v>
      </c>
      <c r="Y137" s="371">
        <v>-0.03</v>
      </c>
      <c r="Z137" s="371">
        <v>-0.01</v>
      </c>
      <c r="AA137" s="371">
        <v>0.01</v>
      </c>
      <c r="AB137" s="371">
        <v>0.02</v>
      </c>
      <c r="AC137" s="371">
        <v>0.01</v>
      </c>
      <c r="AD137" s="371">
        <v>0</v>
      </c>
      <c r="AF137" s="371">
        <v>-0.01</v>
      </c>
      <c r="AL137" s="854"/>
      <c r="AM137" s="854">
        <f>+AM136-AL136</f>
        <v>-1.3774979195261106E-2</v>
      </c>
      <c r="AN137" s="854">
        <f>+AN136-AM136</f>
        <v>5.9276964123425313E-4</v>
      </c>
      <c r="AO137" s="854">
        <f>+AO136-AN136</f>
        <v>-2.1494959490004781E-2</v>
      </c>
      <c r="AP137" s="854">
        <f>+AP136-AO136</f>
        <v>1.0115417513079955E-2</v>
      </c>
      <c r="AQ137" s="371">
        <v>3.0000000000000001E-3</v>
      </c>
      <c r="AR137" s="371">
        <v>2E-3</v>
      </c>
      <c r="AS137" s="371">
        <v>0</v>
      </c>
      <c r="AT137" s="371">
        <v>0</v>
      </c>
      <c r="AU137" s="371">
        <v>0</v>
      </c>
      <c r="AV137" s="371">
        <v>0</v>
      </c>
    </row>
    <row r="138" spans="2:48" s="363" customFormat="1">
      <c r="B138" s="858"/>
      <c r="K138" s="854"/>
      <c r="L138" s="854"/>
      <c r="M138" s="854"/>
      <c r="N138" s="854"/>
      <c r="O138" s="854"/>
      <c r="P138" s="854"/>
      <c r="Q138" s="854"/>
      <c r="R138" s="854"/>
      <c r="S138" s="854"/>
      <c r="T138" s="854"/>
      <c r="U138" s="854"/>
      <c r="V138" s="854"/>
      <c r="W138" s="371"/>
      <c r="X138" s="371"/>
      <c r="Y138" s="371"/>
      <c r="Z138" s="371"/>
      <c r="AA138" s="371"/>
      <c r="AB138" s="371"/>
      <c r="AC138" s="371"/>
      <c r="AD138" s="371"/>
      <c r="AF138" s="371"/>
      <c r="AL138" s="854"/>
      <c r="AM138" s="854"/>
      <c r="AN138" s="854"/>
      <c r="AO138" s="854"/>
      <c r="AP138" s="854"/>
      <c r="AQ138" s="371"/>
      <c r="AR138" s="371"/>
      <c r="AS138" s="371"/>
      <c r="AT138" s="371"/>
      <c r="AU138" s="371"/>
      <c r="AV138" s="371"/>
    </row>
    <row r="139" spans="2:48" s="867" customFormat="1">
      <c r="B139" s="866" t="s">
        <v>741</v>
      </c>
      <c r="S139" s="867">
        <v>-0.08</v>
      </c>
      <c r="T139" s="867">
        <v>-0.1</v>
      </c>
      <c r="U139" s="867">
        <v>-0.13</v>
      </c>
      <c r="V139" s="867">
        <v>-0.12</v>
      </c>
      <c r="W139" s="865"/>
      <c r="X139" s="865"/>
      <c r="Y139" s="865"/>
      <c r="Z139" s="865"/>
      <c r="AA139" s="865"/>
      <c r="AB139" s="865"/>
      <c r="AC139" s="865"/>
      <c r="AD139" s="865"/>
      <c r="AF139" s="865"/>
      <c r="AL139" s="853">
        <f t="shared" ref="AL139:AM139" si="97">+AL104+AL130</f>
        <v>3034.2</v>
      </c>
      <c r="AM139" s="853">
        <f t="shared" si="97"/>
        <v>2787.8</v>
      </c>
      <c r="AN139" s="853">
        <f>+AN104+AN130</f>
        <v>2514</v>
      </c>
      <c r="AQ139" s="865"/>
      <c r="AR139" s="865"/>
      <c r="AS139" s="865"/>
      <c r="AT139" s="865"/>
      <c r="AU139" s="865"/>
      <c r="AV139" s="865"/>
    </row>
    <row r="140" spans="2:48" s="867" customFormat="1">
      <c r="B140" s="866" t="s">
        <v>742</v>
      </c>
      <c r="S140" s="867">
        <v>0.09</v>
      </c>
      <c r="T140" s="867">
        <v>0.04</v>
      </c>
      <c r="U140" s="867">
        <v>0.04</v>
      </c>
      <c r="W140" s="865"/>
      <c r="X140" s="865"/>
      <c r="Y140" s="865"/>
      <c r="Z140" s="865"/>
      <c r="AA140" s="865"/>
      <c r="AB140" s="865"/>
      <c r="AC140" s="865"/>
      <c r="AD140" s="865"/>
      <c r="AF140" s="865"/>
      <c r="AL140" s="1303">
        <f t="shared" ref="AL140:AM140" si="98">+AL121+AL135</f>
        <v>275.89999999999998</v>
      </c>
      <c r="AM140" s="1303">
        <f t="shared" si="98"/>
        <v>216.60000000000002</v>
      </c>
      <c r="AN140" s="1303">
        <f>+AN121+AN135</f>
        <v>238.7</v>
      </c>
      <c r="AQ140" s="865"/>
      <c r="AR140" s="865"/>
      <c r="AS140" s="865"/>
      <c r="AT140" s="865"/>
      <c r="AU140" s="865"/>
      <c r="AV140" s="865"/>
    </row>
    <row r="141" spans="2:48" s="867" customFormat="1">
      <c r="B141" s="866" t="s">
        <v>743</v>
      </c>
      <c r="S141" s="867">
        <v>-0.03</v>
      </c>
      <c r="T141" s="867">
        <v>-0.08</v>
      </c>
      <c r="U141" s="867">
        <v>-0.15</v>
      </c>
      <c r="V141" s="867">
        <v>-0.11</v>
      </c>
      <c r="W141" s="865"/>
      <c r="X141" s="865"/>
      <c r="Y141" s="865"/>
      <c r="Z141" s="865"/>
      <c r="AA141" s="865"/>
      <c r="AB141" s="865"/>
      <c r="AC141" s="865"/>
      <c r="AD141" s="865"/>
      <c r="AF141" s="865"/>
      <c r="AL141" s="867">
        <f t="shared" ref="AL141:AM141" si="99">+AL140/AL139</f>
        <v>9.0930063937776015E-2</v>
      </c>
      <c r="AM141" s="867">
        <f t="shared" si="99"/>
        <v>7.7695674008178492E-2</v>
      </c>
      <c r="AN141" s="867">
        <f>+AN140/AN139</f>
        <v>9.494828957836117E-2</v>
      </c>
      <c r="AQ141" s="865"/>
      <c r="AR141" s="865"/>
      <c r="AS141" s="865"/>
      <c r="AT141" s="865"/>
      <c r="AU141" s="865"/>
      <c r="AV141" s="865"/>
    </row>
    <row r="142" spans="2:48" s="867" customFormat="1">
      <c r="B142" s="866"/>
      <c r="W142" s="865"/>
      <c r="X142" s="865"/>
      <c r="Y142" s="865"/>
      <c r="Z142" s="865"/>
      <c r="AA142" s="865"/>
      <c r="AB142" s="865"/>
      <c r="AC142" s="865"/>
      <c r="AD142" s="865"/>
      <c r="AF142" s="865"/>
      <c r="AQ142" s="865"/>
      <c r="AR142" s="865"/>
      <c r="AS142" s="865"/>
      <c r="AT142" s="865"/>
      <c r="AU142" s="865"/>
      <c r="AV142" s="865"/>
    </row>
    <row r="143" spans="2:48" s="870" customFormat="1">
      <c r="B143" s="869" t="s">
        <v>362</v>
      </c>
      <c r="K143" s="871"/>
      <c r="L143" s="871"/>
      <c r="M143" s="871"/>
      <c r="N143" s="871"/>
      <c r="O143" s="871"/>
      <c r="P143" s="871"/>
      <c r="Q143" s="871"/>
      <c r="R143" s="871"/>
      <c r="S143" s="871"/>
      <c r="T143" s="871"/>
      <c r="U143" s="871"/>
      <c r="V143" s="871"/>
    </row>
    <row r="144" spans="2:48" s="361" customFormat="1">
      <c r="B144" s="361" t="s">
        <v>735</v>
      </c>
      <c r="G144" s="850">
        <v>520.4</v>
      </c>
      <c r="H144" s="850">
        <v>520.9</v>
      </c>
      <c r="I144" s="850">
        <v>476.4</v>
      </c>
      <c r="J144" s="850">
        <v>620.5</v>
      </c>
      <c r="K144" s="850">
        <v>507.5</v>
      </c>
      <c r="L144" s="850">
        <v>494.6</v>
      </c>
      <c r="M144" s="850">
        <v>482.8</v>
      </c>
      <c r="N144" s="850">
        <v>641.6</v>
      </c>
      <c r="O144" s="850">
        <v>568.4</v>
      </c>
      <c r="P144" s="850">
        <v>500.7</v>
      </c>
      <c r="Q144" s="850">
        <v>442.9</v>
      </c>
      <c r="R144" s="850">
        <v>581.79999999999995</v>
      </c>
      <c r="S144" s="850">
        <v>458.7</v>
      </c>
      <c r="T144" s="850">
        <v>425.1</v>
      </c>
      <c r="U144" s="851">
        <v>398.3</v>
      </c>
      <c r="V144" s="851">
        <f>1794.1-SUM(S144:U144)</f>
        <v>512</v>
      </c>
      <c r="W144" s="852">
        <f t="shared" ref="W144:AD144" si="100">+S144*(1+W145)</f>
        <v>275.21999999999997</v>
      </c>
      <c r="X144" s="852">
        <f t="shared" si="100"/>
        <v>340.08000000000004</v>
      </c>
      <c r="Y144" s="852">
        <f t="shared" si="100"/>
        <v>378.38499999999999</v>
      </c>
      <c r="Z144" s="852">
        <f t="shared" si="100"/>
        <v>486.4</v>
      </c>
      <c r="AA144" s="852">
        <f t="shared" si="100"/>
        <v>330.26399999999995</v>
      </c>
      <c r="AB144" s="852">
        <f t="shared" si="100"/>
        <v>425.1</v>
      </c>
      <c r="AC144" s="852">
        <f t="shared" si="100"/>
        <v>397.30425000000002</v>
      </c>
      <c r="AD144" s="852">
        <f t="shared" si="100"/>
        <v>510.71999999999997</v>
      </c>
      <c r="AF144" s="852">
        <v>183.48000000000002</v>
      </c>
      <c r="AK144" s="361">
        <v>2138.1999999999998</v>
      </c>
      <c r="AL144" s="853">
        <f>+SUM(K144:N144)</f>
        <v>2126.5</v>
      </c>
      <c r="AM144" s="853">
        <f>+SUM(O144:R144)</f>
        <v>2093.8000000000002</v>
      </c>
      <c r="AN144" s="853">
        <f>+SUM(S144:V144)</f>
        <v>1794.1</v>
      </c>
      <c r="AO144" s="853">
        <f>+SUM(W144:Z144)</f>
        <v>1480.085</v>
      </c>
      <c r="AP144" s="853">
        <f>+SUM(AA144:AD144)</f>
        <v>1663.3882500000002</v>
      </c>
      <c r="AQ144" s="852">
        <f t="shared" ref="AQ144:AV144" si="101">+AP144*(1+AQ145)</f>
        <v>1796.4593100000004</v>
      </c>
      <c r="AR144" s="852">
        <f t="shared" si="101"/>
        <v>1940.1760548000007</v>
      </c>
      <c r="AS144" s="852">
        <f t="shared" si="101"/>
        <v>2056.5866180880007</v>
      </c>
      <c r="AT144" s="852">
        <f t="shared" si="101"/>
        <v>2179.9818151732807</v>
      </c>
      <c r="AU144" s="852">
        <f t="shared" si="101"/>
        <v>2310.7807240836778</v>
      </c>
      <c r="AV144" s="852">
        <f t="shared" si="101"/>
        <v>2449.4275675286985</v>
      </c>
    </row>
    <row r="145" spans="2:48" s="363" customFormat="1">
      <c r="B145" s="858" t="s">
        <v>108</v>
      </c>
      <c r="K145" s="854">
        <f t="shared" ref="K145:V145" si="102">+K144/G144-1</f>
        <v>-2.478862413528049E-2</v>
      </c>
      <c r="L145" s="854">
        <f t="shared" si="102"/>
        <v>-5.0489537339220458E-2</v>
      </c>
      <c r="M145" s="854">
        <f t="shared" si="102"/>
        <v>1.3434089000839755E-2</v>
      </c>
      <c r="N145" s="854">
        <f t="shared" si="102"/>
        <v>3.4004834810636542E-2</v>
      </c>
      <c r="O145" s="854">
        <f t="shared" si="102"/>
        <v>0.11999999999999988</v>
      </c>
      <c r="P145" s="854">
        <f t="shared" si="102"/>
        <v>1.2333198544278057E-2</v>
      </c>
      <c r="Q145" s="854">
        <f t="shared" si="102"/>
        <v>-8.264291632145826E-2</v>
      </c>
      <c r="R145" s="854">
        <f t="shared" si="102"/>
        <v>-9.3204488778054984E-2</v>
      </c>
      <c r="S145" s="854">
        <f t="shared" si="102"/>
        <v>-0.19299788881069668</v>
      </c>
      <c r="T145" s="854">
        <f t="shared" si="102"/>
        <v>-0.1509886159376872</v>
      </c>
      <c r="U145" s="854">
        <f t="shared" si="102"/>
        <v>-0.10069993226461948</v>
      </c>
      <c r="V145" s="854">
        <f t="shared" si="102"/>
        <v>-0.11997249914059804</v>
      </c>
      <c r="W145" s="859">
        <v>-0.4</v>
      </c>
      <c r="X145" s="859">
        <v>-0.2</v>
      </c>
      <c r="Y145" s="859">
        <v>-0.05</v>
      </c>
      <c r="Z145" s="859">
        <v>-0.05</v>
      </c>
      <c r="AA145" s="859">
        <v>0.2</v>
      </c>
      <c r="AB145" s="859">
        <v>0.25</v>
      </c>
      <c r="AC145" s="859">
        <v>0.05</v>
      </c>
      <c r="AD145" s="859">
        <v>0.05</v>
      </c>
      <c r="AF145" s="859">
        <v>-0.6</v>
      </c>
      <c r="AL145" s="849">
        <f>+AL144/AK144-1</f>
        <v>-5.471892245814125E-3</v>
      </c>
      <c r="AM145" s="849">
        <f>+AM144/AL144-1</f>
        <v>-1.5377380672466412E-2</v>
      </c>
      <c r="AN145" s="849">
        <f>+AN144/AM144-1</f>
        <v>-0.14313688031330607</v>
      </c>
      <c r="AO145" s="849">
        <f>+AO144/AN144-1</f>
        <v>-0.17502647567025242</v>
      </c>
      <c r="AP145" s="849">
        <f>+AP144/AO144-1</f>
        <v>0.12384643449531629</v>
      </c>
      <c r="AQ145" s="371">
        <v>0.08</v>
      </c>
      <c r="AR145" s="371">
        <v>0.08</v>
      </c>
      <c r="AS145" s="371">
        <v>0.06</v>
      </c>
      <c r="AT145" s="371">
        <v>0.06</v>
      </c>
      <c r="AU145" s="371">
        <v>0.06</v>
      </c>
      <c r="AV145" s="371">
        <v>0.06</v>
      </c>
    </row>
    <row r="146" spans="2:48" s="363" customFormat="1">
      <c r="B146" s="858"/>
      <c r="O146" s="854"/>
      <c r="P146" s="854"/>
      <c r="Q146" s="854"/>
      <c r="R146" s="854"/>
      <c r="S146" s="854"/>
      <c r="T146" s="854"/>
      <c r="U146" s="854"/>
      <c r="V146" s="854"/>
      <c r="W146" s="854"/>
      <c r="X146" s="854"/>
      <c r="Y146" s="854"/>
      <c r="Z146" s="854"/>
      <c r="AA146" s="854"/>
      <c r="AB146" s="854"/>
      <c r="AC146" s="854"/>
      <c r="AD146" s="854"/>
      <c r="AF146" s="854"/>
      <c r="AL146" s="849"/>
      <c r="AM146" s="849"/>
      <c r="AN146" s="849"/>
      <c r="AO146" s="849"/>
      <c r="AP146" s="849"/>
      <c r="AQ146" s="849"/>
      <c r="AR146" s="849"/>
      <c r="AS146" s="849"/>
      <c r="AT146" s="849"/>
      <c r="AU146" s="849"/>
      <c r="AV146" s="849"/>
    </row>
    <row r="147" spans="2:48" s="361" customFormat="1">
      <c r="B147" s="361" t="s">
        <v>740</v>
      </c>
      <c r="G147" s="850">
        <v>68.7</v>
      </c>
      <c r="H147" s="850">
        <v>83.4</v>
      </c>
      <c r="I147" s="850">
        <v>66.2</v>
      </c>
      <c r="J147" s="850">
        <v>111.6</v>
      </c>
      <c r="K147" s="850">
        <v>74.599999999999994</v>
      </c>
      <c r="L147" s="850">
        <v>82</v>
      </c>
      <c r="M147" s="850">
        <v>65.900000000000006</v>
      </c>
      <c r="N147" s="850">
        <v>108.1</v>
      </c>
      <c r="O147" s="850">
        <v>74.400000000000006</v>
      </c>
      <c r="P147" s="850">
        <v>74.400000000000006</v>
      </c>
      <c r="Q147" s="850">
        <v>46.1</v>
      </c>
      <c r="R147" s="850">
        <v>72.599999999999994</v>
      </c>
      <c r="S147" s="850">
        <v>59.2</v>
      </c>
      <c r="T147" s="850">
        <v>59</v>
      </c>
      <c r="U147" s="850">
        <v>47.6</v>
      </c>
      <c r="V147" s="850">
        <f>225.6-SUM(S147:U147)</f>
        <v>59.799999999999983</v>
      </c>
      <c r="W147" s="852">
        <f t="shared" ref="W147:AD147" si="103">+W148*W144</f>
        <v>21.758999999999997</v>
      </c>
      <c r="X147" s="852">
        <f t="shared" si="103"/>
        <v>40.398400000000002</v>
      </c>
      <c r="Y147" s="852">
        <f t="shared" si="103"/>
        <v>41.436149999999998</v>
      </c>
      <c r="Z147" s="852">
        <f t="shared" si="103"/>
        <v>56.809999999999981</v>
      </c>
      <c r="AA147" s="852">
        <f t="shared" si="103"/>
        <v>42.623999999999995</v>
      </c>
      <c r="AB147" s="852">
        <f t="shared" si="103"/>
        <v>67.501999999999995</v>
      </c>
      <c r="AC147" s="852">
        <f t="shared" si="103"/>
        <v>47.481000000000002</v>
      </c>
      <c r="AD147" s="852">
        <f t="shared" si="103"/>
        <v>64.757699999999986</v>
      </c>
      <c r="AF147" s="852">
        <v>14.506</v>
      </c>
      <c r="AL147" s="853">
        <f>+SUM(K147:N147)</f>
        <v>330.6</v>
      </c>
      <c r="AM147" s="853">
        <f>+SUM(O147:R147)</f>
        <v>267.5</v>
      </c>
      <c r="AN147" s="853">
        <f>+SUM(S147:V147)</f>
        <v>225.6</v>
      </c>
      <c r="AO147" s="853">
        <f>+SUM(W147:Z147)</f>
        <v>160.40354999999997</v>
      </c>
      <c r="AP147" s="853">
        <f>+SUM(AA147:AD147)</f>
        <v>222.36469999999997</v>
      </c>
      <c r="AQ147" s="852">
        <f t="shared" ref="AQ147:AV147" si="104">+AQ148*AQ144</f>
        <v>243.74679462</v>
      </c>
      <c r="AR147" s="852">
        <f t="shared" si="104"/>
        <v>267.12689029920006</v>
      </c>
      <c r="AS147" s="852">
        <f t="shared" si="104"/>
        <v>287.26767695332808</v>
      </c>
      <c r="AT147" s="852">
        <f t="shared" si="104"/>
        <v>308.86370120087429</v>
      </c>
      <c r="AU147" s="852">
        <f t="shared" si="104"/>
        <v>332.01708472109414</v>
      </c>
      <c r="AV147" s="852">
        <f t="shared" si="104"/>
        <v>356.83696493941721</v>
      </c>
    </row>
    <row r="148" spans="2:48" s="361" customFormat="1">
      <c r="B148" s="361" t="s">
        <v>715</v>
      </c>
      <c r="G148" s="860">
        <f t="shared" ref="G148:V148" si="105">+G147/G144</f>
        <v>0.13201383551114529</v>
      </c>
      <c r="H148" s="860">
        <f t="shared" si="105"/>
        <v>0.16010750623920139</v>
      </c>
      <c r="I148" s="860">
        <f t="shared" si="105"/>
        <v>0.13895885810243494</v>
      </c>
      <c r="J148" s="860">
        <f t="shared" si="105"/>
        <v>0.17985495568090248</v>
      </c>
      <c r="K148" s="860">
        <f t="shared" si="105"/>
        <v>0.14699507389162561</v>
      </c>
      <c r="L148" s="860">
        <f t="shared" si="105"/>
        <v>0.16579053780832995</v>
      </c>
      <c r="M148" s="860">
        <f t="shared" si="105"/>
        <v>0.13649544324772164</v>
      </c>
      <c r="N148" s="860">
        <f t="shared" si="105"/>
        <v>0.16848503740648377</v>
      </c>
      <c r="O148" s="860">
        <f t="shared" si="105"/>
        <v>0.13089373680506686</v>
      </c>
      <c r="P148" s="860">
        <f t="shared" si="105"/>
        <v>0.14859197124026366</v>
      </c>
      <c r="Q148" s="860">
        <f t="shared" si="105"/>
        <v>0.10408670128697224</v>
      </c>
      <c r="R148" s="860">
        <f t="shared" si="105"/>
        <v>0.124785149535923</v>
      </c>
      <c r="S148" s="860">
        <f t="shared" si="105"/>
        <v>0.12906038805319381</v>
      </c>
      <c r="T148" s="860">
        <f t="shared" si="105"/>
        <v>0.13879087273582685</v>
      </c>
      <c r="U148" s="860">
        <f t="shared" si="105"/>
        <v>0.1195079086115993</v>
      </c>
      <c r="V148" s="860">
        <f t="shared" si="105"/>
        <v>0.11679687499999997</v>
      </c>
      <c r="W148" s="868">
        <f t="shared" ref="W148:AD148" si="106">+S148+W149</f>
        <v>7.9060388053193806E-2</v>
      </c>
      <c r="X148" s="868">
        <f t="shared" si="106"/>
        <v>0.11879087273582685</v>
      </c>
      <c r="Y148" s="868">
        <f t="shared" si="106"/>
        <v>0.1095079086115993</v>
      </c>
      <c r="Z148" s="868">
        <f t="shared" si="106"/>
        <v>0.11679687499999997</v>
      </c>
      <c r="AA148" s="868">
        <f t="shared" si="106"/>
        <v>0.12906038805319381</v>
      </c>
      <c r="AB148" s="868">
        <f t="shared" si="106"/>
        <v>0.15879087273582684</v>
      </c>
      <c r="AC148" s="868">
        <f t="shared" si="106"/>
        <v>0.1195079086115993</v>
      </c>
      <c r="AD148" s="868">
        <f t="shared" si="106"/>
        <v>0.12679687499999998</v>
      </c>
      <c r="AF148" s="868">
        <v>7.9060388053193806E-2</v>
      </c>
      <c r="AL148" s="860">
        <f>+AL147/AL144</f>
        <v>0.1554667293675053</v>
      </c>
      <c r="AM148" s="860">
        <f>+AM147/AM144</f>
        <v>0.12775814308912026</v>
      </c>
      <c r="AN148" s="860">
        <f>+AN147/AN144</f>
        <v>0.12574549913605709</v>
      </c>
      <c r="AO148" s="860">
        <f>+AO147/AO144</f>
        <v>0.10837455281284518</v>
      </c>
      <c r="AP148" s="860">
        <f>+AP147/AP144</f>
        <v>0.13368177874287615</v>
      </c>
      <c r="AQ148" s="868">
        <f t="shared" ref="AQ148:AV148" si="107">+AP148+AQ149</f>
        <v>0.13568177874287615</v>
      </c>
      <c r="AR148" s="868">
        <f t="shared" si="107"/>
        <v>0.13768177874287615</v>
      </c>
      <c r="AS148" s="868">
        <f t="shared" si="107"/>
        <v>0.13968177874287616</v>
      </c>
      <c r="AT148" s="868">
        <f t="shared" si="107"/>
        <v>0.14168177874287616</v>
      </c>
      <c r="AU148" s="868">
        <f t="shared" si="107"/>
        <v>0.14368177874287616</v>
      </c>
      <c r="AV148" s="868">
        <f t="shared" si="107"/>
        <v>0.14568177874287616</v>
      </c>
    </row>
    <row r="149" spans="2:48" s="363" customFormat="1">
      <c r="B149" s="858" t="s">
        <v>745</v>
      </c>
      <c r="K149" s="854">
        <f t="shared" ref="K149:V149" si="108">+K148-G148</f>
        <v>1.4981238380480322E-2</v>
      </c>
      <c r="L149" s="854">
        <f t="shared" si="108"/>
        <v>5.6830315691285549E-3</v>
      </c>
      <c r="M149" s="854">
        <f t="shared" si="108"/>
        <v>-2.4634148547132972E-3</v>
      </c>
      <c r="N149" s="854">
        <f t="shared" si="108"/>
        <v>-1.1369918274418717E-2</v>
      </c>
      <c r="O149" s="854">
        <f t="shared" si="108"/>
        <v>-1.6101337086558754E-2</v>
      </c>
      <c r="P149" s="854">
        <f t="shared" si="108"/>
        <v>-1.7198566568066287E-2</v>
      </c>
      <c r="Q149" s="854">
        <f t="shared" si="108"/>
        <v>-3.2408741960749402E-2</v>
      </c>
      <c r="R149" s="854">
        <f t="shared" si="108"/>
        <v>-4.3699887870560769E-2</v>
      </c>
      <c r="S149" s="854">
        <f t="shared" si="108"/>
        <v>-1.8333487518730485E-3</v>
      </c>
      <c r="T149" s="854">
        <f t="shared" si="108"/>
        <v>-9.801098504436806E-3</v>
      </c>
      <c r="U149" s="854">
        <f t="shared" si="108"/>
        <v>1.5421207324627054E-2</v>
      </c>
      <c r="V149" s="854">
        <f t="shared" si="108"/>
        <v>-7.9882745359230317E-3</v>
      </c>
      <c r="W149" s="371">
        <v>-0.05</v>
      </c>
      <c r="X149" s="371">
        <v>-0.02</v>
      </c>
      <c r="Y149" s="371">
        <v>-0.01</v>
      </c>
      <c r="Z149" s="371">
        <v>0</v>
      </c>
      <c r="AA149" s="371">
        <v>0.05</v>
      </c>
      <c r="AB149" s="371">
        <v>0.04</v>
      </c>
      <c r="AC149" s="371">
        <v>0.01</v>
      </c>
      <c r="AD149" s="371">
        <v>0.01</v>
      </c>
      <c r="AF149" s="371">
        <v>-0.05</v>
      </c>
      <c r="AL149" s="854"/>
      <c r="AM149" s="854">
        <f>+AM148-AL148</f>
        <v>-2.7708586278385045E-2</v>
      </c>
      <c r="AN149" s="854">
        <f>+AN148-AM148</f>
        <v>-2.0126439530631646E-3</v>
      </c>
      <c r="AO149" s="854">
        <f>+AO148-AN148</f>
        <v>-1.7370946323211914E-2</v>
      </c>
      <c r="AP149" s="854">
        <f>+AP148-AO148</f>
        <v>2.5307225930030972E-2</v>
      </c>
      <c r="AQ149" s="371">
        <v>2E-3</v>
      </c>
      <c r="AR149" s="371">
        <v>2E-3</v>
      </c>
      <c r="AS149" s="371">
        <v>2E-3</v>
      </c>
      <c r="AT149" s="371">
        <v>2E-3</v>
      </c>
      <c r="AU149" s="371">
        <v>2E-3</v>
      </c>
      <c r="AV149" s="371">
        <v>2E-3</v>
      </c>
    </row>
    <row r="150" spans="2:48" s="363" customFormat="1">
      <c r="B150" s="858"/>
      <c r="M150" s="854"/>
      <c r="N150" s="854"/>
      <c r="O150" s="854"/>
      <c r="P150" s="854"/>
      <c r="Q150" s="854"/>
      <c r="R150" s="854"/>
      <c r="S150" s="854"/>
      <c r="T150" s="854"/>
      <c r="U150" s="854"/>
      <c r="V150" s="854"/>
      <c r="W150" s="371"/>
      <c r="X150" s="371"/>
      <c r="Y150" s="371"/>
      <c r="Z150" s="371"/>
      <c r="AA150" s="371"/>
      <c r="AB150" s="371"/>
      <c r="AC150" s="371"/>
      <c r="AD150" s="371"/>
      <c r="AF150" s="371"/>
      <c r="AL150" s="854"/>
      <c r="AM150" s="854"/>
      <c r="AN150" s="854"/>
      <c r="AO150" s="854"/>
      <c r="AP150" s="854"/>
      <c r="AQ150" s="371"/>
      <c r="AR150" s="371"/>
      <c r="AS150" s="371"/>
      <c r="AT150" s="371"/>
      <c r="AU150" s="371"/>
      <c r="AV150" s="371"/>
    </row>
    <row r="151" spans="2:48" s="867" customFormat="1">
      <c r="B151" s="866" t="s">
        <v>741</v>
      </c>
      <c r="S151" s="867">
        <v>-0.12</v>
      </c>
      <c r="T151" s="867">
        <v>-0.09</v>
      </c>
      <c r="U151" s="867">
        <v>-0.06</v>
      </c>
      <c r="V151" s="867">
        <v>-0.09</v>
      </c>
      <c r="W151" s="865"/>
      <c r="X151" s="865"/>
      <c r="Y151" s="865"/>
      <c r="Z151" s="865"/>
      <c r="AA151" s="865"/>
      <c r="AB151" s="865"/>
      <c r="AC151" s="865"/>
      <c r="AD151" s="865"/>
      <c r="AF151" s="865"/>
      <c r="AQ151" s="865"/>
      <c r="AR151" s="865"/>
      <c r="AS151" s="865"/>
      <c r="AT151" s="865"/>
      <c r="AU151" s="865"/>
      <c r="AV151" s="865"/>
    </row>
    <row r="152" spans="2:48" s="867" customFormat="1">
      <c r="B152" s="866" t="s">
        <v>742</v>
      </c>
      <c r="S152" s="867">
        <v>0.03</v>
      </c>
      <c r="T152" s="867">
        <v>0.01</v>
      </c>
      <c r="U152" s="867">
        <v>-0.01</v>
      </c>
      <c r="W152" s="865"/>
      <c r="X152" s="865"/>
      <c r="Y152" s="865"/>
      <c r="Z152" s="865"/>
      <c r="AA152" s="865"/>
      <c r="AB152" s="865"/>
      <c r="AC152" s="865"/>
      <c r="AD152" s="865"/>
      <c r="AF152" s="865"/>
      <c r="AQ152" s="865"/>
      <c r="AR152" s="865"/>
      <c r="AS152" s="865"/>
      <c r="AT152" s="865"/>
      <c r="AU152" s="865"/>
      <c r="AV152" s="865"/>
    </row>
    <row r="153" spans="2:48" s="867" customFormat="1">
      <c r="B153" s="866" t="s">
        <v>743</v>
      </c>
      <c r="S153" s="867">
        <v>-0.15</v>
      </c>
      <c r="T153" s="867">
        <v>-0.14000000000000001</v>
      </c>
      <c r="U153" s="867">
        <v>-0.13</v>
      </c>
      <c r="V153" s="867">
        <v>-0.14000000000000001</v>
      </c>
      <c r="W153" s="865"/>
      <c r="X153" s="865"/>
      <c r="Y153" s="865"/>
      <c r="Z153" s="865"/>
      <c r="AA153" s="865"/>
      <c r="AB153" s="865"/>
      <c r="AC153" s="865"/>
      <c r="AD153" s="865"/>
      <c r="AF153" s="865"/>
      <c r="AQ153" s="865"/>
      <c r="AR153" s="865"/>
      <c r="AS153" s="865"/>
      <c r="AT153" s="865"/>
      <c r="AU153" s="865"/>
      <c r="AV153" s="865"/>
    </row>
    <row r="154" spans="2:48" s="867" customFormat="1">
      <c r="B154" s="866"/>
      <c r="W154" s="865"/>
      <c r="X154" s="865"/>
      <c r="Y154" s="865"/>
      <c r="Z154" s="865"/>
      <c r="AA154" s="865"/>
      <c r="AB154" s="865"/>
      <c r="AC154" s="865"/>
      <c r="AD154" s="865"/>
      <c r="AF154" s="865"/>
      <c r="AQ154" s="865"/>
      <c r="AR154" s="865"/>
      <c r="AS154" s="865"/>
      <c r="AT154" s="865"/>
      <c r="AU154" s="865"/>
      <c r="AV154" s="865"/>
    </row>
    <row r="155" spans="2:48" s="870" customFormat="1">
      <c r="B155" s="869" t="s">
        <v>363</v>
      </c>
      <c r="K155" s="871"/>
      <c r="L155" s="871"/>
      <c r="M155" s="871"/>
      <c r="N155" s="871"/>
      <c r="O155" s="871"/>
      <c r="P155" s="871"/>
      <c r="Q155" s="871"/>
      <c r="R155" s="871"/>
      <c r="S155" s="871"/>
      <c r="T155" s="871"/>
      <c r="U155" s="871"/>
      <c r="V155" s="871"/>
    </row>
    <row r="156" spans="2:48" s="361" customFormat="1">
      <c r="B156" s="361" t="s">
        <v>735</v>
      </c>
      <c r="G156" s="850">
        <v>136.69999999999999</v>
      </c>
      <c r="H156" s="850">
        <v>141.9</v>
      </c>
      <c r="I156" s="850">
        <v>132.80000000000001</v>
      </c>
      <c r="J156" s="850">
        <v>144.5</v>
      </c>
      <c r="K156" s="850">
        <v>124.2</v>
      </c>
      <c r="L156" s="850">
        <v>124.7</v>
      </c>
      <c r="M156" s="850">
        <v>130.1</v>
      </c>
      <c r="N156" s="850">
        <v>139.30000000000001</v>
      </c>
      <c r="O156" s="850">
        <v>111.4</v>
      </c>
      <c r="P156" s="850">
        <v>113.1</v>
      </c>
      <c r="Q156" s="850">
        <v>120.5</v>
      </c>
      <c r="R156" s="850">
        <v>125.8</v>
      </c>
      <c r="S156" s="850">
        <v>115.3</v>
      </c>
      <c r="T156" s="850">
        <v>108.4</v>
      </c>
      <c r="U156" s="851">
        <v>106.3</v>
      </c>
      <c r="V156" s="851">
        <f>436.9-SUM(S156:U156)</f>
        <v>106.89999999999998</v>
      </c>
      <c r="W156" s="852">
        <f t="shared" ref="W156:AD156" si="109">+S156*(1+W157)</f>
        <v>46.120000000000005</v>
      </c>
      <c r="X156" s="852">
        <f t="shared" si="109"/>
        <v>97.56</v>
      </c>
      <c r="Y156" s="852">
        <f t="shared" si="109"/>
        <v>110.55200000000001</v>
      </c>
      <c r="Z156" s="852">
        <f t="shared" si="109"/>
        <v>111.17599999999997</v>
      </c>
      <c r="AA156" s="852">
        <f t="shared" si="109"/>
        <v>184.48000000000002</v>
      </c>
      <c r="AB156" s="852">
        <f t="shared" si="109"/>
        <v>126.828</v>
      </c>
      <c r="AC156" s="852">
        <f t="shared" si="109"/>
        <v>114.97408000000001</v>
      </c>
      <c r="AD156" s="852">
        <f t="shared" si="109"/>
        <v>115.62303999999997</v>
      </c>
      <c r="AF156" s="852">
        <v>23.059999999999995</v>
      </c>
      <c r="AK156" s="361">
        <v>494</v>
      </c>
      <c r="AL156" s="853">
        <v>518.29999999999995</v>
      </c>
      <c r="AM156" s="853">
        <v>470.8</v>
      </c>
      <c r="AN156" s="853">
        <f>+SUM(S156:V156)</f>
        <v>436.9</v>
      </c>
      <c r="AO156" s="853">
        <f>+SUM(W156:Z156)</f>
        <v>365.40800000000002</v>
      </c>
      <c r="AP156" s="853">
        <f>+SUM(AA156:AD156)</f>
        <v>541.90512000000001</v>
      </c>
      <c r="AQ156" s="852">
        <f t="shared" ref="AQ156:AV156" si="110">+AP156*(1+AQ157)</f>
        <v>563.58132480000006</v>
      </c>
      <c r="AR156" s="852">
        <f t="shared" si="110"/>
        <v>586.12457779200008</v>
      </c>
      <c r="AS156" s="852">
        <f t="shared" si="110"/>
        <v>603.70831512576012</v>
      </c>
      <c r="AT156" s="852">
        <f t="shared" si="110"/>
        <v>621.81956457953299</v>
      </c>
      <c r="AU156" s="852">
        <f t="shared" si="110"/>
        <v>640.47415151691905</v>
      </c>
      <c r="AV156" s="852">
        <f t="shared" si="110"/>
        <v>659.68837606242664</v>
      </c>
    </row>
    <row r="157" spans="2:48" s="363" customFormat="1">
      <c r="B157" s="858" t="s">
        <v>108</v>
      </c>
      <c r="K157" s="854">
        <f t="shared" ref="K157:V157" si="111">+K156/G156-1</f>
        <v>-9.1441111923920904E-2</v>
      </c>
      <c r="L157" s="854">
        <f t="shared" si="111"/>
        <v>-0.12121212121212122</v>
      </c>
      <c r="M157" s="854">
        <f t="shared" si="111"/>
        <v>-2.0331325301204961E-2</v>
      </c>
      <c r="N157" s="854">
        <f t="shared" si="111"/>
        <v>-3.5986159169550058E-2</v>
      </c>
      <c r="O157" s="854">
        <f t="shared" si="111"/>
        <v>-0.1030595813204509</v>
      </c>
      <c r="P157" s="854">
        <f t="shared" si="111"/>
        <v>-9.3023255813953543E-2</v>
      </c>
      <c r="Q157" s="854">
        <f t="shared" si="111"/>
        <v>-7.3789392774788576E-2</v>
      </c>
      <c r="R157" s="854">
        <f t="shared" si="111"/>
        <v>-9.6913137114142178E-2</v>
      </c>
      <c r="S157" s="854">
        <f t="shared" si="111"/>
        <v>3.5008976660682256E-2</v>
      </c>
      <c r="T157" s="854">
        <f t="shared" si="111"/>
        <v>-4.155614500442073E-2</v>
      </c>
      <c r="U157" s="854">
        <f t="shared" si="111"/>
        <v>-0.11784232365145231</v>
      </c>
      <c r="V157" s="854">
        <f t="shared" si="111"/>
        <v>-0.15023847376788568</v>
      </c>
      <c r="W157" s="859">
        <v>-0.6</v>
      </c>
      <c r="X157" s="859">
        <v>-0.1</v>
      </c>
      <c r="Y157" s="859">
        <v>0.04</v>
      </c>
      <c r="Z157" s="859">
        <v>0.04</v>
      </c>
      <c r="AA157" s="859">
        <v>3</v>
      </c>
      <c r="AB157" s="859">
        <v>0.3</v>
      </c>
      <c r="AC157" s="859">
        <v>0.04</v>
      </c>
      <c r="AD157" s="859">
        <v>0.04</v>
      </c>
      <c r="AF157" s="859">
        <v>-0.8</v>
      </c>
      <c r="AL157" s="849">
        <f>+AL156/AK156-1</f>
        <v>4.9190283400809554E-2</v>
      </c>
      <c r="AM157" s="849">
        <f>+AM156/AL156-1</f>
        <v>-9.1645765000964552E-2</v>
      </c>
      <c r="AN157" s="849">
        <f>+AN156/AM156-1</f>
        <v>-7.2005097706032362E-2</v>
      </c>
      <c r="AO157" s="849">
        <f>+AO156/AN156-1</f>
        <v>-0.16363469901579297</v>
      </c>
      <c r="AP157" s="849">
        <f>+AP156/AO156-1</f>
        <v>0.48301383658814245</v>
      </c>
      <c r="AQ157" s="371">
        <v>0.04</v>
      </c>
      <c r="AR157" s="371">
        <v>0.04</v>
      </c>
      <c r="AS157" s="371">
        <v>0.03</v>
      </c>
      <c r="AT157" s="371">
        <v>0.03</v>
      </c>
      <c r="AU157" s="371">
        <v>0.03</v>
      </c>
      <c r="AV157" s="371">
        <v>0.03</v>
      </c>
    </row>
    <row r="158" spans="2:48" s="363" customFormat="1">
      <c r="B158" s="858"/>
      <c r="O158" s="854"/>
      <c r="P158" s="854"/>
      <c r="Q158" s="854"/>
      <c r="R158" s="854"/>
      <c r="S158" s="854"/>
      <c r="T158" s="854"/>
      <c r="U158" s="854"/>
      <c r="V158" s="854"/>
      <c r="W158" s="852"/>
      <c r="X158" s="852"/>
      <c r="Y158" s="852"/>
      <c r="Z158" s="852"/>
      <c r="AA158" s="852"/>
      <c r="AB158" s="852"/>
      <c r="AC158" s="852"/>
      <c r="AD158" s="852"/>
      <c r="AF158" s="852"/>
      <c r="AL158" s="849"/>
      <c r="AM158" s="849"/>
      <c r="AN158" s="849"/>
      <c r="AO158" s="849"/>
      <c r="AP158" s="849"/>
      <c r="AQ158" s="849"/>
      <c r="AR158" s="849"/>
      <c r="AS158" s="849"/>
      <c r="AT158" s="849"/>
      <c r="AU158" s="849"/>
      <c r="AV158" s="849"/>
    </row>
    <row r="159" spans="2:48" s="361" customFormat="1">
      <c r="B159" s="361" t="s">
        <v>740</v>
      </c>
      <c r="G159" s="850">
        <v>14.7</v>
      </c>
      <c r="H159" s="850">
        <v>14.8</v>
      </c>
      <c r="I159" s="850">
        <v>12.7</v>
      </c>
      <c r="J159" s="850">
        <v>17.7</v>
      </c>
      <c r="K159" s="850">
        <v>12.9</v>
      </c>
      <c r="L159" s="850">
        <v>8.1999999999999993</v>
      </c>
      <c r="M159" s="850">
        <v>13</v>
      </c>
      <c r="N159" s="850">
        <v>13.6</v>
      </c>
      <c r="O159" s="850">
        <v>10.4</v>
      </c>
      <c r="P159" s="850">
        <v>7.3</v>
      </c>
      <c r="Q159" s="850">
        <v>9.6</v>
      </c>
      <c r="R159" s="850">
        <v>14.7</v>
      </c>
      <c r="S159" s="850">
        <v>16.7</v>
      </c>
      <c r="T159" s="850">
        <v>10.8</v>
      </c>
      <c r="U159" s="850">
        <v>9.4</v>
      </c>
      <c r="V159" s="850">
        <f>45.4-SUM(S159:U159)</f>
        <v>8.5</v>
      </c>
      <c r="W159" s="852">
        <f t="shared" ref="W159:AD159" si="112">+W160*W156</f>
        <v>4.3739999999999997</v>
      </c>
      <c r="X159" s="852">
        <f t="shared" si="112"/>
        <v>6.7931999999999997</v>
      </c>
      <c r="Y159" s="852">
        <f t="shared" si="112"/>
        <v>9.7760000000000016</v>
      </c>
      <c r="Z159" s="852">
        <f t="shared" si="112"/>
        <v>8.84</v>
      </c>
      <c r="AA159" s="852">
        <f t="shared" si="112"/>
        <v>26.720000000000002</v>
      </c>
      <c r="AB159" s="852">
        <f t="shared" si="112"/>
        <v>13.90428</v>
      </c>
      <c r="AC159" s="852">
        <f t="shared" si="112"/>
        <v>10.167040000000002</v>
      </c>
      <c r="AD159" s="852">
        <f t="shared" si="112"/>
        <v>9.1936</v>
      </c>
      <c r="AF159" s="852">
        <v>2.1869999999999994</v>
      </c>
      <c r="AL159" s="853">
        <v>47.7</v>
      </c>
      <c r="AM159" s="853">
        <v>42</v>
      </c>
      <c r="AN159" s="853">
        <f>+SUM(S159:V159)</f>
        <v>45.4</v>
      </c>
      <c r="AO159" s="853">
        <f>+SUM(W159:Z159)</f>
        <v>29.783200000000001</v>
      </c>
      <c r="AP159" s="853">
        <f>+SUM(AA159:AD159)</f>
        <v>59.984920000000002</v>
      </c>
      <c r="AQ159" s="852">
        <f t="shared" ref="AQ159:AV159" si="113">+AQ160*AQ156</f>
        <v>64.075060774400015</v>
      </c>
      <c r="AR159" s="852">
        <f t="shared" si="113"/>
        <v>68.396436938752018</v>
      </c>
      <c r="AS159" s="852">
        <f t="shared" si="113"/>
        <v>72.259454992291865</v>
      </c>
      <c r="AT159" s="852">
        <f t="shared" si="113"/>
        <v>76.292697335799218</v>
      </c>
      <c r="AU159" s="852">
        <f t="shared" si="113"/>
        <v>80.502900710423958</v>
      </c>
      <c r="AV159" s="852">
        <f t="shared" si="113"/>
        <v>84.89705285992396</v>
      </c>
    </row>
    <row r="160" spans="2:48" s="361" customFormat="1">
      <c r="B160" s="361" t="s">
        <v>715</v>
      </c>
      <c r="G160" s="860">
        <f t="shared" ref="G160:V160" si="114">+G159/G156</f>
        <v>0.1075347476225311</v>
      </c>
      <c r="H160" s="860">
        <f t="shared" si="114"/>
        <v>0.10429880197322058</v>
      </c>
      <c r="I160" s="860">
        <f t="shared" si="114"/>
        <v>9.5632530120481909E-2</v>
      </c>
      <c r="J160" s="860">
        <f t="shared" si="114"/>
        <v>0.12249134948096885</v>
      </c>
      <c r="K160" s="860">
        <f t="shared" si="114"/>
        <v>0.10386473429951691</v>
      </c>
      <c r="L160" s="860">
        <f t="shared" si="114"/>
        <v>6.5757818765036086E-2</v>
      </c>
      <c r="M160" s="860">
        <f t="shared" si="114"/>
        <v>9.9923136049192937E-2</v>
      </c>
      <c r="N160" s="860">
        <f t="shared" si="114"/>
        <v>9.7631012203876516E-2</v>
      </c>
      <c r="O160" s="860">
        <f t="shared" si="114"/>
        <v>9.33572710951526E-2</v>
      </c>
      <c r="P160" s="860">
        <f t="shared" si="114"/>
        <v>6.4544650751547306E-2</v>
      </c>
      <c r="Q160" s="860">
        <f t="shared" si="114"/>
        <v>7.9668049792531115E-2</v>
      </c>
      <c r="R160" s="860">
        <f t="shared" si="114"/>
        <v>0.11685214626391097</v>
      </c>
      <c r="S160" s="860">
        <f t="shared" si="114"/>
        <v>0.1448395490026019</v>
      </c>
      <c r="T160" s="860">
        <f t="shared" si="114"/>
        <v>9.9630996309963096E-2</v>
      </c>
      <c r="U160" s="860">
        <f t="shared" si="114"/>
        <v>8.8428974600188157E-2</v>
      </c>
      <c r="V160" s="860">
        <f t="shared" si="114"/>
        <v>7.9513564078578125E-2</v>
      </c>
      <c r="W160" s="868">
        <f t="shared" ref="W160:AD160" si="115">+S160+W161</f>
        <v>9.48395490026019E-2</v>
      </c>
      <c r="X160" s="868">
        <f t="shared" si="115"/>
        <v>6.9630996309963097E-2</v>
      </c>
      <c r="Y160" s="868">
        <f t="shared" si="115"/>
        <v>8.8428974600188157E-2</v>
      </c>
      <c r="Z160" s="868">
        <f t="shared" si="115"/>
        <v>7.9513564078578125E-2</v>
      </c>
      <c r="AA160" s="868">
        <f t="shared" si="115"/>
        <v>0.1448395490026019</v>
      </c>
      <c r="AB160" s="868">
        <f t="shared" si="115"/>
        <v>0.10963099630996309</v>
      </c>
      <c r="AC160" s="868">
        <f t="shared" si="115"/>
        <v>8.8428974600188157E-2</v>
      </c>
      <c r="AD160" s="868">
        <f t="shared" si="115"/>
        <v>7.9513564078578125E-2</v>
      </c>
      <c r="AF160" s="868">
        <v>9.48395490026019E-2</v>
      </c>
      <c r="AL160" s="860">
        <f>+AL159/AL156</f>
        <v>9.203164190623192E-2</v>
      </c>
      <c r="AM160" s="860">
        <f>+AM159/AM156</f>
        <v>8.9209855564995749E-2</v>
      </c>
      <c r="AN160" s="860">
        <f>+AN159/AN156</f>
        <v>0.10391393911650264</v>
      </c>
      <c r="AO160" s="860">
        <f>+AO159/AO156</f>
        <v>8.1506699360714599E-2</v>
      </c>
      <c r="AP160" s="860">
        <f>+AP159/AP156</f>
        <v>0.11069266147549962</v>
      </c>
      <c r="AQ160" s="868">
        <f t="shared" ref="AQ160:AV160" si="116">+AP160+AQ161</f>
        <v>0.11369266147549963</v>
      </c>
      <c r="AR160" s="868">
        <f t="shared" si="116"/>
        <v>0.11669266147549963</v>
      </c>
      <c r="AS160" s="868">
        <f t="shared" si="116"/>
        <v>0.11969266147549963</v>
      </c>
      <c r="AT160" s="868">
        <f t="shared" si="116"/>
        <v>0.12269266147549963</v>
      </c>
      <c r="AU160" s="868">
        <f t="shared" si="116"/>
        <v>0.12569266147549962</v>
      </c>
      <c r="AV160" s="868">
        <f t="shared" si="116"/>
        <v>0.12869266147549963</v>
      </c>
    </row>
    <row r="161" spans="2:48" s="363" customFormat="1">
      <c r="B161" s="858" t="s">
        <v>745</v>
      </c>
      <c r="K161" s="854">
        <f t="shared" ref="K161:V161" si="117">+K160-G160</f>
        <v>-3.6700133230141846E-3</v>
      </c>
      <c r="L161" s="854">
        <f t="shared" si="117"/>
        <v>-3.8540983208184498E-2</v>
      </c>
      <c r="M161" s="854">
        <f t="shared" si="117"/>
        <v>4.2906059287110276E-3</v>
      </c>
      <c r="N161" s="854">
        <f t="shared" si="117"/>
        <v>-2.4860337277092331E-2</v>
      </c>
      <c r="O161" s="854">
        <f t="shared" si="117"/>
        <v>-1.0507463204364312E-2</v>
      </c>
      <c r="P161" s="854">
        <f t="shared" si="117"/>
        <v>-1.2131680134887801E-3</v>
      </c>
      <c r="Q161" s="854">
        <f t="shared" si="117"/>
        <v>-2.0255086256661822E-2</v>
      </c>
      <c r="R161" s="854">
        <f t="shared" si="117"/>
        <v>1.922113406003445E-2</v>
      </c>
      <c r="S161" s="854">
        <f t="shared" si="117"/>
        <v>5.1482277907449303E-2</v>
      </c>
      <c r="T161" s="854">
        <f t="shared" si="117"/>
        <v>3.5086345558415791E-2</v>
      </c>
      <c r="U161" s="854">
        <f t="shared" si="117"/>
        <v>8.7609248076570417E-3</v>
      </c>
      <c r="V161" s="854">
        <f t="shared" si="117"/>
        <v>-3.7338582185332841E-2</v>
      </c>
      <c r="W161" s="371">
        <v>-0.05</v>
      </c>
      <c r="X161" s="371">
        <v>-0.03</v>
      </c>
      <c r="Y161" s="371">
        <v>0</v>
      </c>
      <c r="Z161" s="371">
        <v>0</v>
      </c>
      <c r="AA161" s="371">
        <v>0.05</v>
      </c>
      <c r="AB161" s="371">
        <v>0.04</v>
      </c>
      <c r="AC161" s="371">
        <v>0</v>
      </c>
      <c r="AD161" s="371">
        <v>0</v>
      </c>
      <c r="AF161" s="371">
        <v>-0.05</v>
      </c>
      <c r="AL161" s="854"/>
      <c r="AM161" s="854">
        <f>+AM160-AL160</f>
        <v>-2.821786341236171E-3</v>
      </c>
      <c r="AN161" s="854">
        <f>+AN160-AM160</f>
        <v>1.4704083551506889E-2</v>
      </c>
      <c r="AO161" s="854">
        <f>+AO160-AN160</f>
        <v>-2.2407239755788039E-2</v>
      </c>
      <c r="AP161" s="854">
        <f>+AP160-AO160</f>
        <v>2.9185962114785025E-2</v>
      </c>
      <c r="AQ161" s="371">
        <v>3.0000000000000001E-3</v>
      </c>
      <c r="AR161" s="371">
        <v>3.0000000000000001E-3</v>
      </c>
      <c r="AS161" s="371">
        <v>3.0000000000000001E-3</v>
      </c>
      <c r="AT161" s="371">
        <v>3.0000000000000001E-3</v>
      </c>
      <c r="AU161" s="371">
        <v>3.0000000000000001E-3</v>
      </c>
      <c r="AV161" s="371">
        <v>3.0000000000000001E-3</v>
      </c>
    </row>
    <row r="162" spans="2:48" s="363" customFormat="1">
      <c r="B162" s="858"/>
      <c r="O162" s="854"/>
      <c r="P162" s="854"/>
      <c r="Q162" s="854"/>
      <c r="R162" s="854"/>
      <c r="S162" s="854"/>
      <c r="T162" s="854"/>
      <c r="U162" s="854"/>
      <c r="V162" s="854"/>
      <c r="W162" s="371"/>
      <c r="X162" s="371"/>
      <c r="Y162" s="371"/>
      <c r="Z162" s="371"/>
      <c r="AA162" s="371"/>
      <c r="AB162" s="371"/>
      <c r="AC162" s="371"/>
      <c r="AD162" s="371"/>
      <c r="AF162" s="371"/>
      <c r="AL162" s="849"/>
      <c r="AM162" s="849"/>
      <c r="AN162" s="849"/>
      <c r="AO162" s="849"/>
      <c r="AP162" s="849"/>
      <c r="AQ162" s="371"/>
      <c r="AR162" s="371"/>
      <c r="AS162" s="371"/>
      <c r="AT162" s="371"/>
      <c r="AU162" s="371"/>
      <c r="AV162" s="371"/>
    </row>
    <row r="163" spans="2:48" s="867" customFormat="1">
      <c r="B163" s="866" t="s">
        <v>741</v>
      </c>
      <c r="S163" s="867">
        <v>-0.12</v>
      </c>
      <c r="T163" s="867">
        <v>-0.09</v>
      </c>
      <c r="U163" s="867">
        <v>-0.19</v>
      </c>
      <c r="V163" s="867">
        <v>-0.15</v>
      </c>
      <c r="W163" s="865"/>
      <c r="X163" s="865"/>
      <c r="Y163" s="865"/>
      <c r="Z163" s="865"/>
      <c r="AA163" s="865"/>
      <c r="AB163" s="865"/>
      <c r="AC163" s="865"/>
      <c r="AD163" s="865"/>
      <c r="AF163" s="865"/>
      <c r="AQ163" s="865"/>
      <c r="AR163" s="865"/>
      <c r="AS163" s="865"/>
      <c r="AT163" s="865"/>
      <c r="AU163" s="865"/>
      <c r="AV163" s="865"/>
    </row>
    <row r="164" spans="2:48" s="867" customFormat="1">
      <c r="B164" s="866" t="s">
        <v>742</v>
      </c>
      <c r="S164" s="867">
        <v>0.19</v>
      </c>
      <c r="T164" s="867">
        <v>0.06</v>
      </c>
      <c r="U164" s="867">
        <v>0.06</v>
      </c>
      <c r="W164" s="865"/>
      <c r="X164" s="865"/>
      <c r="Y164" s="865"/>
      <c r="Z164" s="865"/>
      <c r="AA164" s="865"/>
      <c r="AB164" s="865"/>
      <c r="AC164" s="865"/>
      <c r="AD164" s="865"/>
      <c r="AF164" s="865"/>
      <c r="AQ164" s="865"/>
      <c r="AR164" s="865"/>
      <c r="AS164" s="865"/>
      <c r="AT164" s="865"/>
      <c r="AU164" s="865"/>
      <c r="AV164" s="865"/>
    </row>
    <row r="165" spans="2:48" s="867" customFormat="1">
      <c r="B165" s="866" t="s">
        <v>743</v>
      </c>
      <c r="S165" s="867">
        <v>-0.01</v>
      </c>
      <c r="T165" s="867">
        <v>-0.09</v>
      </c>
      <c r="U165" s="867">
        <v>-0.21</v>
      </c>
      <c r="V165" s="867">
        <v>-0.14000000000000001</v>
      </c>
      <c r="W165" s="865"/>
      <c r="X165" s="865"/>
      <c r="Y165" s="865"/>
      <c r="Z165" s="865"/>
      <c r="AA165" s="865"/>
      <c r="AB165" s="865"/>
      <c r="AC165" s="865"/>
      <c r="AD165" s="865"/>
      <c r="AF165" s="865"/>
      <c r="AQ165" s="865"/>
      <c r="AR165" s="865"/>
      <c r="AS165" s="865"/>
      <c r="AT165" s="865"/>
      <c r="AU165" s="865"/>
      <c r="AV165" s="865"/>
    </row>
    <row r="166" spans="2:48" s="867" customFormat="1">
      <c r="B166" s="866"/>
      <c r="V166" s="865"/>
      <c r="W166" s="865"/>
      <c r="X166" s="865"/>
      <c r="Y166" s="865"/>
      <c r="Z166" s="865"/>
      <c r="AA166" s="865"/>
      <c r="AB166" s="865"/>
      <c r="AC166" s="865"/>
      <c r="AD166" s="865"/>
      <c r="AF166" s="865"/>
      <c r="AQ166" s="865"/>
      <c r="AR166" s="865"/>
      <c r="AS166" s="865"/>
      <c r="AT166" s="865"/>
      <c r="AU166" s="865"/>
      <c r="AV166" s="865"/>
    </row>
    <row r="167" spans="2:48" s="753" customFormat="1">
      <c r="B167" s="153"/>
      <c r="V167" s="754"/>
      <c r="W167" s="754"/>
      <c r="X167" s="754"/>
      <c r="Y167" s="754"/>
      <c r="Z167" s="754"/>
      <c r="AA167" s="754"/>
      <c r="AB167" s="754"/>
      <c r="AC167" s="754"/>
      <c r="AD167" s="754"/>
      <c r="AF167" s="754"/>
      <c r="AQ167" s="754"/>
      <c r="AR167" s="754"/>
      <c r="AS167" s="754"/>
      <c r="AT167" s="754"/>
      <c r="AU167" s="754"/>
      <c r="AV167" s="754"/>
    </row>
    <row r="169" spans="2:48" s="705" customFormat="1" ht="15">
      <c r="B169" s="639" t="s">
        <v>104</v>
      </c>
    </row>
    <row r="170" spans="2:48" ht="15">
      <c r="B170" s="105"/>
    </row>
    <row r="171" spans="2:48" ht="15">
      <c r="B171" s="105"/>
    </row>
    <row r="176" spans="2:48" ht="15">
      <c r="B176" s="105"/>
      <c r="W176" s="893"/>
      <c r="AF176" s="893"/>
    </row>
    <row r="177" spans="1:48" ht="15">
      <c r="B177" s="105"/>
      <c r="W177" s="893"/>
      <c r="AF177" s="893"/>
    </row>
    <row r="178" spans="1:48">
      <c r="B178" s="588" t="s">
        <v>705</v>
      </c>
      <c r="G178" s="630">
        <f>+G4*MACRO!G$3</f>
        <v>5022.5629799999997</v>
      </c>
      <c r="H178" s="630">
        <f>+H4*MACRO!H$3</f>
        <v>4980.4345800000001</v>
      </c>
      <c r="I178" s="630">
        <f>+I4*MACRO!I$3</f>
        <v>4547.6972000000005</v>
      </c>
      <c r="J178" s="630">
        <f>+J4*MACRO!J$3</f>
        <v>5132.3814000000002</v>
      </c>
      <c r="K178" s="630">
        <f>+K4*MACRO!K$3</f>
        <v>4163.2352200000005</v>
      </c>
      <c r="L178" s="630">
        <f>+L4*MACRO!L$3</f>
        <v>4457.0195199999998</v>
      </c>
      <c r="M178" s="630">
        <f>+M4*MACRO!M$3</f>
        <v>4455.5426600000001</v>
      </c>
      <c r="N178" s="630">
        <f>+N4*MACRO!N$3</f>
        <v>5074.1994400000003</v>
      </c>
      <c r="O178" s="630">
        <f>+O4*MACRO!O$3</f>
        <v>4450.3312500000002</v>
      </c>
      <c r="P178" s="630">
        <f>+P4*MACRO!P$3</f>
        <v>4825.6873599999999</v>
      </c>
      <c r="Q178" s="630">
        <f>+Q4*MACRO!Q$3</f>
        <v>5589.2952399999995</v>
      </c>
      <c r="R178" s="630">
        <f>+R4*MACRO!R$3</f>
        <v>5318.3254799999995</v>
      </c>
      <c r="S178" s="630">
        <f>+S4*MACRO!S$3</f>
        <v>4449.0342599999994</v>
      </c>
      <c r="T178" s="630">
        <f>+T4*MACRO!T$3</f>
        <v>4589.4484800000009</v>
      </c>
      <c r="U178" s="630">
        <f>+U4*MACRO!U$3</f>
        <v>4700.5409199999995</v>
      </c>
      <c r="V178" s="759">
        <f>+V4*MACRO!V$3</f>
        <v>0</v>
      </c>
      <c r="W178" s="759">
        <f>+W4*MACRO!W$3</f>
        <v>1832.1625262558236</v>
      </c>
      <c r="X178" s="759">
        <f>+X4*MACRO!X$3</f>
        <v>2875.2603443712005</v>
      </c>
      <c r="Y178" s="759">
        <f>+Y4*MACRO!Y$3</f>
        <v>3450.3086356489512</v>
      </c>
      <c r="Z178" s="759">
        <f>+Z4*MACRO!Z$3</f>
        <v>4119.3900716826847</v>
      </c>
      <c r="AA178" s="759">
        <f>+AA4*MACRO!AA$3</f>
        <v>3361.8097701283905</v>
      </c>
      <c r="AB178" s="759">
        <f>+AB4*MACRO!AB$3</f>
        <v>3754.4251198596826</v>
      </c>
      <c r="AC178" s="759">
        <f>+AC4*MACRO!AC$3</f>
        <v>3618.8075692881448</v>
      </c>
      <c r="AD178" s="759">
        <f>+AD4*MACRO!AD$3</f>
        <v>4416.4941496110441</v>
      </c>
      <c r="AF178" s="759">
        <v>3019.9181378865601</v>
      </c>
      <c r="AK178" s="630">
        <f>+SUM(G178:J178)</f>
        <v>19683.076160000001</v>
      </c>
      <c r="AL178" s="630">
        <f>+SUM(K178:N178)</f>
        <v>18149.99684</v>
      </c>
      <c r="AM178" s="630">
        <f>+SUM(O178:R178)</f>
        <v>20183.639329999998</v>
      </c>
      <c r="AN178" s="630">
        <f>+SUM(S178:V178)</f>
        <v>13739.023659999999</v>
      </c>
      <c r="AO178" s="630">
        <f>+SUM(W178:Z178)</f>
        <v>12277.12157795866</v>
      </c>
      <c r="AP178" s="630">
        <f>+SUM(AA178:AD178)</f>
        <v>15151.536608887262</v>
      </c>
      <c r="AQ178" s="759">
        <f>+AQ4*MACRO!BK$3</f>
        <v>15439.411644906064</v>
      </c>
      <c r="AR178" s="759">
        <f>+AR4*MACRO!BL$3</f>
        <v>16314.210645103416</v>
      </c>
      <c r="AS178" s="759">
        <f>+AS4*MACRO!BM$3</f>
        <v>18299.016405974853</v>
      </c>
      <c r="AT178" s="759">
        <f>+AT4*MACRO!BN$3</f>
        <v>19786.2141698466</v>
      </c>
      <c r="AU178" s="759">
        <f>+AU4*MACRO!BO$3</f>
        <v>19941.832089207306</v>
      </c>
      <c r="AV178" s="759">
        <f>+AV4*MACRO!BP$3</f>
        <v>21074.945917691926</v>
      </c>
    </row>
    <row r="179" spans="1:48">
      <c r="B179" s="591" t="s">
        <v>706</v>
      </c>
      <c r="G179" s="630">
        <f>+G5*MACRO!G$3</f>
        <v>71.349869999999825</v>
      </c>
      <c r="H179" s="630">
        <f>+H5*MACRO!H$3</f>
        <v>39.902279999999521</v>
      </c>
      <c r="I179" s="630">
        <f>+I5*MACRO!I$3</f>
        <v>25.972000000000001</v>
      </c>
      <c r="J179" s="630">
        <f>+J5*MACRO!J$3</f>
        <v>32.94</v>
      </c>
      <c r="K179" s="630">
        <f>+K5*MACRO!K$3</f>
        <v>28.297799999999285</v>
      </c>
      <c r="L179" s="630">
        <f>+L5*MACRO!L$3</f>
        <v>34.428320000000149</v>
      </c>
      <c r="M179" s="630">
        <f>+M5*MACRO!M$3</f>
        <v>29.100520000000145</v>
      </c>
      <c r="N179" s="630">
        <f>+N5*MACRO!N$3</f>
        <v>25.028079999999409</v>
      </c>
      <c r="O179" s="630">
        <f>+O5*MACRO!O$3</f>
        <v>68.092500000000001</v>
      </c>
      <c r="P179" s="630">
        <f>+P5*MACRO!P$3</f>
        <v>53.049359999999346</v>
      </c>
      <c r="Q179" s="630">
        <f>+Q5*MACRO!Q$3</f>
        <v>33.161520000000358</v>
      </c>
      <c r="R179" s="630">
        <f>+R5*MACRO!R$3</f>
        <v>24.394240000000345</v>
      </c>
      <c r="S179" s="630">
        <f>+S5*MACRO!S$3</f>
        <v>20.712450000000857</v>
      </c>
      <c r="T179" s="630">
        <f>+T5*MACRO!T$3</f>
        <v>17.64719999999911</v>
      </c>
      <c r="U179" s="630">
        <f>+U5*MACRO!U$3</f>
        <v>18.670280000000179</v>
      </c>
      <c r="V179" s="759">
        <f>+V5*MACRO!V$3</f>
        <v>0</v>
      </c>
      <c r="W179" s="759">
        <f>+W5*MACRO!W$3</f>
        <v>24.845293000001028</v>
      </c>
      <c r="X179" s="759">
        <f>+X5*MACRO!X$3</f>
        <v>24.477551999998767</v>
      </c>
      <c r="Y179" s="759">
        <f>+Y5*MACRO!Y$3</f>
        <v>25.539809400000248</v>
      </c>
      <c r="Z179" s="759">
        <f>+Z5*MACRO!Z$3</f>
        <v>26.702824400000086</v>
      </c>
      <c r="AA179" s="759">
        <f>+AA5*MACRO!AA$3</f>
        <v>27.144770100000084</v>
      </c>
      <c r="AB179" s="759">
        <f>+AB5*MACRO!AB$3</f>
        <v>26.198026400000082</v>
      </c>
      <c r="AC179" s="759">
        <f>+AC5*MACRO!AC$3</f>
        <v>25.894652700000083</v>
      </c>
      <c r="AD179" s="759">
        <f>+AD5*MACRO!AD$3</f>
        <v>27.641649700000091</v>
      </c>
      <c r="AF179" s="759">
        <v>24.805852500001023</v>
      </c>
      <c r="AK179" s="630">
        <f>+SUM(G179:J179)</f>
        <v>170.16414999999935</v>
      </c>
      <c r="AL179" s="630">
        <f>+SUM(K179:N179)</f>
        <v>116.85471999999898</v>
      </c>
      <c r="AM179" s="630">
        <f>+SUM(O179:R179)</f>
        <v>178.69762000000006</v>
      </c>
      <c r="AN179" s="630">
        <f>+SUM(S179:V179)</f>
        <v>57.029930000000149</v>
      </c>
      <c r="AO179" s="630">
        <f>+SUM(W179:Z179)</f>
        <v>101.56547880000012</v>
      </c>
      <c r="AP179" s="630">
        <f>+SUM(AA179:AD179)</f>
        <v>106.87909890000033</v>
      </c>
      <c r="AQ179" s="630">
        <f>+AQ5*MACRO!BK$3</f>
        <v>103.29679494400034</v>
      </c>
      <c r="AR179" s="630">
        <f>+AR5*MACRO!BL$3</f>
        <v>100.83470372017034</v>
      </c>
      <c r="AS179" s="630">
        <f>+AS5*MACRO!BM$3</f>
        <v>109.55981629016864</v>
      </c>
      <c r="AT179" s="630">
        <f>+AT5*MACRO!BN$3</f>
        <v>115.08334081434265</v>
      </c>
      <c r="AU179" s="630">
        <f>+AU5*MACRO!BO$3</f>
        <v>110.57898730138308</v>
      </c>
      <c r="AV179" s="630">
        <f>+AV5*MACRO!BP$3</f>
        <v>113.48683333928625</v>
      </c>
    </row>
    <row r="180" spans="1:48" s="100" customFormat="1">
      <c r="A180" s="99"/>
      <c r="B180" s="721" t="s">
        <v>707</v>
      </c>
      <c r="G180" s="722">
        <f>+G6*MACRO!G$3</f>
        <v>5093.9128499999997</v>
      </c>
      <c r="H180" s="722">
        <f>+H6*MACRO!H$3</f>
        <v>5020.3368599999994</v>
      </c>
      <c r="I180" s="722">
        <f>+I6*MACRO!I$3</f>
        <v>4573.6692000000003</v>
      </c>
      <c r="J180" s="722">
        <f>+J6*MACRO!J$3</f>
        <v>5165.3213999999998</v>
      </c>
      <c r="K180" s="722">
        <f>+K6*MACRO!K$3</f>
        <v>4191.5330199999999</v>
      </c>
      <c r="L180" s="722">
        <f>+L6*MACRO!L$3</f>
        <v>4491.4478400000007</v>
      </c>
      <c r="M180" s="722">
        <f>+M6*MACRO!M$3</f>
        <v>4484.64318</v>
      </c>
      <c r="N180" s="722">
        <f>+N6*MACRO!N$3</f>
        <v>5099.2275199999995</v>
      </c>
      <c r="O180" s="722">
        <f>+O6*MACRO!O$3</f>
        <v>4518.4237499999999</v>
      </c>
      <c r="P180" s="722">
        <f>+P6*MACRO!P$3</f>
        <v>4878.7367199999999</v>
      </c>
      <c r="Q180" s="722">
        <f>+Q6*MACRO!Q$3</f>
        <v>5622.45676</v>
      </c>
      <c r="R180" s="722">
        <f>+R6*MACRO!R$3</f>
        <v>5342.7197200000001</v>
      </c>
      <c r="S180" s="722">
        <f>+S6*MACRO!S$3</f>
        <v>4469.7467100000003</v>
      </c>
      <c r="T180" s="722">
        <f>+T6*MACRO!T$3</f>
        <v>4607.0956800000004</v>
      </c>
      <c r="U180" s="722">
        <f>+U6*MACRO!U$3</f>
        <v>4719.2111999999997</v>
      </c>
      <c r="V180" s="722">
        <f>+V6*MACRO!V$3</f>
        <v>4995.6154499999993</v>
      </c>
      <c r="W180" s="724">
        <f>+W6*MACRO!W$3</f>
        <v>1857.0078192558246</v>
      </c>
      <c r="X180" s="724">
        <f>+X6*MACRO!X$3</f>
        <v>2899.737896371199</v>
      </c>
      <c r="Y180" s="724">
        <f>+Y6*MACRO!Y$3</f>
        <v>3475.8484450489514</v>
      </c>
      <c r="Z180" s="724">
        <f>+Z6*MACRO!Z$3</f>
        <v>4146.092896082685</v>
      </c>
      <c r="AA180" s="724">
        <f>+AA6*MACRO!AA$3</f>
        <v>3388.9545402283907</v>
      </c>
      <c r="AB180" s="724">
        <f>+AB6*MACRO!AB$3</f>
        <v>3780.6231462596829</v>
      </c>
      <c r="AC180" s="724">
        <f>+AC6*MACRO!AC$3</f>
        <v>3644.7022219881451</v>
      </c>
      <c r="AD180" s="724">
        <f>+AD6*MACRO!AD$3</f>
        <v>4444.1357993110441</v>
      </c>
      <c r="AF180" s="724">
        <v>3044.7239903865611</v>
      </c>
      <c r="AK180" s="722">
        <f>+SUM(G180:J180)</f>
        <v>19853.240310000001</v>
      </c>
      <c r="AL180" s="722">
        <f>+SUM(K180:N180)</f>
        <v>18266.851559999999</v>
      </c>
      <c r="AM180" s="722">
        <f>+SUM(O180:R180)</f>
        <v>20362.336950000001</v>
      </c>
      <c r="AN180" s="722">
        <f>+SUM(S180:V180)</f>
        <v>18791.669040000001</v>
      </c>
      <c r="AO180" s="722">
        <f>+SUM(W180:Z180)</f>
        <v>12378.687056758659</v>
      </c>
      <c r="AP180" s="722">
        <f>+SUM(AA180:AD180)</f>
        <v>15258.415707787262</v>
      </c>
      <c r="AQ180" s="722">
        <f>+AQ6*MACRO!BK$3</f>
        <v>15542.708439850065</v>
      </c>
      <c r="AR180" s="722">
        <f>+AR6*MACRO!BL$3</f>
        <v>16415.045348823587</v>
      </c>
      <c r="AS180" s="722">
        <f>+AS6*MACRO!BM$3</f>
        <v>18408.576222265019</v>
      </c>
      <c r="AT180" s="722">
        <f>+AT6*MACRO!BN$3</f>
        <v>19901.297510660941</v>
      </c>
      <c r="AU180" s="722">
        <f>+AU6*MACRO!BO$3</f>
        <v>20052.411076508692</v>
      </c>
      <c r="AV180" s="722">
        <f>+AV6*MACRO!BP$3</f>
        <v>21188.432751031214</v>
      </c>
    </row>
    <row r="181" spans="1:48" s="706" customFormat="1">
      <c r="B181" s="709" t="s">
        <v>108</v>
      </c>
      <c r="K181" s="706">
        <f t="shared" ref="K181:AD181" si="118">+K180/G180-1</f>
        <v>-0.17714865891355014</v>
      </c>
      <c r="L181" s="706">
        <f t="shared" si="118"/>
        <v>-0.10534930916966367</v>
      </c>
      <c r="M181" s="706">
        <f t="shared" si="118"/>
        <v>-1.946490139689161E-2</v>
      </c>
      <c r="N181" s="706">
        <f t="shared" si="118"/>
        <v>-1.2795695539874918E-2</v>
      </c>
      <c r="O181" s="706">
        <f t="shared" si="118"/>
        <v>7.798834661214249E-2</v>
      </c>
      <c r="P181" s="706">
        <f t="shared" si="118"/>
        <v>8.6228070278558278E-2</v>
      </c>
      <c r="Q181" s="706">
        <f t="shared" si="118"/>
        <v>0.253713290964656</v>
      </c>
      <c r="R181" s="706">
        <f t="shared" si="118"/>
        <v>4.7750801282151922E-2</v>
      </c>
      <c r="S181" s="706">
        <f t="shared" si="118"/>
        <v>-1.0773013487280769E-2</v>
      </c>
      <c r="T181" s="706">
        <f t="shared" si="118"/>
        <v>-5.5678560986172521E-2</v>
      </c>
      <c r="U181" s="706">
        <f t="shared" si="118"/>
        <v>-0.16064962320848519</v>
      </c>
      <c r="V181" s="706">
        <f t="shared" si="118"/>
        <v>-6.4967710864683115E-2</v>
      </c>
      <c r="W181" s="706">
        <f t="shared" si="118"/>
        <v>-0.5845384672242816</v>
      </c>
      <c r="X181" s="706">
        <f t="shared" si="118"/>
        <v>-0.37059308124219403</v>
      </c>
      <c r="Y181" s="706">
        <f t="shared" si="118"/>
        <v>-0.2634683429618595</v>
      </c>
      <c r="Z181" s="706">
        <f t="shared" si="118"/>
        <v>-0.17005363251435102</v>
      </c>
      <c r="AA181" s="706">
        <f t="shared" si="118"/>
        <v>0.82495437288275753</v>
      </c>
      <c r="AB181" s="706">
        <f t="shared" si="118"/>
        <v>0.30378099034083217</v>
      </c>
      <c r="AC181" s="706">
        <f t="shared" si="118"/>
        <v>4.8579154013377979E-2</v>
      </c>
      <c r="AD181" s="706">
        <f t="shared" si="118"/>
        <v>7.1885244903691525E-2</v>
      </c>
      <c r="AF181" s="706">
        <v>-0.31881509447174894</v>
      </c>
      <c r="AL181" s="706">
        <f t="shared" ref="AL181:AV181" si="119">+AL180/AK180-1</f>
        <v>-7.9905784911138311E-2</v>
      </c>
      <c r="AM181" s="706">
        <f t="shared" si="119"/>
        <v>0.11471519233169936</v>
      </c>
      <c r="AN181" s="706">
        <f t="shared" si="119"/>
        <v>-7.713593551942477E-2</v>
      </c>
      <c r="AO181" s="706">
        <f t="shared" si="119"/>
        <v>-0.34126729081864149</v>
      </c>
      <c r="AP181" s="706">
        <f t="shared" si="119"/>
        <v>0.23263603303197611</v>
      </c>
      <c r="AQ181" s="706">
        <f t="shared" si="119"/>
        <v>1.8631864376175811E-2</v>
      </c>
      <c r="AR181" s="706">
        <f t="shared" si="119"/>
        <v>5.612515427085607E-2</v>
      </c>
      <c r="AS181" s="706">
        <f t="shared" si="119"/>
        <v>0.12144534669740059</v>
      </c>
      <c r="AT181" s="706">
        <f t="shared" si="119"/>
        <v>8.1088361770775608E-2</v>
      </c>
      <c r="AU181" s="706">
        <f t="shared" si="119"/>
        <v>7.5931514398395183E-3</v>
      </c>
      <c r="AV181" s="706">
        <f t="shared" si="119"/>
        <v>5.6652622479566483E-2</v>
      </c>
    </row>
    <row r="182" spans="1:48" s="706" customFormat="1">
      <c r="B182" s="709"/>
    </row>
    <row r="183" spans="1:48" s="714" customFormat="1">
      <c r="B183" s="712" t="s">
        <v>746</v>
      </c>
      <c r="G183" s="707">
        <f t="shared" ref="G183:V183" si="120">+G189-G180</f>
        <v>-2022.7493199999999</v>
      </c>
      <c r="H183" s="707">
        <f t="shared" si="120"/>
        <v>-1977.6129999999998</v>
      </c>
      <c r="I183" s="707">
        <f t="shared" si="120"/>
        <v>-1788.49685</v>
      </c>
      <c r="J183" s="707">
        <f t="shared" si="120"/>
        <v>-2049.8561999999997</v>
      </c>
      <c r="K183" s="707">
        <f t="shared" si="120"/>
        <v>-1625.86582</v>
      </c>
      <c r="L183" s="707">
        <f t="shared" si="120"/>
        <v>-1689.2400000000002</v>
      </c>
      <c r="M183" s="707">
        <f t="shared" si="120"/>
        <v>-1739.7049999999999</v>
      </c>
      <c r="N183" s="707">
        <f t="shared" si="120"/>
        <v>-1986.6444799999999</v>
      </c>
      <c r="O183" s="707">
        <f t="shared" si="120"/>
        <v>-1879.6772499999997</v>
      </c>
      <c r="P183" s="707">
        <f t="shared" si="120"/>
        <v>-1947.6693600000003</v>
      </c>
      <c r="Q183" s="707">
        <f t="shared" si="120"/>
        <v>-2125.4955199999999</v>
      </c>
      <c r="R183" s="707">
        <f t="shared" si="120"/>
        <v>-2691.7519200000002</v>
      </c>
      <c r="S183" s="707">
        <f t="shared" si="120"/>
        <v>-1946.9703</v>
      </c>
      <c r="T183" s="707">
        <f t="shared" si="120"/>
        <v>-1950.9960000000005</v>
      </c>
      <c r="U183" s="707">
        <f t="shared" si="120"/>
        <v>-1859.8776800000001</v>
      </c>
      <c r="V183" s="707">
        <f t="shared" si="120"/>
        <v>-2171.1475799999989</v>
      </c>
      <c r="W183" s="707">
        <f t="shared" ref="W183:AD183" si="121">+W185+W187</f>
        <v>0</v>
      </c>
      <c r="X183" s="707">
        <f t="shared" si="121"/>
        <v>0</v>
      </c>
      <c r="Y183" s="707">
        <f t="shared" si="121"/>
        <v>0</v>
      </c>
      <c r="Z183" s="707">
        <f t="shared" si="121"/>
        <v>0</v>
      </c>
      <c r="AA183" s="707">
        <f t="shared" si="121"/>
        <v>0</v>
      </c>
      <c r="AB183" s="707">
        <f t="shared" si="121"/>
        <v>0</v>
      </c>
      <c r="AC183" s="707">
        <f t="shared" si="121"/>
        <v>0</v>
      </c>
      <c r="AD183" s="707">
        <f t="shared" si="121"/>
        <v>0</v>
      </c>
      <c r="AF183" s="707">
        <v>0</v>
      </c>
      <c r="AK183" s="707">
        <f>+SUM(G183:J183)</f>
        <v>-7838.7153699999999</v>
      </c>
      <c r="AL183" s="707">
        <f>+SUM(K183:N183)</f>
        <v>-7041.4553000000005</v>
      </c>
      <c r="AM183" s="707">
        <f>+SUM(O183:R183)</f>
        <v>-8644.5940499999997</v>
      </c>
      <c r="AN183" s="707">
        <f>+SUM(S183:V183)</f>
        <v>-7928.9915599999995</v>
      </c>
      <c r="AO183" s="707">
        <f t="shared" ref="AO183:AV183" si="122">+AO185</f>
        <v>-5161.1926561111322</v>
      </c>
      <c r="AP183" s="707">
        <f t="shared" si="122"/>
        <v>-6285.5799628036584</v>
      </c>
      <c r="AQ183" s="707">
        <f t="shared" si="122"/>
        <v>-6324.9784939969741</v>
      </c>
      <c r="AR183" s="707">
        <f t="shared" si="122"/>
        <v>-6597.893660988283</v>
      </c>
      <c r="AS183" s="707">
        <f t="shared" si="122"/>
        <v>-7307.1342630082609</v>
      </c>
      <c r="AT183" s="707">
        <f t="shared" si="122"/>
        <v>-7899.6578096347039</v>
      </c>
      <c r="AU183" s="707">
        <f t="shared" si="122"/>
        <v>-7959.6411077061712</v>
      </c>
      <c r="AV183" s="707">
        <f t="shared" si="122"/>
        <v>-8410.5756504538876</v>
      </c>
    </row>
    <row r="184" spans="1:48" s="706" customFormat="1">
      <c r="B184" s="712"/>
    </row>
    <row r="185" spans="1:48" s="706" customFormat="1">
      <c r="B185" s="711" t="s">
        <v>275</v>
      </c>
      <c r="G185" s="710">
        <f t="shared" ref="G185:V185" si="123">+G183-G187</f>
        <v>-2022.7493199999999</v>
      </c>
      <c r="H185" s="710">
        <f t="shared" si="123"/>
        <v>-1977.6129999999998</v>
      </c>
      <c r="I185" s="710">
        <f t="shared" si="123"/>
        <v>-1788.49685</v>
      </c>
      <c r="J185" s="710">
        <f t="shared" si="123"/>
        <v>-2049.8561999999997</v>
      </c>
      <c r="K185" s="710">
        <f t="shared" si="123"/>
        <v>-1625.86582</v>
      </c>
      <c r="L185" s="710">
        <f t="shared" si="123"/>
        <v>-1689.2400000000002</v>
      </c>
      <c r="M185" s="710">
        <f t="shared" si="123"/>
        <v>-1739.7049999999999</v>
      </c>
      <c r="N185" s="710">
        <f t="shared" si="123"/>
        <v>-1986.6444799999999</v>
      </c>
      <c r="O185" s="710">
        <f t="shared" si="123"/>
        <v>-1879.6772499999997</v>
      </c>
      <c r="P185" s="710">
        <f t="shared" si="123"/>
        <v>-1947.6693600000003</v>
      </c>
      <c r="Q185" s="710">
        <f t="shared" si="123"/>
        <v>-2125.4955199999999</v>
      </c>
      <c r="R185" s="710">
        <f t="shared" si="123"/>
        <v>-2691.7519200000002</v>
      </c>
      <c r="S185" s="710">
        <f t="shared" si="123"/>
        <v>-1946.9703</v>
      </c>
      <c r="T185" s="710">
        <f t="shared" si="123"/>
        <v>-1950.9960000000005</v>
      </c>
      <c r="U185" s="710">
        <f t="shared" si="123"/>
        <v>-1859.8776800000001</v>
      </c>
      <c r="V185" s="710">
        <f t="shared" si="123"/>
        <v>-2171.1475799999989</v>
      </c>
      <c r="AK185" s="710">
        <f>+SUM(G185:J185)</f>
        <v>-7838.7153699999999</v>
      </c>
      <c r="AL185" s="710">
        <f>+SUM(K185:N185)</f>
        <v>-7041.4553000000005</v>
      </c>
      <c r="AM185" s="710">
        <f>+SUM(O185:R185)</f>
        <v>-8644.5940499999997</v>
      </c>
      <c r="AN185" s="710">
        <f>+SUM(S185:V185)</f>
        <v>-7928.9915599999995</v>
      </c>
      <c r="AO185" s="715">
        <f>+AO186*AO$180</f>
        <v>-5161.1926561111322</v>
      </c>
      <c r="AP185" s="715">
        <f>+AP186*AP$180</f>
        <v>-6285.5799628036584</v>
      </c>
      <c r="AQ185" s="715">
        <f t="shared" ref="AQ185:AV185" si="124">+AQ186*AQ180</f>
        <v>-6324.9784939969741</v>
      </c>
      <c r="AR185" s="715">
        <f t="shared" si="124"/>
        <v>-6597.893660988283</v>
      </c>
      <c r="AS185" s="715">
        <f t="shared" si="124"/>
        <v>-7307.1342630082609</v>
      </c>
      <c r="AT185" s="715">
        <f t="shared" si="124"/>
        <v>-7899.6578096347039</v>
      </c>
      <c r="AU185" s="715">
        <f t="shared" si="124"/>
        <v>-7959.6411077061712</v>
      </c>
      <c r="AV185" s="715">
        <f t="shared" si="124"/>
        <v>-8410.5756504538876</v>
      </c>
    </row>
    <row r="186" spans="1:48" s="706" customFormat="1">
      <c r="B186" s="712"/>
      <c r="G186" s="706">
        <f t="shared" ref="G186:V186" si="125">+G185/G180</f>
        <v>-0.39709146574818216</v>
      </c>
      <c r="H186" s="706">
        <f t="shared" si="125"/>
        <v>-0.39392037927909085</v>
      </c>
      <c r="I186" s="706">
        <f t="shared" si="125"/>
        <v>-0.39104202157864848</v>
      </c>
      <c r="J186" s="706">
        <f t="shared" si="125"/>
        <v>-0.39684969070850068</v>
      </c>
      <c r="K186" s="706">
        <f t="shared" si="125"/>
        <v>-0.3878928812542195</v>
      </c>
      <c r="L186" s="706">
        <f t="shared" si="125"/>
        <v>-0.37610143993122713</v>
      </c>
      <c r="M186" s="706">
        <f t="shared" si="125"/>
        <v>-0.3879249541543236</v>
      </c>
      <c r="N186" s="706">
        <f t="shared" si="125"/>
        <v>-0.38959714431412545</v>
      </c>
      <c r="O186" s="706">
        <f t="shared" si="125"/>
        <v>-0.41600287047003942</v>
      </c>
      <c r="P186" s="706">
        <f t="shared" si="125"/>
        <v>-0.3992159183371552</v>
      </c>
      <c r="Q186" s="706">
        <f t="shared" si="125"/>
        <v>-0.37803679258531103</v>
      </c>
      <c r="R186" s="760">
        <f t="shared" si="125"/>
        <v>-0.50381679389312983</v>
      </c>
      <c r="S186" s="706">
        <f t="shared" si="125"/>
        <v>-0.43558850787766445</v>
      </c>
      <c r="T186" s="706">
        <f t="shared" si="125"/>
        <v>-0.42347633639768478</v>
      </c>
      <c r="U186" s="706">
        <f t="shared" si="125"/>
        <v>-0.39410774410774413</v>
      </c>
      <c r="V186" s="706">
        <f t="shared" si="125"/>
        <v>-0.43461063040791087</v>
      </c>
      <c r="AK186" s="706">
        <f>+AK185/AK180</f>
        <v>-0.39483304728103596</v>
      </c>
      <c r="AL186" s="706">
        <f>+AL185/AL180</f>
        <v>-0.38547722780093585</v>
      </c>
      <c r="AM186" s="706">
        <f>+AM185/AM180</f>
        <v>-0.42453840495945627</v>
      </c>
      <c r="AN186" s="706">
        <f>+AN185/AN180</f>
        <v>-0.42194184790730005</v>
      </c>
      <c r="AO186" s="713">
        <f>+AN186+0.5%</f>
        <v>-0.41694184790730004</v>
      </c>
      <c r="AP186" s="713">
        <f>+AO186+0.5%</f>
        <v>-0.41194184790730004</v>
      </c>
      <c r="AQ186" s="713">
        <f>+AP186+0.5%</f>
        <v>-0.40694184790730004</v>
      </c>
      <c r="AR186" s="713">
        <f>+AQ186+0.5%</f>
        <v>-0.40194184790730003</v>
      </c>
      <c r="AS186" s="713">
        <f>+AR186+0.5%</f>
        <v>-0.39694184790730003</v>
      </c>
      <c r="AT186" s="713">
        <f>+AS186</f>
        <v>-0.39694184790730003</v>
      </c>
      <c r="AU186" s="713">
        <f>+AT186</f>
        <v>-0.39694184790730003</v>
      </c>
      <c r="AV186" s="713">
        <f>+AU186</f>
        <v>-0.39694184790730003</v>
      </c>
    </row>
    <row r="187" spans="1:48" s="706" customFormat="1">
      <c r="B187" s="711"/>
      <c r="G187" s="710"/>
      <c r="AK187" s="710"/>
      <c r="AL187" s="710"/>
      <c r="AM187" s="710"/>
      <c r="AN187" s="710"/>
      <c r="AO187" s="715"/>
      <c r="AP187" s="715"/>
      <c r="AQ187" s="715"/>
      <c r="AR187" s="715"/>
      <c r="AS187" s="715"/>
      <c r="AT187" s="715"/>
      <c r="AU187" s="715"/>
      <c r="AV187" s="715"/>
    </row>
    <row r="188" spans="1:48">
      <c r="N188" s="703">
        <f t="shared" ref="N188:V188" si="126">+N186-J186</f>
        <v>7.2525463943752255E-3</v>
      </c>
      <c r="O188" s="703">
        <f t="shared" si="126"/>
        <v>-2.8109989215819919E-2</v>
      </c>
      <c r="P188" s="703">
        <f t="shared" si="126"/>
        <v>-2.3114478405928063E-2</v>
      </c>
      <c r="Q188" s="703">
        <f t="shared" si="126"/>
        <v>9.8881615690125657E-3</v>
      </c>
      <c r="R188" s="703">
        <f t="shared" si="126"/>
        <v>-0.11421964957900438</v>
      </c>
      <c r="S188" s="703">
        <f t="shared" si="126"/>
        <v>-1.9585637407625034E-2</v>
      </c>
      <c r="T188" s="703">
        <f t="shared" si="126"/>
        <v>-2.4260418060529587E-2</v>
      </c>
      <c r="U188" s="703">
        <f t="shared" si="126"/>
        <v>-1.6070951522433097E-2</v>
      </c>
      <c r="V188" s="703">
        <f t="shared" si="126"/>
        <v>6.9206163485218963E-2</v>
      </c>
    </row>
    <row r="189" spans="1:48" s="100" customFormat="1">
      <c r="A189" s="99"/>
      <c r="B189" s="723" t="s">
        <v>15</v>
      </c>
      <c r="G189" s="722">
        <f>+G12*MACRO!G$3</f>
        <v>3071.1635299999998</v>
      </c>
      <c r="H189" s="722">
        <f>+H12*MACRO!H$3</f>
        <v>3042.7238599999996</v>
      </c>
      <c r="I189" s="722">
        <f>+I12*MACRO!I$3</f>
        <v>2785.1723500000003</v>
      </c>
      <c r="J189" s="722">
        <f>+J12*MACRO!J$3</f>
        <v>3115.4652000000001</v>
      </c>
      <c r="K189" s="722">
        <f>+K12*MACRO!K$3</f>
        <v>2565.6671999999999</v>
      </c>
      <c r="L189" s="722">
        <f>+L12*MACRO!L$3</f>
        <v>2802.2078400000005</v>
      </c>
      <c r="M189" s="722">
        <f>+M12*MACRO!M$3</f>
        <v>2744.9381800000001</v>
      </c>
      <c r="N189" s="722">
        <f>+N12*MACRO!N$3</f>
        <v>3112.5830399999995</v>
      </c>
      <c r="O189" s="722">
        <f>+O12*MACRO!O$3</f>
        <v>2638.7465000000002</v>
      </c>
      <c r="P189" s="722">
        <f>+P12*MACRO!P$3</f>
        <v>2931.0673599999996</v>
      </c>
      <c r="Q189" s="722">
        <f>+Q12*MACRO!Q$3</f>
        <v>3496.9612400000001</v>
      </c>
      <c r="R189" s="722">
        <f>+R12*MACRO!R$3</f>
        <v>2650.9677999999999</v>
      </c>
      <c r="S189" s="722">
        <f>+S12*MACRO!S$3</f>
        <v>2522.7764100000004</v>
      </c>
      <c r="T189" s="722">
        <f>+T12*MACRO!T$3</f>
        <v>2656.0996799999998</v>
      </c>
      <c r="U189" s="722">
        <f>+U12*MACRO!U$3</f>
        <v>2859.3335199999997</v>
      </c>
      <c r="V189" s="722">
        <f>+V12*MACRO!V$3</f>
        <v>2824.4678700000004</v>
      </c>
      <c r="W189" s="750"/>
      <c r="X189" s="750"/>
      <c r="Y189" s="750"/>
      <c r="Z189" s="750"/>
      <c r="AA189" s="750"/>
      <c r="AB189" s="750"/>
      <c r="AC189" s="750"/>
      <c r="AD189" s="750"/>
      <c r="AF189" s="750"/>
      <c r="AK189" s="722">
        <f>+SUM(G189:J189)</f>
        <v>12014.524940000001</v>
      </c>
      <c r="AL189" s="722">
        <f>+SUM(K189:N189)</f>
        <v>11225.396260000001</v>
      </c>
      <c r="AM189" s="722">
        <f>+SUM(O189:R189)</f>
        <v>11717.742900000001</v>
      </c>
      <c r="AN189" s="722">
        <f>+SUM(S189:V189)</f>
        <v>10862.67748</v>
      </c>
      <c r="AO189" s="724">
        <f t="shared" ref="AO189:AV189" si="127">+AO180+AO183</f>
        <v>7217.4944006475271</v>
      </c>
      <c r="AP189" s="724">
        <f t="shared" si="127"/>
        <v>8972.8357449836039</v>
      </c>
      <c r="AQ189" s="724">
        <f t="shared" si="127"/>
        <v>9217.7299458530906</v>
      </c>
      <c r="AR189" s="724">
        <f t="shared" si="127"/>
        <v>9817.1516878353032</v>
      </c>
      <c r="AS189" s="724">
        <f t="shared" si="127"/>
        <v>11101.441959256757</v>
      </c>
      <c r="AT189" s="724">
        <f t="shared" si="127"/>
        <v>12001.639701026237</v>
      </c>
      <c r="AU189" s="724">
        <f t="shared" si="127"/>
        <v>12092.76996880252</v>
      </c>
      <c r="AV189" s="724">
        <f t="shared" si="127"/>
        <v>12777.857100577326</v>
      </c>
    </row>
    <row r="190" spans="1:48">
      <c r="B190" s="611" t="s">
        <v>317</v>
      </c>
      <c r="G190" s="141">
        <f t="shared" ref="G190:AD190" si="128">+G189/G$180</f>
        <v>0.60290853425181778</v>
      </c>
      <c r="H190" s="141">
        <f t="shared" si="128"/>
        <v>0.60607962072090915</v>
      </c>
      <c r="I190" s="141">
        <f t="shared" si="128"/>
        <v>0.60895797842135158</v>
      </c>
      <c r="J190" s="141">
        <f t="shared" si="128"/>
        <v>0.60315030929149926</v>
      </c>
      <c r="K190" s="141">
        <f t="shared" si="128"/>
        <v>0.6121071187457805</v>
      </c>
      <c r="L190" s="141">
        <f t="shared" si="128"/>
        <v>0.62389856006877287</v>
      </c>
      <c r="M190" s="141">
        <f t="shared" si="128"/>
        <v>0.6120750458456764</v>
      </c>
      <c r="N190" s="141">
        <f t="shared" si="128"/>
        <v>0.61040285568587449</v>
      </c>
      <c r="O190" s="141">
        <f t="shared" si="128"/>
        <v>0.58399712952996063</v>
      </c>
      <c r="P190" s="141">
        <f t="shared" si="128"/>
        <v>0.6007840816628448</v>
      </c>
      <c r="Q190" s="141">
        <f t="shared" si="128"/>
        <v>0.62196320741468891</v>
      </c>
      <c r="R190" s="141">
        <f t="shared" si="128"/>
        <v>0.49618320610687022</v>
      </c>
      <c r="S190" s="141">
        <f t="shared" si="128"/>
        <v>0.56441149212233555</v>
      </c>
      <c r="T190" s="141">
        <f t="shared" si="128"/>
        <v>0.57652366360231522</v>
      </c>
      <c r="U190" s="141">
        <f t="shared" si="128"/>
        <v>0.60589225589225582</v>
      </c>
      <c r="V190" s="141">
        <f t="shared" si="128"/>
        <v>0.56538936959208919</v>
      </c>
      <c r="W190" s="141">
        <f t="shared" si="128"/>
        <v>0</v>
      </c>
      <c r="X190" s="141">
        <f t="shared" si="128"/>
        <v>0</v>
      </c>
      <c r="Y190" s="141">
        <f t="shared" si="128"/>
        <v>0</v>
      </c>
      <c r="Z190" s="141">
        <f t="shared" si="128"/>
        <v>0</v>
      </c>
      <c r="AA190" s="141">
        <f t="shared" si="128"/>
        <v>0</v>
      </c>
      <c r="AB190" s="141">
        <f t="shared" si="128"/>
        <v>0</v>
      </c>
      <c r="AC190" s="141">
        <f t="shared" si="128"/>
        <v>0</v>
      </c>
      <c r="AD190" s="141">
        <f t="shared" si="128"/>
        <v>0</v>
      </c>
      <c r="AF190" s="141">
        <v>0</v>
      </c>
      <c r="AK190" s="141">
        <f t="shared" ref="AK190:AV190" si="129">+AK189/AK$180</f>
        <v>0.60516695271896404</v>
      </c>
      <c r="AL190" s="141">
        <f t="shared" si="129"/>
        <v>0.61452277219906426</v>
      </c>
      <c r="AM190" s="141">
        <f t="shared" si="129"/>
        <v>0.57546159504054373</v>
      </c>
      <c r="AN190" s="141">
        <f t="shared" si="129"/>
        <v>0.57805815209269995</v>
      </c>
      <c r="AO190" s="141">
        <f t="shared" si="129"/>
        <v>0.58305815209269996</v>
      </c>
      <c r="AP190" s="141">
        <f t="shared" si="129"/>
        <v>0.58805815209269996</v>
      </c>
      <c r="AQ190" s="141">
        <f t="shared" si="129"/>
        <v>0.59305815209269996</v>
      </c>
      <c r="AR190" s="141">
        <f t="shared" si="129"/>
        <v>0.59805815209269997</v>
      </c>
      <c r="AS190" s="141">
        <f t="shared" si="129"/>
        <v>0.60305815209269997</v>
      </c>
      <c r="AT190" s="141">
        <f t="shared" si="129"/>
        <v>0.60305815209269997</v>
      </c>
      <c r="AU190" s="141">
        <f t="shared" si="129"/>
        <v>0.60305815209269997</v>
      </c>
      <c r="AV190" s="141">
        <f t="shared" si="129"/>
        <v>0.60305815209269997</v>
      </c>
    </row>
    <row r="191" spans="1:48">
      <c r="B191" s="615"/>
    </row>
    <row r="192" spans="1:48">
      <c r="B192" s="603" t="s">
        <v>747</v>
      </c>
      <c r="G192" s="719">
        <f t="shared" ref="G192:V192" si="130">+G195-G189</f>
        <v>-2544.81203</v>
      </c>
      <c r="H192" s="719">
        <f t="shared" si="130"/>
        <v>-2373.1355999999996</v>
      </c>
      <c r="I192" s="719">
        <f t="shared" si="130"/>
        <v>-2210.2172</v>
      </c>
      <c r="J192" s="719">
        <f t="shared" si="130"/>
        <v>-2452.3830000000003</v>
      </c>
      <c r="K192" s="719">
        <f t="shared" si="130"/>
        <v>-2182.7036399999997</v>
      </c>
      <c r="L192" s="719">
        <f t="shared" si="130"/>
        <v>-2309.2715200000007</v>
      </c>
      <c r="M192" s="719">
        <f t="shared" si="130"/>
        <v>-2231.25074</v>
      </c>
      <c r="N192" s="719">
        <f t="shared" si="130"/>
        <v>-2407.8963199999994</v>
      </c>
      <c r="O192" s="719">
        <f t="shared" si="130"/>
        <v>-2208.1424999999999</v>
      </c>
      <c r="P192" s="719">
        <f t="shared" si="130"/>
        <v>-2368.4554399999997</v>
      </c>
      <c r="Q192" s="719">
        <f t="shared" si="130"/>
        <v>-2454.34726</v>
      </c>
      <c r="R192" s="719">
        <f t="shared" si="130"/>
        <v>-2110.8640799999998</v>
      </c>
      <c r="S192" s="719">
        <f t="shared" si="130"/>
        <v>-2085.1788300000003</v>
      </c>
      <c r="T192" s="719">
        <f t="shared" si="130"/>
        <v>-2051.7811199999996</v>
      </c>
      <c r="U192" s="719">
        <f t="shared" si="130"/>
        <v>-2095.0437599999996</v>
      </c>
      <c r="V192" s="719">
        <f t="shared" si="130"/>
        <v>-2352.2823800000006</v>
      </c>
      <c r="AK192" s="719">
        <f t="shared" ref="AK192:AV192" si="131">+AK195-AK189</f>
        <v>-9580.5478300000013</v>
      </c>
      <c r="AL192" s="719">
        <f t="shared" si="131"/>
        <v>-9131.1222200000011</v>
      </c>
      <c r="AM192" s="719">
        <f t="shared" si="131"/>
        <v>-9141.8092800000013</v>
      </c>
      <c r="AN192" s="719">
        <f t="shared" si="131"/>
        <v>-8584.2860899999996</v>
      </c>
      <c r="AO192" s="719">
        <f t="shared" si="131"/>
        <v>-6065.0086358571807</v>
      </c>
      <c r="AP192" s="719">
        <f t="shared" si="131"/>
        <v>-7201.8900884407485</v>
      </c>
      <c r="AQ192" s="719">
        <f t="shared" si="131"/>
        <v>-7370.2700545330699</v>
      </c>
      <c r="AR192" s="719">
        <f t="shared" si="131"/>
        <v>-7841.3622044479625</v>
      </c>
      <c r="AS192" s="719">
        <f t="shared" si="131"/>
        <v>-8844.6584402458739</v>
      </c>
      <c r="AT192" s="719">
        <f t="shared" si="131"/>
        <v>-9514.2587739754545</v>
      </c>
      <c r="AU192" s="719">
        <f t="shared" si="131"/>
        <v>-9554.6693967483679</v>
      </c>
      <c r="AV192" s="719">
        <f t="shared" si="131"/>
        <v>-10044.37612380626</v>
      </c>
    </row>
    <row r="193" spans="1:48">
      <c r="B193" s="717" t="s">
        <v>274</v>
      </c>
      <c r="G193" s="141">
        <f t="shared" ref="G193:V193" si="132">+G192/G$180</f>
        <v>-0.49957902793723691</v>
      </c>
      <c r="H193" s="141">
        <f t="shared" si="132"/>
        <v>-0.472704455134909</v>
      </c>
      <c r="I193" s="141">
        <f t="shared" si="132"/>
        <v>-0.48324815445769448</v>
      </c>
      <c r="J193" s="141">
        <f t="shared" si="132"/>
        <v>-0.47477839423506163</v>
      </c>
      <c r="K193" s="141">
        <f t="shared" si="132"/>
        <v>-0.52074112969769704</v>
      </c>
      <c r="L193" s="141">
        <f t="shared" si="132"/>
        <v>-0.51414857797836533</v>
      </c>
      <c r="M193" s="141">
        <f t="shared" si="132"/>
        <v>-0.49753138665538155</v>
      </c>
      <c r="N193" s="141">
        <f t="shared" si="132"/>
        <v>-0.47220805711371744</v>
      </c>
      <c r="O193" s="141">
        <f t="shared" si="132"/>
        <v>-0.48869752421959095</v>
      </c>
      <c r="P193" s="141">
        <f t="shared" si="132"/>
        <v>-0.4854649012500924</v>
      </c>
      <c r="Q193" s="141">
        <f t="shared" si="132"/>
        <v>-0.43652576885268923</v>
      </c>
      <c r="R193" s="141">
        <f t="shared" si="132"/>
        <v>-0.39509167439537701</v>
      </c>
      <c r="S193" s="141">
        <f t="shared" si="132"/>
        <v>-0.46650939422023763</v>
      </c>
      <c r="T193" s="141">
        <f t="shared" si="132"/>
        <v>-0.4453524004085801</v>
      </c>
      <c r="U193" s="141">
        <f t="shared" si="132"/>
        <v>-0.44393939393939386</v>
      </c>
      <c r="V193" s="141">
        <f t="shared" si="132"/>
        <v>-0.47086938607334172</v>
      </c>
      <c r="AK193" s="141">
        <f t="shared" ref="AK193:AV193" si="133">+AK192/AK$180</f>
        <v>-0.48256847146379001</v>
      </c>
      <c r="AL193" s="141">
        <f t="shared" si="133"/>
        <v>-0.49987389397716231</v>
      </c>
      <c r="AM193" s="141">
        <f t="shared" si="133"/>
        <v>-0.44895678243847159</v>
      </c>
      <c r="AN193" s="141">
        <f t="shared" si="133"/>
        <v>-0.45681339277141714</v>
      </c>
      <c r="AO193" s="141">
        <f t="shared" si="133"/>
        <v>-0.48995572858801184</v>
      </c>
      <c r="AP193" s="141">
        <f t="shared" si="133"/>
        <v>-0.47199461768269968</v>
      </c>
      <c r="AQ193" s="141">
        <f t="shared" si="133"/>
        <v>-0.4741947057075574</v>
      </c>
      <c r="AR193" s="141">
        <f t="shared" si="133"/>
        <v>-0.47769360594607968</v>
      </c>
      <c r="AS193" s="141">
        <f t="shared" si="133"/>
        <v>-0.48046401489477136</v>
      </c>
      <c r="AT193" s="141">
        <f t="shared" si="133"/>
        <v>-0.47807228492909842</v>
      </c>
      <c r="AU193" s="141">
        <f t="shared" si="133"/>
        <v>-0.4764848157307936</v>
      </c>
      <c r="AV193" s="141">
        <f t="shared" si="133"/>
        <v>-0.47404998009196375</v>
      </c>
    </row>
    <row r="194" spans="1:48">
      <c r="B194" s="717"/>
      <c r="G194" s="141"/>
      <c r="H194" s="141"/>
      <c r="I194" s="141"/>
      <c r="J194" s="141"/>
      <c r="K194" s="141"/>
      <c r="L194" s="141"/>
      <c r="M194" s="141"/>
      <c r="N194" s="141"/>
      <c r="O194" s="141"/>
      <c r="P194" s="141"/>
      <c r="Q194" s="141"/>
      <c r="R194" s="141"/>
      <c r="S194" s="141"/>
      <c r="T194" s="141"/>
      <c r="U194" s="141"/>
      <c r="V194" s="141"/>
      <c r="AK194" s="141"/>
      <c r="AL194" s="141"/>
      <c r="AM194" s="141"/>
      <c r="AN194" s="141"/>
      <c r="AO194" s="141"/>
      <c r="AP194" s="141"/>
      <c r="AQ194" s="141"/>
      <c r="AR194" s="141"/>
      <c r="AS194" s="141"/>
      <c r="AT194" s="141"/>
      <c r="AU194" s="141"/>
      <c r="AV194" s="141"/>
    </row>
    <row r="195" spans="1:48" s="100" customFormat="1">
      <c r="A195" s="99"/>
      <c r="B195" s="731" t="s">
        <v>748</v>
      </c>
      <c r="G195" s="732">
        <f>+(G159+G147+G135+G121)*MACRO!G3</f>
        <v>526.35149999999999</v>
      </c>
      <c r="H195" s="732">
        <f>+(H159+H147+H135+H121)*MACRO!H3</f>
        <v>669.58825999999999</v>
      </c>
      <c r="I195" s="732">
        <f>+(I159+I147+I135+I121)*MACRO!I3</f>
        <v>574.95515000000012</v>
      </c>
      <c r="J195" s="732">
        <f>+(J159+J147+J135+J121)*MACRO!J3</f>
        <v>663.08219999999994</v>
      </c>
      <c r="K195" s="732">
        <f>+(K159+K147+K135+K121)*MACRO!K3</f>
        <v>382.96356000000003</v>
      </c>
      <c r="L195" s="732">
        <f>+(L159+L147+L135+L121)*MACRO!L3</f>
        <v>492.93631999999997</v>
      </c>
      <c r="M195" s="732">
        <f>+(M159+M147+M135+M121)*MACRO!M3</f>
        <v>513.68744000000004</v>
      </c>
      <c r="N195" s="732">
        <f>+(N159+N147+N135+N121)*MACRO!N3</f>
        <v>704.68672000000004</v>
      </c>
      <c r="O195" s="732">
        <f>+(O159+O147+O135+O121)*MACRO!O3</f>
        <v>430.60400000000004</v>
      </c>
      <c r="P195" s="732">
        <f>+(P159+P147+P135+P121)*MACRO!P3</f>
        <v>562.61192000000005</v>
      </c>
      <c r="Q195" s="732">
        <f>+(Q159+Q147+Q135+Q121)*MACRO!Q3</f>
        <v>1042.6139800000001</v>
      </c>
      <c r="R195" s="732">
        <f>+(R159+R147+R135+R121)*MACRO!R3</f>
        <v>540.10371999999995</v>
      </c>
      <c r="S195" s="732">
        <f>+(S159+S147+S135+S121)*MACRO!S3</f>
        <v>437.59757999999999</v>
      </c>
      <c r="T195" s="732">
        <f>+(T159+T147+T135+T121)*MACRO!T3</f>
        <v>604.31856000000016</v>
      </c>
      <c r="U195" s="732">
        <f>+(U159+U147+U135+U121)*MACRO!U3</f>
        <v>764.28976</v>
      </c>
      <c r="V195" s="732">
        <f>+(V159+V147+V135+V121)*MACRO!V3</f>
        <v>472.18548999999979</v>
      </c>
      <c r="W195" s="732">
        <f>+(W159+W147+W135+W121)*MACRO!W3</f>
        <v>146.74971283889005</v>
      </c>
      <c r="X195" s="732">
        <f>+(X159+X147+X135+X121)*MACRO!X3</f>
        <v>289.68768314726401</v>
      </c>
      <c r="Y195" s="732">
        <f>+(Y159+Y147+Y135+Y121)*MACRO!Y3</f>
        <v>326.38858638476302</v>
      </c>
      <c r="Z195" s="732">
        <f>+(Z159+Z147+Z135+Z121)*MACRO!Z3</f>
        <v>410.8749298963715</v>
      </c>
      <c r="AA195" s="732">
        <f>+(AA159+AA147+AA135+AA121)*MACRO!AA3</f>
        <v>426.4533211408326</v>
      </c>
      <c r="AB195" s="732">
        <f>+(AB159+AB147+AB135+AB121)*MACRO!AB3</f>
        <v>504.67566735589617</v>
      </c>
      <c r="AC195" s="732">
        <f>+(AC159+AC147+AC135+AC121)*MACRO!AC3</f>
        <v>369.23623710903843</v>
      </c>
      <c r="AD195" s="732">
        <f>+(AD159+AD147+AD135+AD121)*MACRO!AD3</f>
        <v>471.15423263758908</v>
      </c>
      <c r="AF195" s="732">
        <v>194.40472089250287</v>
      </c>
      <c r="AK195" s="722">
        <f>+SUM(G195:J195)</f>
        <v>2433.9771099999998</v>
      </c>
      <c r="AL195" s="722">
        <f>+SUM(K195:N195)</f>
        <v>2094.2740400000002</v>
      </c>
      <c r="AM195" s="722">
        <f>+SUM(O195:R195)</f>
        <v>2575.9336200000002</v>
      </c>
      <c r="AN195" s="722">
        <f>+SUM(S195:V195)</f>
        <v>2278.3913900000002</v>
      </c>
      <c r="AO195" s="734">
        <f>+(AO159+AO147+AO135+AO121)*MACRO!BI3</f>
        <v>1152.4857647903464</v>
      </c>
      <c r="AP195" s="734">
        <f>+(AP159+AP147+AP135+AP121)*MACRO!BJ3</f>
        <v>1770.9456565428552</v>
      </c>
      <c r="AQ195" s="734">
        <f>+(AQ159+AQ147+AQ135+AQ121)*MACRO!BK3</f>
        <v>1847.4598913200205</v>
      </c>
      <c r="AR195" s="734">
        <f>+(AR159+AR147+AR135+AR121)*MACRO!BL3</f>
        <v>1975.7894833873404</v>
      </c>
      <c r="AS195" s="734">
        <f>+(AS159+AS147+AS135+AS121)*MACRO!BM3</f>
        <v>2256.7835190108835</v>
      </c>
      <c r="AT195" s="734">
        <f>+(AT159+AT147+AT135+AT121)*MACRO!BN3</f>
        <v>2487.3809270507832</v>
      </c>
      <c r="AU195" s="734">
        <f>+(AU159+AU147+AU135+AU121)*MACRO!BO3</f>
        <v>2538.1005720541521</v>
      </c>
      <c r="AV195" s="734">
        <f>+(AV159+AV147+AV135+AV121)*MACRO!BP3</f>
        <v>2733.4809767710663</v>
      </c>
    </row>
    <row r="196" spans="1:48">
      <c r="B196" s="708" t="s">
        <v>749</v>
      </c>
      <c r="G196" s="141">
        <f t="shared" ref="G196:AD196" si="134">+G195/G$180</f>
        <v>0.10332950631458095</v>
      </c>
      <c r="H196" s="141">
        <f t="shared" si="134"/>
        <v>0.13337516558600016</v>
      </c>
      <c r="I196" s="141">
        <f t="shared" si="134"/>
        <v>0.12570982396365704</v>
      </c>
      <c r="J196" s="141">
        <f t="shared" si="134"/>
        <v>0.12837191505643772</v>
      </c>
      <c r="K196" s="141">
        <f t="shared" si="134"/>
        <v>9.1365989048083421E-2</v>
      </c>
      <c r="L196" s="141">
        <f t="shared" si="134"/>
        <v>0.10974998209040759</v>
      </c>
      <c r="M196" s="141">
        <f t="shared" si="134"/>
        <v>0.11454365919029483</v>
      </c>
      <c r="N196" s="141">
        <f t="shared" si="134"/>
        <v>0.13819479857215708</v>
      </c>
      <c r="O196" s="141">
        <f t="shared" si="134"/>
        <v>9.5299605310369587E-2</v>
      </c>
      <c r="P196" s="141">
        <f t="shared" si="134"/>
        <v>0.11531918041275244</v>
      </c>
      <c r="Q196" s="141">
        <f t="shared" si="134"/>
        <v>0.18543743856199973</v>
      </c>
      <c r="R196" s="141">
        <f t="shared" si="134"/>
        <v>0.10109153171149318</v>
      </c>
      <c r="S196" s="141">
        <f t="shared" si="134"/>
        <v>9.790209790209789E-2</v>
      </c>
      <c r="T196" s="141">
        <f t="shared" si="134"/>
        <v>0.13117126319373512</v>
      </c>
      <c r="U196" s="141">
        <f t="shared" si="134"/>
        <v>0.16195286195286196</v>
      </c>
      <c r="V196" s="141">
        <f t="shared" si="134"/>
        <v>9.4519983518747394E-2</v>
      </c>
      <c r="W196" s="141">
        <f t="shared" si="134"/>
        <v>7.9024822252874716E-2</v>
      </c>
      <c r="X196" s="141">
        <f t="shared" si="134"/>
        <v>9.9901333672186746E-2</v>
      </c>
      <c r="Y196" s="141">
        <f t="shared" si="134"/>
        <v>9.3901846281495852E-2</v>
      </c>
      <c r="Z196" s="141">
        <f t="shared" si="134"/>
        <v>9.9099306309459373E-2</v>
      </c>
      <c r="AA196" s="141">
        <f t="shared" si="134"/>
        <v>0.12583624716078157</v>
      </c>
      <c r="AB196" s="141">
        <f t="shared" si="134"/>
        <v>0.13349007500395574</v>
      </c>
      <c r="AC196" s="141">
        <f t="shared" si="134"/>
        <v>0.10130765550103682</v>
      </c>
      <c r="AD196" s="141">
        <f t="shared" si="134"/>
        <v>0.10601706471495091</v>
      </c>
      <c r="AF196" s="141">
        <v>6.3849702471001663E-2</v>
      </c>
      <c r="AK196" s="141">
        <f t="shared" ref="AK196:AV196" si="135">+AK195/AK$180</f>
        <v>0.12259848125517399</v>
      </c>
      <c r="AL196" s="141">
        <f t="shared" si="135"/>
        <v>0.11464887822190199</v>
      </c>
      <c r="AM196" s="141">
        <f t="shared" si="135"/>
        <v>0.12650481260207219</v>
      </c>
      <c r="AN196" s="141">
        <f t="shared" si="135"/>
        <v>0.12124475932128273</v>
      </c>
      <c r="AO196" s="141">
        <f t="shared" si="135"/>
        <v>9.3102423504688142E-2</v>
      </c>
      <c r="AP196" s="141">
        <f t="shared" si="135"/>
        <v>0.11606353441000025</v>
      </c>
      <c r="AQ196" s="141">
        <f t="shared" si="135"/>
        <v>0.11886344638514253</v>
      </c>
      <c r="AR196" s="141">
        <f t="shared" si="135"/>
        <v>0.12036454614662023</v>
      </c>
      <c r="AS196" s="141">
        <f t="shared" si="135"/>
        <v>0.12259413719792858</v>
      </c>
      <c r="AT196" s="141">
        <f t="shared" si="135"/>
        <v>0.12498586716360158</v>
      </c>
      <c r="AU196" s="141">
        <f t="shared" si="135"/>
        <v>0.1265733363619064</v>
      </c>
      <c r="AV196" s="141">
        <f t="shared" si="135"/>
        <v>0.12900817200073617</v>
      </c>
    </row>
    <row r="197" spans="1:48">
      <c r="B197" s="717"/>
      <c r="G197" s="141"/>
      <c r="H197" s="141"/>
      <c r="I197" s="141"/>
      <c r="J197" s="141"/>
      <c r="K197" s="141"/>
      <c r="L197" s="141"/>
      <c r="M197" s="141"/>
      <c r="N197" s="141"/>
      <c r="O197" s="141"/>
      <c r="P197" s="141"/>
      <c r="Q197" s="141"/>
      <c r="R197" s="141"/>
      <c r="S197" s="141"/>
      <c r="T197" s="141"/>
      <c r="U197" s="141"/>
      <c r="V197" s="141"/>
      <c r="AK197" s="141"/>
      <c r="AL197" s="141"/>
      <c r="AM197" s="141"/>
      <c r="AN197" s="141"/>
      <c r="AO197" s="141"/>
      <c r="AP197" s="141"/>
      <c r="AQ197" s="141"/>
      <c r="AR197" s="141"/>
      <c r="AS197" s="141"/>
      <c r="AT197" s="141"/>
      <c r="AU197" s="141"/>
      <c r="AV197" s="141"/>
    </row>
    <row r="198" spans="1:48">
      <c r="B198" s="602" t="s">
        <v>750</v>
      </c>
      <c r="G198" s="710">
        <f t="shared" ref="G198:V198" si="136">+G201-G195</f>
        <v>-313.47155999999973</v>
      </c>
      <c r="H198" s="710">
        <f t="shared" si="136"/>
        <v>-303.81736000000029</v>
      </c>
      <c r="I198" s="710">
        <f t="shared" si="136"/>
        <v>-254.20095000000009</v>
      </c>
      <c r="J198" s="710">
        <f t="shared" si="136"/>
        <v>-286.90739999999994</v>
      </c>
      <c r="K198" s="710">
        <f t="shared" si="136"/>
        <v>-257.82440000000054</v>
      </c>
      <c r="L198" s="710">
        <f t="shared" si="136"/>
        <v>-276.39183999999983</v>
      </c>
      <c r="M198" s="710">
        <f t="shared" si="136"/>
        <v>-217.93759000000017</v>
      </c>
      <c r="N198" s="710">
        <f t="shared" si="136"/>
        <v>-200.22464000000048</v>
      </c>
      <c r="O198" s="710">
        <f t="shared" si="136"/>
        <v>-249.6725000000001</v>
      </c>
      <c r="P198" s="710">
        <f t="shared" si="136"/>
        <v>-285.81696000000085</v>
      </c>
      <c r="Q198" s="710">
        <f t="shared" si="136"/>
        <v>-891.41323999999963</v>
      </c>
      <c r="R198" s="710">
        <f t="shared" si="136"/>
        <v>-248.51632000000006</v>
      </c>
      <c r="S198" s="710">
        <f t="shared" si="136"/>
        <v>-235.36874999999949</v>
      </c>
      <c r="T198" s="710">
        <f t="shared" si="136"/>
        <v>-254.11968000000007</v>
      </c>
      <c r="U198" s="710">
        <f t="shared" si="136"/>
        <v>-499.33068000000026</v>
      </c>
      <c r="V198" s="710">
        <f t="shared" si="136"/>
        <v>-466.83377999999999</v>
      </c>
      <c r="W198" s="141"/>
      <c r="X198" s="141"/>
      <c r="Y198" s="141"/>
      <c r="Z198" s="141"/>
      <c r="AA198" s="141"/>
      <c r="AB198" s="141"/>
      <c r="AC198" s="141"/>
      <c r="AD198" s="141"/>
      <c r="AF198" s="141"/>
      <c r="AK198" s="710">
        <f t="shared" ref="AK198:AV198" si="137">+AK201-AK195</f>
        <v>-1158.3972699999999</v>
      </c>
      <c r="AL198" s="710">
        <f t="shared" si="137"/>
        <v>-952.37847000000124</v>
      </c>
      <c r="AM198" s="710">
        <f t="shared" si="137"/>
        <v>-1675.4190200000007</v>
      </c>
      <c r="AN198" s="710">
        <f t="shared" si="137"/>
        <v>-1455.6528900000001</v>
      </c>
      <c r="AO198" s="715">
        <f t="shared" si="137"/>
        <v>-999.13360151199515</v>
      </c>
      <c r="AP198" s="715">
        <f t="shared" si="137"/>
        <v>-1396.3937219728771</v>
      </c>
      <c r="AQ198" s="715">
        <f t="shared" si="137"/>
        <v>-1185.9142602373579</v>
      </c>
      <c r="AR198" s="715">
        <f t="shared" si="137"/>
        <v>-1096.5490028658928</v>
      </c>
      <c r="AS198" s="715">
        <f t="shared" si="137"/>
        <v>-1160.3119161685281</v>
      </c>
      <c r="AT198" s="715">
        <f t="shared" si="137"/>
        <v>-1202.49175065246</v>
      </c>
      <c r="AU198" s="715">
        <f t="shared" si="137"/>
        <v>-1243.4550375560273</v>
      </c>
      <c r="AV198" s="715">
        <f t="shared" si="137"/>
        <v>-1365.4903775621626</v>
      </c>
    </row>
    <row r="199" spans="1:48">
      <c r="B199" s="717" t="s">
        <v>274</v>
      </c>
      <c r="G199" s="141">
        <f t="shared" ref="G199:V199" si="138">+G198/G$180</f>
        <v>-6.1538461538461486E-2</v>
      </c>
      <c r="H199" s="141">
        <f t="shared" si="138"/>
        <v>-6.0517325524646233E-2</v>
      </c>
      <c r="I199" s="141">
        <f t="shared" si="138"/>
        <v>-5.5579216354344138E-2</v>
      </c>
      <c r="J199" s="141">
        <f t="shared" si="138"/>
        <v>-5.5544926981697586E-2</v>
      </c>
      <c r="K199" s="141">
        <f t="shared" si="138"/>
        <v>-6.1510764383767291E-2</v>
      </c>
      <c r="L199" s="141">
        <f t="shared" si="138"/>
        <v>-6.1537359409699788E-2</v>
      </c>
      <c r="M199" s="141">
        <f t="shared" si="138"/>
        <v>-4.8596416984059851E-2</v>
      </c>
      <c r="N199" s="141">
        <f t="shared" si="138"/>
        <v>-3.9265680775114838E-2</v>
      </c>
      <c r="O199" s="141">
        <f t="shared" si="138"/>
        <v>-5.5256548259777563E-2</v>
      </c>
      <c r="P199" s="141">
        <f t="shared" si="138"/>
        <v>-5.858421480878781E-2</v>
      </c>
      <c r="Q199" s="141">
        <f t="shared" si="138"/>
        <v>-0.15854514815334919</v>
      </c>
      <c r="R199" s="141">
        <f t="shared" si="138"/>
        <v>-4.6514946136833858E-2</v>
      </c>
      <c r="S199" s="141">
        <f t="shared" si="138"/>
        <v>-5.2658185188305555E-2</v>
      </c>
      <c r="T199" s="141">
        <f t="shared" si="138"/>
        <v>-5.5158324821246184E-2</v>
      </c>
      <c r="U199" s="141">
        <f t="shared" si="138"/>
        <v>-0.10580808080808086</v>
      </c>
      <c r="V199" s="141">
        <f t="shared" si="138"/>
        <v>-9.3448702101359721E-2</v>
      </c>
      <c r="W199" s="141"/>
      <c r="X199" s="141"/>
      <c r="Y199" s="141"/>
      <c r="Z199" s="141"/>
      <c r="AA199" s="141"/>
      <c r="AB199" s="141"/>
      <c r="AC199" s="141"/>
      <c r="AD199" s="141"/>
      <c r="AF199" s="141"/>
      <c r="AK199" s="710"/>
      <c r="AL199" s="141">
        <f t="shared" ref="AL199:AV199" si="139">+AL198/AL$180</f>
        <v>-5.2136979756570667E-2</v>
      </c>
      <c r="AM199" s="141">
        <f t="shared" si="139"/>
        <v>-8.2280291506520845E-2</v>
      </c>
      <c r="AN199" s="141">
        <f t="shared" si="139"/>
        <v>-7.7462671724448373E-2</v>
      </c>
      <c r="AO199" s="141">
        <f t="shared" si="139"/>
        <v>-8.0714020552484736E-2</v>
      </c>
      <c r="AP199" s="141">
        <f t="shared" si="139"/>
        <v>-9.1516298199964208E-2</v>
      </c>
      <c r="AQ199" s="141">
        <f t="shared" si="139"/>
        <v>-7.630036070140668E-2</v>
      </c>
      <c r="AR199" s="141">
        <f t="shared" si="139"/>
        <v>-6.6801460462884363E-2</v>
      </c>
      <c r="AS199" s="141">
        <f t="shared" si="139"/>
        <v>-6.3031051514192638E-2</v>
      </c>
      <c r="AT199" s="141">
        <f t="shared" si="139"/>
        <v>-6.0422781479865635E-2</v>
      </c>
      <c r="AU199" s="141">
        <f t="shared" si="139"/>
        <v>-6.201025067817053E-2</v>
      </c>
      <c r="AV199" s="141">
        <f t="shared" si="139"/>
        <v>-6.44450863170003E-2</v>
      </c>
    </row>
    <row r="200" spans="1:48">
      <c r="B200" s="603"/>
      <c r="G200" s="710"/>
      <c r="H200" s="710"/>
      <c r="I200" s="710"/>
      <c r="J200" s="710"/>
      <c r="K200" s="710"/>
      <c r="L200" s="710"/>
      <c r="M200" s="710"/>
      <c r="N200" s="710"/>
      <c r="O200" s="710"/>
      <c r="P200" s="710"/>
      <c r="Q200" s="710"/>
      <c r="R200" s="710"/>
      <c r="S200" s="710"/>
      <c r="T200" s="710"/>
      <c r="U200" s="710"/>
      <c r="V200" s="710"/>
      <c r="W200" s="141"/>
      <c r="X200" s="141"/>
      <c r="Y200" s="141"/>
      <c r="Z200" s="141"/>
      <c r="AA200" s="141"/>
      <c r="AB200" s="141"/>
      <c r="AC200" s="141"/>
      <c r="AD200" s="141"/>
      <c r="AF200" s="141"/>
      <c r="AK200" s="710"/>
      <c r="AL200" s="710"/>
      <c r="AM200" s="710"/>
      <c r="AN200" s="710"/>
      <c r="AO200" s="715"/>
      <c r="AP200" s="715"/>
      <c r="AQ200" s="715"/>
      <c r="AR200" s="715"/>
      <c r="AS200" s="715"/>
      <c r="AT200" s="715"/>
      <c r="AU200" s="715"/>
      <c r="AV200" s="715"/>
    </row>
    <row r="201" spans="1:48" s="394" customFormat="1">
      <c r="A201" s="392"/>
      <c r="B201" s="731" t="s">
        <v>751</v>
      </c>
      <c r="G201" s="732">
        <f>+G25*MACRO!G$3</f>
        <v>212.87994000000023</v>
      </c>
      <c r="H201" s="732">
        <f>+H25*MACRO!H$3</f>
        <v>365.7708999999997</v>
      </c>
      <c r="I201" s="732">
        <f>+I25*MACRO!I$3</f>
        <v>320.75420000000003</v>
      </c>
      <c r="J201" s="732">
        <f>+J25*MACRO!J$3</f>
        <v>376.1748</v>
      </c>
      <c r="K201" s="732">
        <f>+K25*MACRO!K$3</f>
        <v>125.13915999999951</v>
      </c>
      <c r="L201" s="732">
        <f>+L25*MACRO!L$3</f>
        <v>216.54448000000014</v>
      </c>
      <c r="M201" s="732">
        <f>+M25*MACRO!M$3</f>
        <v>295.74984999999987</v>
      </c>
      <c r="N201" s="732">
        <f>+N25*MACRO!N$3</f>
        <v>504.46207999999956</v>
      </c>
      <c r="O201" s="732">
        <f>+O25*MACRO!O$3</f>
        <v>180.93149999999994</v>
      </c>
      <c r="P201" s="732">
        <f>+P25*MACRO!P$3</f>
        <v>276.79495999999921</v>
      </c>
      <c r="Q201" s="732">
        <f>+Q25*MACRO!Q$3</f>
        <v>151.20074000000039</v>
      </c>
      <c r="R201" s="732">
        <f>+R25*MACRO!R$3</f>
        <v>291.58739999999989</v>
      </c>
      <c r="S201" s="732">
        <f>+S25*MACRO!S$3</f>
        <v>202.2288300000005</v>
      </c>
      <c r="T201" s="732">
        <f>+T25*MACRO!T$3</f>
        <v>350.19888000000009</v>
      </c>
      <c r="U201" s="732">
        <f>+U25*MACRO!U$3</f>
        <v>264.95907999999974</v>
      </c>
      <c r="V201" s="732">
        <f>+V25*MACRO!V$3</f>
        <v>5.3517099999998123</v>
      </c>
      <c r="W201" s="733"/>
      <c r="X201" s="733"/>
      <c r="Y201" s="733"/>
      <c r="Z201" s="733"/>
      <c r="AA201" s="733"/>
      <c r="AB201" s="733"/>
      <c r="AC201" s="733"/>
      <c r="AD201" s="733"/>
      <c r="AF201" s="733"/>
      <c r="AK201" s="722">
        <f>+SUM(G201:J201)</f>
        <v>1275.5798399999999</v>
      </c>
      <c r="AL201" s="722">
        <f>+SUM(K201:N201)</f>
        <v>1141.895569999999</v>
      </c>
      <c r="AM201" s="722">
        <f>+SUM(O201:R201)</f>
        <v>900.51459999999952</v>
      </c>
      <c r="AN201" s="722">
        <f>+SUM(S201:V201)</f>
        <v>822.73850000000016</v>
      </c>
      <c r="AO201" s="734">
        <f>AO25*MACRO!BI$3</f>
        <v>153.35216327835118</v>
      </c>
      <c r="AP201" s="734">
        <f>AP25*MACRO!BJ$3</f>
        <v>374.55193456997813</v>
      </c>
      <c r="AQ201" s="734">
        <f>AQ25*MACRO!BK$3</f>
        <v>661.54563108266257</v>
      </c>
      <c r="AR201" s="734">
        <f>AR25*MACRO!BL$3</f>
        <v>879.24048052144769</v>
      </c>
      <c r="AS201" s="734">
        <f>AS25*MACRO!BM$3</f>
        <v>1096.4716028423554</v>
      </c>
      <c r="AT201" s="734">
        <f>AT25*MACRO!BN$3</f>
        <v>1284.8891763983231</v>
      </c>
      <c r="AU201" s="734">
        <f>AU25*MACRO!BO$3</f>
        <v>1294.6455344981248</v>
      </c>
      <c r="AV201" s="734">
        <f>AV25*MACRO!BP$3</f>
        <v>1367.9905992089036</v>
      </c>
    </row>
    <row r="202" spans="1:48">
      <c r="B202" s="602" t="s">
        <v>752</v>
      </c>
      <c r="G202" s="141">
        <f t="shared" ref="G202:V202" si="140">+G201/G$180</f>
        <v>4.1791044776119453E-2</v>
      </c>
      <c r="H202" s="141">
        <f t="shared" si="140"/>
        <v>7.2857840061353915E-2</v>
      </c>
      <c r="I202" s="141">
        <f t="shared" si="140"/>
        <v>7.0130607609312889E-2</v>
      </c>
      <c r="J202" s="141">
        <f t="shared" si="140"/>
        <v>7.282698807474014E-2</v>
      </c>
      <c r="K202" s="141">
        <f t="shared" si="140"/>
        <v>2.985522466431614E-2</v>
      </c>
      <c r="L202" s="141">
        <f t="shared" si="140"/>
        <v>4.8212622680707806E-2</v>
      </c>
      <c r="M202" s="141">
        <f t="shared" si="140"/>
        <v>6.5947242206234977E-2</v>
      </c>
      <c r="N202" s="141">
        <f t="shared" si="140"/>
        <v>9.8929117797042249E-2</v>
      </c>
      <c r="O202" s="141">
        <f t="shared" si="140"/>
        <v>4.0043057050592024E-2</v>
      </c>
      <c r="P202" s="141">
        <f t="shared" si="140"/>
        <v>5.6734965603964627E-2</v>
      </c>
      <c r="Q202" s="141">
        <f t="shared" si="140"/>
        <v>2.689229040865054E-2</v>
      </c>
      <c r="R202" s="141">
        <f t="shared" si="140"/>
        <v>5.4576585574659324E-2</v>
      </c>
      <c r="S202" s="141">
        <f t="shared" si="140"/>
        <v>4.5243912713792342E-2</v>
      </c>
      <c r="T202" s="141">
        <f t="shared" si="140"/>
        <v>7.6012938372488945E-2</v>
      </c>
      <c r="U202" s="141">
        <f t="shared" si="140"/>
        <v>5.6144781144781095E-2</v>
      </c>
      <c r="V202" s="141">
        <f t="shared" si="140"/>
        <v>1.071281417387684E-3</v>
      </c>
      <c r="W202" s="752"/>
      <c r="X202" s="752"/>
      <c r="Y202" s="752"/>
      <c r="Z202" s="752"/>
      <c r="AA202" s="752"/>
      <c r="AB202" s="752"/>
      <c r="AC202" s="752"/>
      <c r="AD202" s="752"/>
      <c r="AF202" s="752"/>
      <c r="AK202" s="141">
        <f t="shared" ref="AK202:AV202" si="141">+AK201/AK$180</f>
        <v>6.425046088610005E-2</v>
      </c>
      <c r="AL202" s="141">
        <f t="shared" si="141"/>
        <v>6.2511898465331325E-2</v>
      </c>
      <c r="AM202" s="141">
        <f t="shared" si="141"/>
        <v>4.422452109555134E-2</v>
      </c>
      <c r="AN202" s="141">
        <f t="shared" si="141"/>
        <v>4.3782087596834357E-2</v>
      </c>
      <c r="AO202" s="141">
        <f t="shared" si="141"/>
        <v>1.2388402952203415E-2</v>
      </c>
      <c r="AP202" s="141">
        <f t="shared" si="141"/>
        <v>2.4547236210036037E-2</v>
      </c>
      <c r="AQ202" s="141">
        <f t="shared" si="141"/>
        <v>4.2563085683735846E-2</v>
      </c>
      <c r="AR202" s="141">
        <f t="shared" si="141"/>
        <v>5.3563085683735863E-2</v>
      </c>
      <c r="AS202" s="141">
        <f t="shared" si="141"/>
        <v>5.9563085683735945E-2</v>
      </c>
      <c r="AT202" s="141">
        <f t="shared" si="141"/>
        <v>6.4563085683735935E-2</v>
      </c>
      <c r="AU202" s="141">
        <f t="shared" si="141"/>
        <v>6.4563085683735866E-2</v>
      </c>
      <c r="AV202" s="141">
        <f t="shared" si="141"/>
        <v>6.4563085683735866E-2</v>
      </c>
    </row>
    <row r="203" spans="1:48">
      <c r="B203" s="602"/>
      <c r="G203" s="751"/>
      <c r="H203" s="751"/>
      <c r="I203" s="751"/>
      <c r="J203" s="751"/>
      <c r="K203" s="751"/>
      <c r="L203" s="751"/>
      <c r="M203" s="751"/>
      <c r="N203" s="751"/>
      <c r="O203" s="751"/>
      <c r="P203" s="751"/>
      <c r="Q203" s="751"/>
      <c r="R203" s="751"/>
      <c r="S203" s="751"/>
      <c r="T203" s="751"/>
      <c r="U203" s="751"/>
      <c r="V203" s="751"/>
      <c r="W203" s="752"/>
      <c r="X203" s="752"/>
      <c r="Y203" s="752"/>
      <c r="Z203" s="752"/>
      <c r="AA203" s="752"/>
      <c r="AB203" s="752"/>
      <c r="AC203" s="752"/>
      <c r="AD203" s="752"/>
      <c r="AF203" s="752"/>
      <c r="AK203" s="141"/>
      <c r="AL203" s="141"/>
      <c r="AM203" s="141"/>
      <c r="AN203" s="141"/>
      <c r="AO203" s="141"/>
      <c r="AP203" s="141"/>
      <c r="AQ203" s="141"/>
      <c r="AR203" s="141"/>
      <c r="AS203" s="141"/>
      <c r="AT203" s="141"/>
      <c r="AU203" s="141"/>
      <c r="AV203" s="141"/>
    </row>
    <row r="204" spans="1:48">
      <c r="B204" s="602" t="s">
        <v>753</v>
      </c>
      <c r="G204" s="707">
        <f>+G51*MACRO!G$3</f>
        <v>107.60964</v>
      </c>
      <c r="H204" s="707">
        <f>+H51*MACRO!H$3</f>
        <v>100.80576000000002</v>
      </c>
      <c r="I204" s="707">
        <f>+I51*MACRO!I$3</f>
        <v>92.52525</v>
      </c>
      <c r="J204" s="707">
        <f>+J51*MACRO!J$3</f>
        <v>95.525999999999996</v>
      </c>
      <c r="K204" s="707">
        <f>+K51*MACRO!K$3</f>
        <v>86.779920000000004</v>
      </c>
      <c r="L204" s="707">
        <f>+L51*MACRO!L$3</f>
        <v>93.632159999999999</v>
      </c>
      <c r="M204" s="707">
        <f>+M51*MACRO!M$3</f>
        <v>91.413589999999985</v>
      </c>
      <c r="N204" s="707">
        <f>+N51*MACRO!N$3</f>
        <v>92.311359999999993</v>
      </c>
      <c r="O204" s="707">
        <f>+O51*MACRO!O$3</f>
        <v>90.46575</v>
      </c>
      <c r="P204" s="707">
        <f>+P51*MACRO!P$3</f>
        <v>99.242000000000004</v>
      </c>
      <c r="Q204" s="707">
        <f>+Q51*MACRO!Q$3</f>
        <v>102.64279999999999</v>
      </c>
      <c r="R204" s="707">
        <f>+R51*MACRO!R$3</f>
        <v>100.24507999999997</v>
      </c>
      <c r="S204" s="707">
        <f>+S51*MACRO!S$3</f>
        <v>102.43248000000001</v>
      </c>
      <c r="T204" s="707">
        <f>+T51*MACRO!T$3</f>
        <v>86.667360000000016</v>
      </c>
      <c r="U204" s="707">
        <f>+U51*MACRO!U$3</f>
        <v>95.337599999999995</v>
      </c>
      <c r="V204" s="707">
        <f>+V51*MACRO!V$3</f>
        <v>80.687319999999971</v>
      </c>
      <c r="W204" s="141"/>
      <c r="X204" s="141"/>
      <c r="Y204" s="141"/>
      <c r="Z204" s="141"/>
      <c r="AA204" s="141"/>
      <c r="AB204" s="141"/>
      <c r="AC204" s="141"/>
      <c r="AD204" s="141"/>
      <c r="AF204" s="141"/>
      <c r="AK204" s="623">
        <f>+SUM(G204:J204)</f>
        <v>396.46665000000002</v>
      </c>
      <c r="AL204" s="623">
        <f>+SUM(K204:N204)</f>
        <v>364.13702999999998</v>
      </c>
      <c r="AM204" s="623">
        <f>+SUM(O204:R204)</f>
        <v>392.59562999999997</v>
      </c>
      <c r="AN204" s="623">
        <f>+SUM(S204:V204)</f>
        <v>365.12476000000004</v>
      </c>
      <c r="AO204" s="716">
        <f>+AO51*MACRO!BI$3</f>
        <v>489.107433798984</v>
      </c>
      <c r="AP204" s="716">
        <f>+AP51*MACRO!BJ$3</f>
        <v>540.52291919309721</v>
      </c>
      <c r="AQ204" s="716">
        <f>+AQ51*MACRO!BK$3</f>
        <v>523.68688649121407</v>
      </c>
      <c r="AR204" s="716">
        <f>+AR51*MACRO!BL$3</f>
        <v>523.14579922109544</v>
      </c>
      <c r="AS204" s="716">
        <f>+AS51*MACRO!BM$3</f>
        <v>575.78536011588858</v>
      </c>
      <c r="AT204" s="716">
        <f>+AT51*MACRO!BN$3</f>
        <v>615.74808560802603</v>
      </c>
      <c r="AU204" s="716">
        <f>+AU51*MACRO!BO$3</f>
        <v>600.84992390868308</v>
      </c>
      <c r="AV204" s="716">
        <f>+AV51*MACRO!BP$3</f>
        <v>627.00895175469464</v>
      </c>
    </row>
    <row r="205" spans="1:48">
      <c r="B205" s="602"/>
      <c r="G205" s="707"/>
      <c r="H205" s="707"/>
      <c r="I205" s="707"/>
      <c r="J205" s="707"/>
      <c r="K205" s="707"/>
      <c r="L205" s="707"/>
      <c r="M205" s="707"/>
      <c r="N205" s="707"/>
      <c r="O205" s="707"/>
      <c r="P205" s="707"/>
      <c r="Q205" s="707"/>
      <c r="R205" s="707"/>
      <c r="S205" s="707"/>
      <c r="T205" s="707"/>
      <c r="U205" s="707"/>
      <c r="V205" s="707"/>
      <c r="W205" s="141"/>
      <c r="X205" s="141"/>
      <c r="Y205" s="141"/>
      <c r="Z205" s="141"/>
      <c r="AA205" s="141"/>
      <c r="AB205" s="141"/>
      <c r="AC205" s="141"/>
      <c r="AD205" s="141"/>
      <c r="AF205" s="141"/>
      <c r="AK205" s="141"/>
      <c r="AL205" s="141"/>
      <c r="AM205" s="141"/>
      <c r="AN205" s="141"/>
      <c r="AO205" s="141"/>
      <c r="AP205" s="141"/>
      <c r="AQ205" s="141"/>
      <c r="AR205" s="141"/>
      <c r="AS205" s="141"/>
      <c r="AT205" s="141"/>
      <c r="AU205" s="141"/>
      <c r="AV205" s="141"/>
    </row>
    <row r="206" spans="1:48" s="726" customFormat="1" ht="15">
      <c r="A206" s="725"/>
      <c r="B206" s="726" t="s">
        <v>732</v>
      </c>
      <c r="G206" s="727">
        <f t="shared" ref="G206:V206" si="142">+G201+G204</f>
        <v>320.48958000000022</v>
      </c>
      <c r="H206" s="727">
        <f t="shared" si="142"/>
        <v>466.57665999999972</v>
      </c>
      <c r="I206" s="727">
        <f t="shared" si="142"/>
        <v>413.27945</v>
      </c>
      <c r="J206" s="727">
        <f t="shared" si="142"/>
        <v>471.70080000000002</v>
      </c>
      <c r="K206" s="727">
        <f t="shared" si="142"/>
        <v>211.9190799999995</v>
      </c>
      <c r="L206" s="727">
        <f t="shared" si="142"/>
        <v>310.17664000000013</v>
      </c>
      <c r="M206" s="727">
        <f t="shared" si="142"/>
        <v>387.16343999999987</v>
      </c>
      <c r="N206" s="727">
        <f t="shared" si="142"/>
        <v>596.7734399999996</v>
      </c>
      <c r="O206" s="727">
        <f t="shared" si="142"/>
        <v>271.39724999999993</v>
      </c>
      <c r="P206" s="727">
        <f t="shared" si="142"/>
        <v>376.03695999999923</v>
      </c>
      <c r="Q206" s="727">
        <f t="shared" si="142"/>
        <v>253.84354000000039</v>
      </c>
      <c r="R206" s="727">
        <f t="shared" si="142"/>
        <v>391.83247999999986</v>
      </c>
      <c r="S206" s="727">
        <f t="shared" si="142"/>
        <v>304.66131000000053</v>
      </c>
      <c r="T206" s="727">
        <f t="shared" si="142"/>
        <v>436.86624000000012</v>
      </c>
      <c r="U206" s="727">
        <f t="shared" si="142"/>
        <v>360.29667999999975</v>
      </c>
      <c r="V206" s="727">
        <f t="shared" si="142"/>
        <v>86.039029999999784</v>
      </c>
      <c r="AK206" s="727">
        <f t="shared" ref="AK206:AV206" si="143">+AK201+AK204</f>
        <v>1672.0464899999999</v>
      </c>
      <c r="AL206" s="727">
        <f t="shared" si="143"/>
        <v>1506.0325999999991</v>
      </c>
      <c r="AM206" s="727">
        <f t="shared" si="143"/>
        <v>1293.1102299999995</v>
      </c>
      <c r="AN206" s="727">
        <f t="shared" si="143"/>
        <v>1187.8632600000001</v>
      </c>
      <c r="AO206" s="727">
        <f t="shared" si="143"/>
        <v>642.45959707733516</v>
      </c>
      <c r="AP206" s="727">
        <f t="shared" si="143"/>
        <v>915.07485376307534</v>
      </c>
      <c r="AQ206" s="727">
        <f t="shared" si="143"/>
        <v>1185.2325175738765</v>
      </c>
      <c r="AR206" s="727">
        <f t="shared" si="143"/>
        <v>1402.3862797425431</v>
      </c>
      <c r="AS206" s="727">
        <f t="shared" si="143"/>
        <v>1672.256962958244</v>
      </c>
      <c r="AT206" s="727">
        <f t="shared" si="143"/>
        <v>1900.6372620063491</v>
      </c>
      <c r="AU206" s="727">
        <f t="shared" si="143"/>
        <v>1895.4954584068078</v>
      </c>
      <c r="AV206" s="727">
        <f t="shared" si="143"/>
        <v>1994.9995509635983</v>
      </c>
    </row>
    <row r="207" spans="1:48" s="729" customFormat="1">
      <c r="A207" s="728"/>
      <c r="B207" s="729" t="s">
        <v>139</v>
      </c>
      <c r="G207" s="730">
        <f t="shared" ref="G207:V207" si="144">+G206/G180</f>
        <v>6.2916188289322661E-2</v>
      </c>
      <c r="H207" s="730">
        <f t="shared" si="144"/>
        <v>9.2937321341420853E-2</v>
      </c>
      <c r="I207" s="730">
        <f t="shared" si="144"/>
        <v>9.0360590573537763E-2</v>
      </c>
      <c r="J207" s="730">
        <f t="shared" si="144"/>
        <v>9.1320706587590089E-2</v>
      </c>
      <c r="K207" s="730">
        <f t="shared" si="144"/>
        <v>5.0558847798364594E-2</v>
      </c>
      <c r="L207" s="730">
        <f t="shared" si="144"/>
        <v>6.9059388208324399E-2</v>
      </c>
      <c r="M207" s="730">
        <f t="shared" si="144"/>
        <v>8.6330935251798524E-2</v>
      </c>
      <c r="N207" s="730">
        <f t="shared" si="144"/>
        <v>0.11703212646608867</v>
      </c>
      <c r="O207" s="730">
        <f t="shared" si="144"/>
        <v>6.0064585575888035E-2</v>
      </c>
      <c r="P207" s="730">
        <f t="shared" si="144"/>
        <v>7.7076706857015898E-2</v>
      </c>
      <c r="Q207" s="730">
        <f t="shared" si="144"/>
        <v>4.5148153349248772E-2</v>
      </c>
      <c r="R207" s="730">
        <f t="shared" si="144"/>
        <v>7.3339516301633698E-2</v>
      </c>
      <c r="S207" s="730">
        <f t="shared" si="144"/>
        <v>6.8160754907742968E-2</v>
      </c>
      <c r="T207" s="730">
        <f t="shared" si="144"/>
        <v>9.4824651004426302E-2</v>
      </c>
      <c r="U207" s="730">
        <f t="shared" si="144"/>
        <v>7.6346801346801302E-2</v>
      </c>
      <c r="V207" s="730">
        <f t="shared" si="144"/>
        <v>1.722290894107948E-2</v>
      </c>
      <c r="AK207" s="730">
        <f t="shared" ref="AK207:AV207" si="145">+AK206/AK180</f>
        <v>8.4220331990732838E-2</v>
      </c>
      <c r="AL207" s="730">
        <f t="shared" si="145"/>
        <v>8.2446205633917094E-2</v>
      </c>
      <c r="AM207" s="730">
        <f t="shared" si="145"/>
        <v>6.3505001079947235E-2</v>
      </c>
      <c r="AN207" s="730">
        <f t="shared" si="145"/>
        <v>6.3212227581888061E-2</v>
      </c>
      <c r="AO207" s="730">
        <f t="shared" si="145"/>
        <v>5.1900463605835938E-2</v>
      </c>
      <c r="AP207" s="730">
        <f t="shared" si="145"/>
        <v>5.9971813017000129E-2</v>
      </c>
      <c r="AQ207" s="730">
        <f t="shared" si="145"/>
        <v>7.6256498161867983E-2</v>
      </c>
      <c r="AR207" s="730">
        <f t="shared" si="145"/>
        <v>8.5432982361090315E-2</v>
      </c>
      <c r="AS207" s="730">
        <f t="shared" si="145"/>
        <v>9.0841189604639994E-2</v>
      </c>
      <c r="AT207" s="730">
        <f t="shared" si="145"/>
        <v>9.5503183196381805E-2</v>
      </c>
      <c r="AU207" s="730">
        <f t="shared" si="145"/>
        <v>9.4527059672508518E-2</v>
      </c>
      <c r="AV207" s="730">
        <f t="shared" si="145"/>
        <v>9.4155125789872507E-2</v>
      </c>
    </row>
    <row r="208" spans="1:48">
      <c r="AO208" s="141"/>
      <c r="AP208" s="141"/>
      <c r="AQ208" s="141"/>
    </row>
    <row r="209" spans="2:48">
      <c r="AO209" s="141"/>
      <c r="AP209" s="141"/>
      <c r="AQ209" s="141"/>
    </row>
    <row r="210" spans="2:48" s="776" customFormat="1">
      <c r="B210" s="776" t="s">
        <v>713</v>
      </c>
      <c r="G210" s="777">
        <f>+G23*MACRO!G$3</f>
        <v>-182.46851999999998</v>
      </c>
      <c r="H210" s="777">
        <f>+H23*MACRO!H$3</f>
        <v>-32.901879999999998</v>
      </c>
      <c r="I210" s="777">
        <f>+I23*MACRO!I$3</f>
        <v>42.8538</v>
      </c>
      <c r="J210" s="777">
        <f>+J23*MACRO!J$3</f>
        <v>-23.716799999999999</v>
      </c>
      <c r="K210" s="777">
        <f>+K23*MACRO!K$3</f>
        <v>-31.442</v>
      </c>
      <c r="L210" s="777">
        <f>+L23*MACRO!L$3</f>
        <v>-111.32896000000001</v>
      </c>
      <c r="M210" s="777">
        <f>+M23*MACRO!M$3</f>
        <v>-19.611219999999999</v>
      </c>
      <c r="N210" s="777">
        <f>+N23*MACRO!N$3</f>
        <v>-77.034480000000002</v>
      </c>
      <c r="O210" s="777">
        <f>+O23*MACRO!O$3</f>
        <v>-35.343250000000005</v>
      </c>
      <c r="P210" s="777">
        <f>+P23*MACRO!P$3</f>
        <v>-85.528559999999999</v>
      </c>
      <c r="Q210" s="777">
        <f>+Q23*MACRO!Q$3</f>
        <v>586.64307999999994</v>
      </c>
      <c r="R210" s="777">
        <f>+R23*MACRO!R$3</f>
        <v>-480.64275999999995</v>
      </c>
      <c r="S210" s="777">
        <f>+S23*MACRO!S$3</f>
        <v>-216.91584</v>
      </c>
      <c r="T210" s="777">
        <f>+T23*MACRO!T$3</f>
        <v>-230.59008000000003</v>
      </c>
      <c r="U210" s="777">
        <f>+U23*MACRO!U$3</f>
        <v>123.14440000000002</v>
      </c>
      <c r="V210" s="777">
        <f>+V23*MACRO!V$3</f>
        <v>0</v>
      </c>
      <c r="AK210" s="710">
        <f>+SUM(G210:J210)</f>
        <v>-196.23339999999999</v>
      </c>
      <c r="AL210" s="710">
        <f>+SUM(K210:N210)</f>
        <v>-239.41666000000001</v>
      </c>
      <c r="AM210" s="710">
        <f>+SUM(O210:R210)</f>
        <v>-14.871489999999994</v>
      </c>
      <c r="AN210" s="710">
        <f>+SUM(S210:V210)</f>
        <v>-324.36152000000004</v>
      </c>
      <c r="AO210" s="718">
        <f>AO23*MACRO!BI$3</f>
        <v>0</v>
      </c>
      <c r="AP210" s="718">
        <f>AP23*MACRO!BJ$3</f>
        <v>0</v>
      </c>
      <c r="AQ210" s="718">
        <f>AQ23*MACRO!BK$3</f>
        <v>0</v>
      </c>
      <c r="AR210" s="718">
        <f>AR23*MACRO!BL$3</f>
        <v>0</v>
      </c>
      <c r="AS210" s="718">
        <f>AS23*MACRO!BM$3</f>
        <v>0</v>
      </c>
      <c r="AT210" s="718">
        <f>AT23*MACRO!BN$3</f>
        <v>0</v>
      </c>
      <c r="AU210" s="718">
        <f>AU23*MACRO!BO$3</f>
        <v>0</v>
      </c>
      <c r="AV210" s="718">
        <f>AV23*MACRO!BP$3</f>
        <v>0</v>
      </c>
    </row>
    <row r="211" spans="2:48">
      <c r="AQ211" s="153"/>
      <c r="AR211" s="153"/>
      <c r="AS211" s="153"/>
      <c r="AT211" s="153"/>
      <c r="AU211" s="153"/>
      <c r="AV211" s="153"/>
    </row>
    <row r="212" spans="2:48" s="778" customFormat="1">
      <c r="B212" s="778" t="s">
        <v>126</v>
      </c>
      <c r="G212" s="779">
        <f t="shared" ref="G212:V212" si="146">+G201+G210</f>
        <v>30.411420000000248</v>
      </c>
      <c r="H212" s="779">
        <f t="shared" si="146"/>
        <v>332.86901999999969</v>
      </c>
      <c r="I212" s="779">
        <f t="shared" si="146"/>
        <v>363.608</v>
      </c>
      <c r="J212" s="779">
        <f t="shared" si="146"/>
        <v>352.45800000000003</v>
      </c>
      <c r="K212" s="779">
        <f t="shared" si="146"/>
        <v>93.697159999999514</v>
      </c>
      <c r="L212" s="779">
        <f t="shared" si="146"/>
        <v>105.21552000000013</v>
      </c>
      <c r="M212" s="779">
        <f t="shared" si="146"/>
        <v>276.13862999999986</v>
      </c>
      <c r="N212" s="779">
        <f t="shared" si="146"/>
        <v>427.42759999999953</v>
      </c>
      <c r="O212" s="779">
        <f t="shared" si="146"/>
        <v>145.58824999999993</v>
      </c>
      <c r="P212" s="779">
        <f t="shared" si="146"/>
        <v>191.26639999999921</v>
      </c>
      <c r="Q212" s="779">
        <f t="shared" si="146"/>
        <v>737.84382000000028</v>
      </c>
      <c r="R212" s="779">
        <f t="shared" si="146"/>
        <v>-189.05536000000006</v>
      </c>
      <c r="S212" s="779">
        <f t="shared" si="146"/>
        <v>-14.687009999999503</v>
      </c>
      <c r="T212" s="779">
        <f t="shared" si="146"/>
        <v>119.60880000000006</v>
      </c>
      <c r="U212" s="779">
        <f t="shared" si="146"/>
        <v>388.10347999999976</v>
      </c>
      <c r="V212" s="779">
        <f t="shared" si="146"/>
        <v>5.3517099999998123</v>
      </c>
      <c r="AK212" s="778">
        <f t="shared" ref="AK212:AV212" si="147">+AK201+AK210</f>
        <v>1079.3464399999998</v>
      </c>
      <c r="AL212" s="778">
        <f t="shared" si="147"/>
        <v>902.47890999999902</v>
      </c>
      <c r="AM212" s="778">
        <f t="shared" si="147"/>
        <v>885.64310999999952</v>
      </c>
      <c r="AN212" s="778">
        <f t="shared" si="147"/>
        <v>498.37698000000012</v>
      </c>
      <c r="AO212" s="782">
        <f t="shared" si="147"/>
        <v>153.35216327835118</v>
      </c>
      <c r="AP212" s="782">
        <f t="shared" si="147"/>
        <v>374.55193456997813</v>
      </c>
      <c r="AQ212" s="782">
        <f t="shared" si="147"/>
        <v>661.54563108266257</v>
      </c>
      <c r="AR212" s="782">
        <f t="shared" si="147"/>
        <v>879.24048052144769</v>
      </c>
      <c r="AS212" s="782">
        <f t="shared" si="147"/>
        <v>1096.4716028423554</v>
      </c>
      <c r="AT212" s="782">
        <f t="shared" si="147"/>
        <v>1284.8891763983231</v>
      </c>
      <c r="AU212" s="782">
        <f t="shared" si="147"/>
        <v>1294.6455344981248</v>
      </c>
      <c r="AV212" s="782">
        <f t="shared" si="147"/>
        <v>1367.9905992089036</v>
      </c>
    </row>
    <row r="213" spans="2:48">
      <c r="H213" s="710"/>
      <c r="I213" s="710"/>
      <c r="J213" s="710"/>
      <c r="K213" s="710"/>
      <c r="L213" s="710"/>
      <c r="M213" s="710"/>
      <c r="N213" s="710"/>
      <c r="O213" s="710"/>
      <c r="P213" s="710"/>
      <c r="Q213" s="710"/>
      <c r="R213" s="710"/>
      <c r="S213" s="710"/>
      <c r="AQ213" s="771"/>
    </row>
    <row r="214" spans="2:48">
      <c r="B214" s="735" t="s">
        <v>754</v>
      </c>
      <c r="G214" s="710">
        <f>-G33*MACRO!G$3</f>
        <v>15.595599999999999</v>
      </c>
      <c r="H214" s="710">
        <f>-H33*MACRO!H$3</f>
        <v>18.55106</v>
      </c>
      <c r="I214" s="710">
        <f>-I33*MACRO!I$3</f>
        <v>11.36275</v>
      </c>
      <c r="J214" s="710">
        <f>-J33*MACRO!J$3</f>
        <v>9.8819999999999997</v>
      </c>
      <c r="K214" s="710">
        <f>-K33*MACRO!K$3</f>
        <v>14.777740000000001</v>
      </c>
      <c r="L214" s="710">
        <f>-L33*MACRO!L$3</f>
        <v>9.9745600000000003</v>
      </c>
      <c r="M214" s="710">
        <f>-M33*MACRO!M$3</f>
        <v>10.75454</v>
      </c>
      <c r="N214" s="710">
        <f>-N33*MACRO!N$3</f>
        <v>11.70144</v>
      </c>
      <c r="O214" s="710">
        <f>-O33*MACRO!O$3</f>
        <v>13.618500000000001</v>
      </c>
      <c r="P214" s="710">
        <f>-P33*MACRO!P$3</f>
        <v>12.630800000000001</v>
      </c>
      <c r="Q214" s="710">
        <f>-Q33*MACRO!Q$3</f>
        <v>16.975539999999999</v>
      </c>
      <c r="R214" s="710">
        <f>-R33*MACRO!R$3</f>
        <v>12.578279999999999</v>
      </c>
      <c r="S214" s="710">
        <f>-S33*MACRO!S$3</f>
        <v>6.4020299999999999</v>
      </c>
      <c r="T214" s="710">
        <f>-T33*MACRO!T$3</f>
        <v>5.8824000000000005</v>
      </c>
      <c r="U214" s="710">
        <f>-U33*MACRO!U$3</f>
        <v>8.3420400000000008</v>
      </c>
      <c r="V214" s="710">
        <f>-V33*MACRO!V$3</f>
        <v>9.8800799999999978</v>
      </c>
      <c r="AK214" s="710">
        <f>+SUM(G214:J214)</f>
        <v>55.391409999999993</v>
      </c>
      <c r="AL214" s="710">
        <f>+SUM(K214:N214)</f>
        <v>47.208280000000002</v>
      </c>
      <c r="AM214" s="710">
        <f>+SUM(O214:R214)</f>
        <v>55.80312</v>
      </c>
      <c r="AN214" s="710">
        <f>+SUM(S214:V214)</f>
        <v>30.506549999999997</v>
      </c>
      <c r="AO214" s="715">
        <f>-AO33*MACRO!BI$3</f>
        <v>41.8342259765625</v>
      </c>
      <c r="AP214" s="715">
        <f>-AP33*MACRO!BJ$3</f>
        <v>44.352220921669002</v>
      </c>
      <c r="AQ214" s="715">
        <f>-AQ33*MACRO!BK$3</f>
        <v>50.791683206176764</v>
      </c>
      <c r="AR214" s="715">
        <f>-AR33*MACRO!BL$3</f>
        <v>42.263226775095468</v>
      </c>
      <c r="AS214" s="715">
        <f>-AS33*MACRO!BM$3</f>
        <v>46.491475950462217</v>
      </c>
      <c r="AT214" s="715">
        <f>-AT33*MACRO!BN$3</f>
        <v>49.113261838490509</v>
      </c>
      <c r="AU214" s="715">
        <f>-AU33*MACRO!BO$3</f>
        <v>47.489553263694532</v>
      </c>
      <c r="AV214" s="715">
        <f>-AV33*MACRO!BP$3</f>
        <v>47.046291291420275</v>
      </c>
    </row>
    <row r="215" spans="2:48">
      <c r="B215" s="735" t="s">
        <v>755</v>
      </c>
      <c r="G215" s="710">
        <f>-G30*MACRO!G$3</f>
        <v>-127.49403000000001</v>
      </c>
      <c r="H215" s="710">
        <f>-H30*MACRO!H$3</f>
        <v>-116.20664000000001</v>
      </c>
      <c r="I215" s="710">
        <f>-I30*MACRO!I$3</f>
        <v>-111.67960000000001</v>
      </c>
      <c r="J215" s="710">
        <f>-J30*MACRO!J$3</f>
        <v>-119.5722</v>
      </c>
      <c r="K215" s="710">
        <f>-K30*MACRO!K$3</f>
        <v>-110.36142000000001</v>
      </c>
      <c r="L215" s="710">
        <f>-L30*MACRO!L$3</f>
        <v>-116.15536</v>
      </c>
      <c r="M215" s="710">
        <f>-M30*MACRO!M$3</f>
        <v>-110.07588</v>
      </c>
      <c r="N215" s="710">
        <f>-N30*MACRO!N$3</f>
        <v>-113.11391999999999</v>
      </c>
      <c r="O215" s="710">
        <f>-O30*MACRO!O$3</f>
        <v>-117.37850000000002</v>
      </c>
      <c r="P215" s="710">
        <f>-P30*MACRO!P$3</f>
        <v>-124.50360000000001</v>
      </c>
      <c r="Q215" s="710">
        <f>-Q30*MACRO!Q$3</f>
        <v>-123.56614</v>
      </c>
      <c r="R215" s="710">
        <f>-R30*MACRO!R$3</f>
        <v>-124.25816</v>
      </c>
      <c r="S215" s="710">
        <f>-S30*MACRO!S$3</f>
        <v>-125.02788000000001</v>
      </c>
      <c r="T215" s="710">
        <f>-T30*MACRO!T$3</f>
        <v>-120.39312000000001</v>
      </c>
      <c r="U215" s="710">
        <f>-U30*MACRO!U$3</f>
        <v>-127.1168</v>
      </c>
      <c r="V215" s="710">
        <f>-V30*MACRO!V$3</f>
        <v>-130.49938999999995</v>
      </c>
      <c r="AK215" s="710">
        <f>+SUM(G215:J215)</f>
        <v>-474.95247000000001</v>
      </c>
      <c r="AL215" s="710">
        <f>+SUM(K215:N215)</f>
        <v>-449.70658000000003</v>
      </c>
      <c r="AM215" s="710">
        <f>+SUM(O215:R215)</f>
        <v>-489.70640000000003</v>
      </c>
      <c r="AN215" s="710">
        <f>+SUM(S215:V215)</f>
        <v>-503.03718999999995</v>
      </c>
      <c r="AO215" s="715">
        <f>-AO30*MACRO!BI$3</f>
        <v>-655.18592109374993</v>
      </c>
      <c r="AP215" s="715">
        <f>-AP30*MACRO!BJ$3</f>
        <v>-685.46181551742541</v>
      </c>
      <c r="AQ215" s="715">
        <f>-AQ30*MACRO!BK$3</f>
        <v>-666.68676600341803</v>
      </c>
      <c r="AR215" s="715">
        <f>-AR30*MACRO!BL$3</f>
        <v>-637.41546614577294</v>
      </c>
      <c r="AS215" s="715">
        <f>-AS30*MACRO!BM$3</f>
        <v>-685.7850323827671</v>
      </c>
      <c r="AT215" s="715">
        <f>-AT30*MACRO!BN$3</f>
        <v>-714.14316785952747</v>
      </c>
      <c r="AU215" s="715">
        <f>-AU30*MACRO!BO$3</f>
        <v>-680.55442238995658</v>
      </c>
      <c r="AV215" s="715">
        <f>-AV30*MACRO!BP$3</f>
        <v>-690.19287320201636</v>
      </c>
    </row>
    <row r="216" spans="2:48">
      <c r="B216" s="735" t="s">
        <v>756</v>
      </c>
      <c r="G216" s="710">
        <f>(-G32-G35)*MACRO!G$3</f>
        <v>-534.92907999999989</v>
      </c>
      <c r="H216" s="710">
        <f>(-H32-H35)*MACRO!H$3</f>
        <v>16.450939999999999</v>
      </c>
      <c r="I216" s="710">
        <f>(-I32-I35)*MACRO!I$3</f>
        <v>-21.102250000000002</v>
      </c>
      <c r="J216" s="710">
        <f>(-J32-J35)*MACRO!J$3</f>
        <v>-101.78460000000001</v>
      </c>
      <c r="K216" s="710">
        <f>(-K32-K35)*MACRO!K$3</f>
        <v>-19.17962</v>
      </c>
      <c r="L216" s="710">
        <f>(-L32-L35)*MACRO!L$3</f>
        <v>-38.289439999999999</v>
      </c>
      <c r="M216" s="710">
        <f>(-M32-M35)*MACRO!M$3</f>
        <v>-24.988490000000002</v>
      </c>
      <c r="N216" s="710">
        <f>(-N32-N35)*MACRO!N$3</f>
        <v>-28.278479999999998</v>
      </c>
      <c r="O216" s="710">
        <f>(-O32-O35)*MACRO!O$3</f>
        <v>-8.1062500000000011</v>
      </c>
      <c r="P216" s="710">
        <f>(-P32-P35)*MACRO!P$3</f>
        <v>-80.47623999999999</v>
      </c>
      <c r="Q216" s="710">
        <f>(-Q32-Q35)*MACRO!Q$3</f>
        <v>87.641159999999999</v>
      </c>
      <c r="R216" s="710">
        <f>(-R32-R35)*MACRO!R$3</f>
        <v>-19.820319999999999</v>
      </c>
      <c r="S216" s="710">
        <f>(-S32-S35)*MACRO!S$3</f>
        <v>77.577539999999999</v>
      </c>
      <c r="T216" s="710">
        <f>(-T32-T35)*MACRO!T$3</f>
        <v>26.666879999999999</v>
      </c>
      <c r="U216" s="710">
        <f>(-U32-U35)*MACRO!U$3</f>
        <v>197.82551999999998</v>
      </c>
      <c r="V216" s="710">
        <f>(-V32-V35)*MACRO!V$3</f>
        <v>22.230180000000022</v>
      </c>
      <c r="AK216" s="710">
        <f>+SUM(G216:J216)</f>
        <v>-641.36499000000003</v>
      </c>
      <c r="AL216" s="710">
        <f>+SUM(K216:N216)</f>
        <v>-110.73603</v>
      </c>
      <c r="AM216" s="710">
        <f>+SUM(O216:R216)</f>
        <v>-20.761649999999992</v>
      </c>
      <c r="AN216" s="774">
        <f>+SUM(S216:V216)</f>
        <v>324.30011999999999</v>
      </c>
      <c r="AO216" s="715">
        <f>(-AO32-AO35)*MACRO!BI$3</f>
        <v>0</v>
      </c>
      <c r="AP216" s="715">
        <f>(-AP32-AP35)*MACRO!BJ$3</f>
        <v>0</v>
      </c>
      <c r="AQ216" s="715">
        <f>(-AQ32-AQ35)*MACRO!BK$3</f>
        <v>0</v>
      </c>
      <c r="AR216" s="715">
        <f>(-AR32-AR35)*MACRO!BL$3</f>
        <v>0</v>
      </c>
      <c r="AS216" s="715">
        <f>(-AS32-AS35)*MACRO!BM$3</f>
        <v>0</v>
      </c>
      <c r="AT216" s="715">
        <f>(-AT32-AT35)*MACRO!BN$3</f>
        <v>0</v>
      </c>
      <c r="AU216" s="715">
        <f>(-AU32-AU35)*MACRO!BO$3</f>
        <v>0</v>
      </c>
      <c r="AV216" s="715">
        <f>(-AV32-AV35)*MACRO!BP$3</f>
        <v>0</v>
      </c>
    </row>
    <row r="217" spans="2:48" s="85" customFormat="1">
      <c r="B217" s="736" t="s">
        <v>757</v>
      </c>
      <c r="G217" s="738">
        <f t="shared" ref="G217:V217" si="148">+G214+G215+G216</f>
        <v>-646.82750999999985</v>
      </c>
      <c r="H217" s="738">
        <f t="shared" si="148"/>
        <v>-81.204640000000012</v>
      </c>
      <c r="I217" s="738">
        <f t="shared" si="148"/>
        <v>-121.4191</v>
      </c>
      <c r="J217" s="738">
        <f t="shared" si="148"/>
        <v>-211.47480000000002</v>
      </c>
      <c r="K217" s="738">
        <f t="shared" si="148"/>
        <v>-114.76330000000002</v>
      </c>
      <c r="L217" s="738">
        <f t="shared" si="148"/>
        <v>-144.47023999999999</v>
      </c>
      <c r="M217" s="738">
        <f t="shared" si="148"/>
        <v>-124.30982999999999</v>
      </c>
      <c r="N217" s="738">
        <f t="shared" si="148"/>
        <v>-129.69095999999999</v>
      </c>
      <c r="O217" s="738">
        <f t="shared" si="148"/>
        <v>-111.86625000000002</v>
      </c>
      <c r="P217" s="738">
        <f t="shared" si="148"/>
        <v>-192.34904</v>
      </c>
      <c r="Q217" s="738">
        <f t="shared" si="148"/>
        <v>-18.94944000000001</v>
      </c>
      <c r="R217" s="738">
        <f t="shared" si="148"/>
        <v>-131.50020000000001</v>
      </c>
      <c r="S217" s="738">
        <f t="shared" si="148"/>
        <v>-41.048310000000015</v>
      </c>
      <c r="T217" s="738">
        <f t="shared" si="148"/>
        <v>-87.84384</v>
      </c>
      <c r="U217" s="738">
        <f t="shared" si="148"/>
        <v>79.050759999999983</v>
      </c>
      <c r="V217" s="738">
        <f t="shared" si="148"/>
        <v>-98.389129999999938</v>
      </c>
      <c r="AK217" s="738">
        <f>+SUM(G217:J217)</f>
        <v>-1060.9260499999998</v>
      </c>
      <c r="AL217" s="738">
        <f>+SUM(K217:N217)</f>
        <v>-513.23433</v>
      </c>
      <c r="AM217" s="738">
        <f>+SUM(O217:R217)</f>
        <v>-454.66493000000008</v>
      </c>
      <c r="AN217" s="738">
        <f>+SUM(S217:V217)</f>
        <v>-148.23051999999996</v>
      </c>
      <c r="AO217" s="740">
        <f t="shared" ref="AO217:AV217" si="149">+AO214+AO215+AO216</f>
        <v>-613.35169511718743</v>
      </c>
      <c r="AP217" s="740">
        <f t="shared" si="149"/>
        <v>-641.10959459575645</v>
      </c>
      <c r="AQ217" s="740">
        <f t="shared" si="149"/>
        <v>-615.89508279724123</v>
      </c>
      <c r="AR217" s="740">
        <f t="shared" si="149"/>
        <v>-595.15223937067742</v>
      </c>
      <c r="AS217" s="740">
        <f t="shared" si="149"/>
        <v>-639.29355643230485</v>
      </c>
      <c r="AT217" s="740">
        <f t="shared" si="149"/>
        <v>-665.02990602103694</v>
      </c>
      <c r="AU217" s="740">
        <f t="shared" si="149"/>
        <v>-633.06486912626201</v>
      </c>
      <c r="AV217" s="740">
        <f t="shared" si="149"/>
        <v>-643.14658191059607</v>
      </c>
    </row>
    <row r="218" spans="2:48">
      <c r="B218" s="736"/>
      <c r="AM218" s="141"/>
      <c r="AO218" s="141"/>
      <c r="AP218" s="141"/>
      <c r="AQ218" s="141"/>
      <c r="AR218" s="741"/>
      <c r="AS218" s="741"/>
      <c r="AT218" s="741"/>
      <c r="AU218" s="741"/>
      <c r="AV218" s="741"/>
    </row>
    <row r="219" spans="2:48">
      <c r="B219" s="735" t="s">
        <v>758</v>
      </c>
      <c r="G219" s="710">
        <f>(-G36)*MACRO!G$3</f>
        <v>0</v>
      </c>
      <c r="H219" s="710">
        <f>(-H36)*MACRO!H$3</f>
        <v>0</v>
      </c>
      <c r="I219" s="710">
        <f>(-I36)*MACRO!I$3</f>
        <v>0</v>
      </c>
      <c r="J219" s="710">
        <f>(-J36)*MACRO!J$3</f>
        <v>0</v>
      </c>
      <c r="K219" s="710">
        <f>(-K36)*MACRO!K$3</f>
        <v>0</v>
      </c>
      <c r="L219" s="710">
        <f>(-L36)*MACRO!L$3</f>
        <v>0</v>
      </c>
      <c r="M219" s="710">
        <f>(-M36)*MACRO!M$3</f>
        <v>0</v>
      </c>
      <c r="N219" s="710">
        <f>(-N36)*MACRO!N$3</f>
        <v>0</v>
      </c>
      <c r="O219" s="710">
        <f>(-O36)*MACRO!O$3</f>
        <v>0</v>
      </c>
      <c r="P219" s="710">
        <f>(-P36)*MACRO!P$3</f>
        <v>0</v>
      </c>
      <c r="Q219" s="710">
        <f>(-Q36)*MACRO!Q$3</f>
        <v>0</v>
      </c>
      <c r="R219" s="710">
        <f>(-R36)*MACRO!R$3</f>
        <v>0</v>
      </c>
      <c r="S219" s="710">
        <f>(-S36)*MACRO!S$3</f>
        <v>38.78877</v>
      </c>
      <c r="T219" s="710">
        <f>(-T36)*MACRO!T$3</f>
        <v>51.765120000000003</v>
      </c>
      <c r="U219" s="710">
        <f>(-U36)*MACRO!U$3</f>
        <v>106.46032</v>
      </c>
      <c r="V219" s="710">
        <f>(-V36)*MACRO!V$3</f>
        <v>-0.82333999999998242</v>
      </c>
      <c r="AK219" s="710">
        <f>+SUM(G219:J219)</f>
        <v>0</v>
      </c>
      <c r="AL219" s="710">
        <f>+SUM(K219:N219)</f>
        <v>0</v>
      </c>
      <c r="AM219" s="710">
        <f>+SUM(O219:R219)</f>
        <v>0</v>
      </c>
      <c r="AN219" s="774">
        <f>+SUM(S219:V219)</f>
        <v>196.19087000000002</v>
      </c>
      <c r="AO219" s="715">
        <f>(-AO36)*MACRO!BI$3</f>
        <v>0</v>
      </c>
      <c r="AP219" s="715">
        <f>(-AP36)*MACRO!BJ$3</f>
        <v>0</v>
      </c>
      <c r="AQ219" s="715">
        <f>(-AQ36)*MACRO!BK$3</f>
        <v>0</v>
      </c>
      <c r="AR219" s="715">
        <f>(-AR36)*MACRO!BL$3</f>
        <v>0</v>
      </c>
      <c r="AS219" s="715">
        <f>(-AS36)*MACRO!BM$3</f>
        <v>0</v>
      </c>
      <c r="AT219" s="715">
        <f>(-AT36)*MACRO!BN$3</f>
        <v>0</v>
      </c>
      <c r="AU219" s="715">
        <f>(-AU36)*MACRO!BO$3</f>
        <v>0</v>
      </c>
      <c r="AV219" s="715">
        <f>(-AV36)*MACRO!BP$3</f>
        <v>0</v>
      </c>
    </row>
    <row r="220" spans="2:48">
      <c r="B220" s="737"/>
      <c r="AO220" s="741"/>
      <c r="AP220" s="741"/>
      <c r="AQ220" s="741"/>
      <c r="AR220" s="741"/>
      <c r="AS220" s="741"/>
      <c r="AT220" s="741"/>
      <c r="AU220" s="741"/>
      <c r="AV220" s="741"/>
    </row>
    <row r="221" spans="2:48">
      <c r="B221" s="736" t="s">
        <v>759</v>
      </c>
      <c r="G221" s="738">
        <f t="shared" ref="G221:V221" si="150">+G212+G217+G219</f>
        <v>-616.4160899999996</v>
      </c>
      <c r="H221" s="738">
        <f t="shared" si="150"/>
        <v>251.66437999999968</v>
      </c>
      <c r="I221" s="738">
        <f t="shared" si="150"/>
        <v>242.18889999999999</v>
      </c>
      <c r="J221" s="738">
        <f t="shared" si="150"/>
        <v>140.98320000000001</v>
      </c>
      <c r="K221" s="738">
        <f t="shared" si="150"/>
        <v>-21.066140000000502</v>
      </c>
      <c r="L221" s="738">
        <f t="shared" si="150"/>
        <v>-39.254719999999864</v>
      </c>
      <c r="M221" s="738">
        <f t="shared" si="150"/>
        <v>151.82879999999989</v>
      </c>
      <c r="N221" s="738">
        <f t="shared" si="150"/>
        <v>297.73663999999951</v>
      </c>
      <c r="O221" s="738">
        <f t="shared" si="150"/>
        <v>33.721999999999909</v>
      </c>
      <c r="P221" s="738">
        <f t="shared" si="150"/>
        <v>-1.0826400000007936</v>
      </c>
      <c r="Q221" s="738">
        <f t="shared" si="150"/>
        <v>718.8943800000003</v>
      </c>
      <c r="R221" s="738">
        <f t="shared" si="150"/>
        <v>-320.55556000000007</v>
      </c>
      <c r="S221" s="738">
        <f t="shared" si="150"/>
        <v>-16.946549999999519</v>
      </c>
      <c r="T221" s="738">
        <f t="shared" si="150"/>
        <v>83.530080000000055</v>
      </c>
      <c r="U221" s="738">
        <f t="shared" si="150"/>
        <v>573.61455999999976</v>
      </c>
      <c r="V221" s="738">
        <f t="shared" si="150"/>
        <v>-93.860760000000113</v>
      </c>
      <c r="AK221" s="738">
        <f t="shared" ref="AK221:AV221" si="151">+AK212+AK217+AK219</f>
        <v>18.420389999999998</v>
      </c>
      <c r="AL221" s="738">
        <f t="shared" si="151"/>
        <v>389.24457999999902</v>
      </c>
      <c r="AM221" s="738">
        <f t="shared" si="151"/>
        <v>430.97817999999944</v>
      </c>
      <c r="AN221" s="738">
        <f t="shared" si="151"/>
        <v>546.33733000000018</v>
      </c>
      <c r="AO221" s="740">
        <f t="shared" si="151"/>
        <v>-459.99953183883622</v>
      </c>
      <c r="AP221" s="740">
        <f t="shared" si="151"/>
        <v>-266.55766002577832</v>
      </c>
      <c r="AQ221" s="740">
        <f t="shared" si="151"/>
        <v>45.650548285421337</v>
      </c>
      <c r="AR221" s="740">
        <f t="shared" si="151"/>
        <v>284.08824115077027</v>
      </c>
      <c r="AS221" s="740">
        <f t="shared" si="151"/>
        <v>457.17804641005057</v>
      </c>
      <c r="AT221" s="740">
        <f t="shared" si="151"/>
        <v>619.85927037728618</v>
      </c>
      <c r="AU221" s="740">
        <f t="shared" si="151"/>
        <v>661.58066537186278</v>
      </c>
      <c r="AV221" s="740">
        <f t="shared" si="151"/>
        <v>724.84401729830756</v>
      </c>
    </row>
    <row r="222" spans="2:48" s="706" customFormat="1">
      <c r="B222" s="709"/>
      <c r="Q222" s="775"/>
      <c r="R222" s="775"/>
      <c r="S222" s="775"/>
      <c r="T222" s="775"/>
      <c r="U222" s="775"/>
      <c r="V222" s="775"/>
      <c r="AO222" s="141"/>
      <c r="AP222" s="141"/>
      <c r="AQ222" s="141"/>
    </row>
    <row r="223" spans="2:48">
      <c r="B223" s="735" t="s">
        <v>760</v>
      </c>
      <c r="G223" s="710">
        <f>G40*MACRO!G$3</f>
        <v>8.9674699999999987</v>
      </c>
      <c r="H223" s="710">
        <f>H40*MACRO!H$3</f>
        <v>-126.35722</v>
      </c>
      <c r="I223" s="710">
        <f>I40*MACRO!I$3</f>
        <v>-124.34094999999999</v>
      </c>
      <c r="J223" s="710">
        <f>J40*MACRO!J$3</f>
        <v>-172.935</v>
      </c>
      <c r="K223" s="710">
        <f>K40*MACRO!K$3</f>
        <v>-93.697160000000011</v>
      </c>
      <c r="L223" s="710">
        <f>L40*MACRO!L$3</f>
        <v>-108.11136</v>
      </c>
      <c r="M223" s="710">
        <f>M40*MACRO!M$3</f>
        <v>-114.18791</v>
      </c>
      <c r="N223" s="710">
        <f>N40*MACRO!N$3</f>
        <v>-3.9004799999999999</v>
      </c>
      <c r="O223" s="710">
        <f>O40*MACRO!O$3</f>
        <v>-102.13875</v>
      </c>
      <c r="P223" s="710">
        <f>P40*MACRO!P$3</f>
        <v>-132.44296</v>
      </c>
      <c r="Q223" s="710">
        <f>Q40*MACRO!Q$3</f>
        <v>-269.63473999999997</v>
      </c>
      <c r="R223" s="710">
        <f>R40*MACRO!R$3</f>
        <v>25.156559999999999</v>
      </c>
      <c r="S223" s="710">
        <f>S40*MACRO!S$3</f>
        <v>-73.43504999999999</v>
      </c>
      <c r="T223" s="710">
        <f>T40*MACRO!T$3</f>
        <v>-106.66752</v>
      </c>
      <c r="U223" s="710">
        <f>U40*MACRO!U$3</f>
        <v>-125.1306</v>
      </c>
      <c r="V223" s="710">
        <f>V40*MACRO!V$3</f>
        <v>-102.50582999999996</v>
      </c>
      <c r="AK223" s="710">
        <f>+SUM(G223:J223)</f>
        <v>-414.66570000000002</v>
      </c>
      <c r="AL223" s="710">
        <f>+SUM(K223:N223)</f>
        <v>-319.89691000000005</v>
      </c>
      <c r="AM223" s="710">
        <f>+SUM(O223:R223)</f>
        <v>-479.05988999999994</v>
      </c>
      <c r="AN223" s="710">
        <f>+SUM(S223:V223)</f>
        <v>-407.73899999999992</v>
      </c>
      <c r="AO223" s="715">
        <f>+AO40*MACRO!BI3</f>
        <v>137.99985955165087</v>
      </c>
      <c r="AP223" s="715">
        <f>+AP40*MACRO!BJ3</f>
        <v>79.967298007733476</v>
      </c>
      <c r="AQ223" s="715">
        <f>+AQ40*MACRO!BK3</f>
        <v>-13.695164485626394</v>
      </c>
      <c r="AR223" s="715">
        <f>+AR40*MACRO!BL3</f>
        <v>-85.226472345231045</v>
      </c>
      <c r="AS223" s="715">
        <f>+AS40*MACRO!BM3</f>
        <v>-137.15341392301511</v>
      </c>
      <c r="AT223" s="715">
        <f>+AT40*MACRO!BN3</f>
        <v>-185.9577811131858</v>
      </c>
      <c r="AU223" s="715">
        <f>+AU40*MACRO!BO3</f>
        <v>-198.47419961155876</v>
      </c>
      <c r="AV223" s="715">
        <f>+AV40*MACRO!BP3</f>
        <v>-217.45320518949219</v>
      </c>
    </row>
    <row r="224" spans="2:48">
      <c r="B224" s="737" t="s">
        <v>761</v>
      </c>
      <c r="G224" s="739">
        <f t="shared" ref="G224:V224" si="152">+G223/G221</f>
        <v>-1.4547754585705256E-2</v>
      </c>
      <c r="H224" s="739">
        <f t="shared" si="152"/>
        <v>-0.50208623087621762</v>
      </c>
      <c r="I224" s="739">
        <f t="shared" si="152"/>
        <v>-0.51340482573726542</v>
      </c>
      <c r="J224" s="739">
        <f t="shared" si="152"/>
        <v>-1.2266355140186915</v>
      </c>
      <c r="K224" s="739">
        <f t="shared" si="152"/>
        <v>4.447761194029745</v>
      </c>
      <c r="L224" s="739">
        <f t="shared" si="152"/>
        <v>2.7540983606557474</v>
      </c>
      <c r="M224" s="739">
        <f t="shared" si="152"/>
        <v>-0.75208333333333388</v>
      </c>
      <c r="N224" s="739">
        <f t="shared" si="152"/>
        <v>-1.3100436681222729E-2</v>
      </c>
      <c r="O224" s="739">
        <f t="shared" si="152"/>
        <v>-3.0288461538461622</v>
      </c>
      <c r="P224" s="739">
        <f t="shared" si="152"/>
        <v>122.33333333324366</v>
      </c>
      <c r="Q224" s="739">
        <f t="shared" si="152"/>
        <v>-0.37506864360241604</v>
      </c>
      <c r="R224" s="739">
        <f t="shared" si="152"/>
        <v>-7.8478002378121262E-2</v>
      </c>
      <c r="S224" s="739">
        <f t="shared" si="152"/>
        <v>4.3333333333334556</v>
      </c>
      <c r="T224" s="739">
        <f t="shared" si="152"/>
        <v>-1.2769953051643184</v>
      </c>
      <c r="U224" s="739">
        <f t="shared" si="152"/>
        <v>-0.21814404432132972</v>
      </c>
      <c r="V224" s="739">
        <f t="shared" si="152"/>
        <v>1.0921052631578929</v>
      </c>
      <c r="AK224" s="739">
        <f t="shared" ref="AK224:AV224" si="153">+AK223/AK221</f>
        <v>-22.511233475512736</v>
      </c>
      <c r="AL224" s="739">
        <f t="shared" si="153"/>
        <v>-0.82184037090510254</v>
      </c>
      <c r="AM224" s="739">
        <f t="shared" si="153"/>
        <v>-1.1115641399757188</v>
      </c>
      <c r="AN224" s="739">
        <f t="shared" si="153"/>
        <v>-0.74631363740054113</v>
      </c>
      <c r="AO224" s="739">
        <f t="shared" si="153"/>
        <v>-0.3</v>
      </c>
      <c r="AP224" s="739">
        <f t="shared" si="153"/>
        <v>-0.29999999999999993</v>
      </c>
      <c r="AQ224" s="739">
        <f t="shared" si="153"/>
        <v>-0.29999999999999988</v>
      </c>
      <c r="AR224" s="739">
        <f t="shared" si="153"/>
        <v>-0.29999999999999988</v>
      </c>
      <c r="AS224" s="739">
        <f t="shared" si="153"/>
        <v>-0.29999999999999988</v>
      </c>
      <c r="AT224" s="739">
        <f t="shared" si="153"/>
        <v>-0.29999999999999993</v>
      </c>
      <c r="AU224" s="739">
        <f t="shared" si="153"/>
        <v>-0.29999999999999988</v>
      </c>
      <c r="AV224" s="739">
        <f t="shared" si="153"/>
        <v>-0.29999999999999988</v>
      </c>
    </row>
    <row r="225" spans="1:48">
      <c r="B225" s="737"/>
      <c r="G225" s="739"/>
      <c r="H225" s="739"/>
      <c r="I225" s="739"/>
      <c r="J225" s="739"/>
      <c r="K225" s="739"/>
      <c r="L225" s="739"/>
      <c r="M225" s="739"/>
      <c r="N225" s="739"/>
      <c r="O225" s="739"/>
      <c r="P225" s="739"/>
      <c r="Q225" s="780"/>
      <c r="R225" s="780"/>
      <c r="S225" s="780"/>
      <c r="T225" s="739"/>
      <c r="U225" s="739"/>
      <c r="V225" s="739"/>
    </row>
    <row r="226" spans="1:48">
      <c r="B226" s="736" t="s">
        <v>762</v>
      </c>
      <c r="G226" s="738">
        <f t="shared" ref="G226:V226" si="154">+G221+G223</f>
        <v>-607.44861999999955</v>
      </c>
      <c r="H226" s="738">
        <f t="shared" si="154"/>
        <v>125.30715999999968</v>
      </c>
      <c r="I226" s="738">
        <f t="shared" si="154"/>
        <v>117.84795</v>
      </c>
      <c r="J226" s="738">
        <f t="shared" si="154"/>
        <v>-31.951799999999992</v>
      </c>
      <c r="K226" s="738">
        <f t="shared" si="154"/>
        <v>-114.76330000000051</v>
      </c>
      <c r="L226" s="738">
        <f t="shared" si="154"/>
        <v>-147.36607999999987</v>
      </c>
      <c r="M226" s="738">
        <f t="shared" si="154"/>
        <v>37.640889999999885</v>
      </c>
      <c r="N226" s="738">
        <f t="shared" si="154"/>
        <v>293.8361599999995</v>
      </c>
      <c r="O226" s="738">
        <f t="shared" si="154"/>
        <v>-68.416750000000093</v>
      </c>
      <c r="P226" s="738">
        <f t="shared" si="154"/>
        <v>-133.52560000000079</v>
      </c>
      <c r="Q226" s="738">
        <f t="shared" si="154"/>
        <v>449.25964000000033</v>
      </c>
      <c r="R226" s="738">
        <f t="shared" si="154"/>
        <v>-295.39900000000006</v>
      </c>
      <c r="S226" s="738">
        <f t="shared" si="154"/>
        <v>-90.381599999999509</v>
      </c>
      <c r="T226" s="738">
        <f t="shared" si="154"/>
        <v>-23.137439999999941</v>
      </c>
      <c r="U226" s="738">
        <f t="shared" si="154"/>
        <v>448.48395999999974</v>
      </c>
      <c r="V226" s="738">
        <f t="shared" si="154"/>
        <v>-196.36659000000009</v>
      </c>
      <c r="AK226" s="738">
        <f t="shared" ref="AK226:AV226" si="155">+AK221+AK223</f>
        <v>-396.24531000000002</v>
      </c>
      <c r="AL226" s="738">
        <f t="shared" si="155"/>
        <v>69.347669999998971</v>
      </c>
      <c r="AM226" s="738">
        <f t="shared" si="155"/>
        <v>-48.081710000000498</v>
      </c>
      <c r="AN226" s="738">
        <f t="shared" si="155"/>
        <v>138.59833000000026</v>
      </c>
      <c r="AO226" s="740">
        <f t="shared" si="155"/>
        <v>-321.99967228718538</v>
      </c>
      <c r="AP226" s="740">
        <f t="shared" si="155"/>
        <v>-186.59036201804486</v>
      </c>
      <c r="AQ226" s="740">
        <f t="shared" si="155"/>
        <v>31.955383799794944</v>
      </c>
      <c r="AR226" s="740">
        <f t="shared" si="155"/>
        <v>198.86176880553921</v>
      </c>
      <c r="AS226" s="740">
        <f t="shared" si="155"/>
        <v>320.02463248703543</v>
      </c>
      <c r="AT226" s="740">
        <f t="shared" si="155"/>
        <v>433.90148926410041</v>
      </c>
      <c r="AU226" s="740">
        <f t="shared" si="155"/>
        <v>463.10646576030399</v>
      </c>
      <c r="AV226" s="740">
        <f t="shared" si="155"/>
        <v>507.39081210881534</v>
      </c>
    </row>
    <row r="227" spans="1:48">
      <c r="B227" s="735" t="s">
        <v>763</v>
      </c>
      <c r="G227" s="710">
        <f>G44*MACRO!G$3</f>
        <v>-37.42944</v>
      </c>
      <c r="H227" s="710">
        <f>H44*MACRO!H$3</f>
        <v>-9.1005199999999995</v>
      </c>
      <c r="I227" s="710">
        <f>I44*MACRO!I$3</f>
        <v>-2.2725499999999998</v>
      </c>
      <c r="J227" s="710">
        <f>J44*MACRO!J$3</f>
        <v>-3.6234000000000002</v>
      </c>
      <c r="K227" s="710">
        <f>K44*MACRO!K$3</f>
        <v>0</v>
      </c>
      <c r="L227" s="710">
        <f>L44*MACRO!L$3</f>
        <v>0</v>
      </c>
      <c r="M227" s="710">
        <f>M44*MACRO!M$3</f>
        <v>0</v>
      </c>
      <c r="N227" s="710">
        <f>N44*MACRO!N$3</f>
        <v>0</v>
      </c>
      <c r="O227" s="710">
        <f>O44*MACRO!O$3</f>
        <v>0</v>
      </c>
      <c r="P227" s="710">
        <f>P44*MACRO!P$3</f>
        <v>0</v>
      </c>
      <c r="Q227" s="710">
        <f>Q44*MACRO!Q$3</f>
        <v>0</v>
      </c>
      <c r="R227" s="710">
        <f>R44*MACRO!R$3</f>
        <v>0</v>
      </c>
      <c r="S227" s="710">
        <f>S44*MACRO!S$3</f>
        <v>-35.776049999999998</v>
      </c>
      <c r="T227" s="710">
        <f>T44*MACRO!T$3</f>
        <v>-51.765120000000003</v>
      </c>
      <c r="U227" s="710">
        <f>U44*MACRO!U$3</f>
        <v>-25.026119999999999</v>
      </c>
      <c r="V227" s="710">
        <f>V44*MACRO!V$3</f>
        <v>-31.286920000000006</v>
      </c>
      <c r="AK227" s="710">
        <f>+SUM(G227:J227)</f>
        <v>-52.425910000000002</v>
      </c>
      <c r="AL227" s="710">
        <f>+SUM(K227:N227)</f>
        <v>0</v>
      </c>
      <c r="AM227" s="710">
        <f>+SUM(O227:R227)</f>
        <v>0</v>
      </c>
      <c r="AN227" s="710">
        <f>+SUM(S227:V227)</f>
        <v>-143.85420999999999</v>
      </c>
      <c r="AO227" s="781">
        <f>AO44*MACRO!BI$3</f>
        <v>0</v>
      </c>
      <c r="AP227" s="781">
        <f>AP44*MACRO!BJ$3</f>
        <v>0</v>
      </c>
      <c r="AQ227" s="781">
        <f>AQ44*MACRO!BK$3</f>
        <v>0</v>
      </c>
      <c r="AR227" s="781">
        <f>AR44*MACRO!BL$3</f>
        <v>0</v>
      </c>
      <c r="AS227" s="781">
        <f>AS44*MACRO!BM$3</f>
        <v>0</v>
      </c>
      <c r="AT227" s="781">
        <f>AT44*MACRO!BN$3</f>
        <v>0</v>
      </c>
      <c r="AU227" s="781">
        <f>AU44*MACRO!BO$3</f>
        <v>0</v>
      </c>
      <c r="AV227" s="781">
        <f>AV44*MACRO!BP$3</f>
        <v>0</v>
      </c>
    </row>
    <row r="228" spans="1:48">
      <c r="B228" s="735" t="s">
        <v>764</v>
      </c>
      <c r="G228" s="710">
        <f>G47*MACRO!G$3</f>
        <v>-1.9494499999999999</v>
      </c>
      <c r="H228" s="710">
        <f>H47*MACRO!H$3</f>
        <v>-0.70004</v>
      </c>
      <c r="I228" s="710">
        <f>I47*MACRO!I$3</f>
        <v>1.2986000000000002</v>
      </c>
      <c r="J228" s="710">
        <f>J47*MACRO!J$3</f>
        <v>0.32940000000000003</v>
      </c>
      <c r="K228" s="710">
        <f>K47*MACRO!K$3</f>
        <v>0</v>
      </c>
      <c r="L228" s="710">
        <f>L47*MACRO!L$3</f>
        <v>0.96527999999999992</v>
      </c>
      <c r="M228" s="710">
        <f>M47*MACRO!M$3</f>
        <v>1.8978599999999999</v>
      </c>
      <c r="N228" s="710">
        <f>N47*MACRO!N$3</f>
        <v>3.5754400000000004</v>
      </c>
      <c r="O228" s="710">
        <f>O47*MACRO!O$3</f>
        <v>2.5940000000000003</v>
      </c>
      <c r="P228" s="710">
        <f>P47*MACRO!P$3</f>
        <v>3.2479200000000001</v>
      </c>
      <c r="Q228" s="710">
        <f>Q47*MACRO!Q$3</f>
        <v>2.7634599999999998</v>
      </c>
      <c r="R228" s="710">
        <f>R47*MACRO!R$3</f>
        <v>-0.38116</v>
      </c>
      <c r="S228" s="710">
        <f>S47*MACRO!S$3</f>
        <v>3.0127199999999998</v>
      </c>
      <c r="T228" s="710">
        <f>T47*MACRO!T$3</f>
        <v>-1.5686400000000003</v>
      </c>
      <c r="U228" s="710">
        <f>U47*MACRO!U$3</f>
        <v>1.1917199999999999</v>
      </c>
      <c r="V228" s="710">
        <f>V47*MACRO!V$3</f>
        <v>1.2350100000000002</v>
      </c>
      <c r="AK228" s="710">
        <f>+SUM(G228:J228)</f>
        <v>-1.02149</v>
      </c>
      <c r="AL228" s="710">
        <f>+SUM(K228:N228)</f>
        <v>6.43858</v>
      </c>
      <c r="AM228" s="710">
        <f>+SUM(O228:R228)</f>
        <v>8.2242200000000008</v>
      </c>
      <c r="AN228" s="710">
        <f>+SUM(S228:V228)</f>
        <v>3.8708099999999996</v>
      </c>
      <c r="AO228" s="715">
        <f>AO47*MACRO!BI$3</f>
        <v>6.1901999999999999</v>
      </c>
      <c r="AP228" s="715">
        <f>AP47*MACRO!BJ$3</f>
        <v>6.4788299999999994</v>
      </c>
      <c r="AQ228" s="715">
        <f>AQ47*MACRO!BK$3</f>
        <v>7.3621200000000009</v>
      </c>
      <c r="AR228" s="715">
        <f>AR47*MACRO!BL$3</f>
        <v>6.0231982812500009</v>
      </c>
      <c r="AS228" s="715">
        <f>AS47*MACRO!BM$3</f>
        <v>6.7565599609374996</v>
      </c>
      <c r="AT228" s="715">
        <f>AT47*MACRO!BN$3</f>
        <v>7.1076709472656248</v>
      </c>
      <c r="AU228" s="715">
        <f>AU47*MACRO!BO$3</f>
        <v>6.8578782800104854</v>
      </c>
      <c r="AV228" s="715">
        <f>AV47*MACRO!BP$3</f>
        <v>6.7867104867088921</v>
      </c>
    </row>
    <row r="229" spans="1:48">
      <c r="AO229" s="741"/>
      <c r="AP229" s="741"/>
      <c r="AQ229" s="741"/>
      <c r="AR229" s="741"/>
      <c r="AS229" s="741"/>
      <c r="AT229" s="741"/>
      <c r="AU229" s="741"/>
      <c r="AV229" s="741"/>
    </row>
    <row r="230" spans="1:48" s="394" customFormat="1">
      <c r="A230" s="392"/>
      <c r="B230" s="743" t="s">
        <v>765</v>
      </c>
      <c r="G230" s="744">
        <f t="shared" ref="G230:V230" si="156">+G226+G227+G228</f>
        <v>-646.82750999999951</v>
      </c>
      <c r="H230" s="744">
        <f t="shared" si="156"/>
        <v>115.50659999999968</v>
      </c>
      <c r="I230" s="744">
        <f t="shared" si="156"/>
        <v>116.874</v>
      </c>
      <c r="J230" s="744">
        <f t="shared" si="156"/>
        <v>-35.245799999999996</v>
      </c>
      <c r="K230" s="744">
        <f t="shared" si="156"/>
        <v>-114.76330000000051</v>
      </c>
      <c r="L230" s="744">
        <f t="shared" si="156"/>
        <v>-146.40079999999986</v>
      </c>
      <c r="M230" s="744">
        <f t="shared" si="156"/>
        <v>39.538749999999887</v>
      </c>
      <c r="N230" s="744">
        <f t="shared" si="156"/>
        <v>297.41159999999951</v>
      </c>
      <c r="O230" s="744">
        <f t="shared" si="156"/>
        <v>-65.822750000000099</v>
      </c>
      <c r="P230" s="744">
        <f t="shared" si="156"/>
        <v>-130.2776800000008</v>
      </c>
      <c r="Q230" s="744">
        <f t="shared" si="156"/>
        <v>452.02310000000034</v>
      </c>
      <c r="R230" s="744">
        <f t="shared" si="156"/>
        <v>-295.78016000000008</v>
      </c>
      <c r="S230" s="744">
        <f t="shared" si="156"/>
        <v>-123.1449299999995</v>
      </c>
      <c r="T230" s="744">
        <f t="shared" si="156"/>
        <v>-76.471199999999939</v>
      </c>
      <c r="U230" s="744">
        <f t="shared" si="156"/>
        <v>424.64955999999972</v>
      </c>
      <c r="V230" s="744">
        <f t="shared" si="156"/>
        <v>-226.41850000000011</v>
      </c>
      <c r="AK230" s="744">
        <f t="shared" ref="AK230:AV230" si="157">+AK226+AK227+AK228</f>
        <v>-449.69271000000003</v>
      </c>
      <c r="AL230" s="744">
        <f t="shared" si="157"/>
        <v>75.786249999998972</v>
      </c>
      <c r="AM230" s="744">
        <f t="shared" si="157"/>
        <v>-39.857490000000496</v>
      </c>
      <c r="AN230" s="744">
        <f t="shared" si="157"/>
        <v>-1.3850699999997351</v>
      </c>
      <c r="AO230" s="745">
        <f t="shared" si="157"/>
        <v>-315.80947228718537</v>
      </c>
      <c r="AP230" s="745">
        <f t="shared" si="157"/>
        <v>-180.11153201804487</v>
      </c>
      <c r="AQ230" s="745">
        <f t="shared" si="157"/>
        <v>39.317503799794949</v>
      </c>
      <c r="AR230" s="745">
        <f t="shared" si="157"/>
        <v>204.8849670867892</v>
      </c>
      <c r="AS230" s="745">
        <f t="shared" si="157"/>
        <v>326.78119244797296</v>
      </c>
      <c r="AT230" s="745">
        <f t="shared" si="157"/>
        <v>441.00916021136601</v>
      </c>
      <c r="AU230" s="745">
        <f t="shared" si="157"/>
        <v>469.96434404031447</v>
      </c>
      <c r="AV230" s="745">
        <f t="shared" si="157"/>
        <v>514.17752259552424</v>
      </c>
    </row>
    <row r="231" spans="1:48" s="706" customFormat="1">
      <c r="B231" s="709" t="s">
        <v>108</v>
      </c>
      <c r="K231" s="706">
        <f t="shared" ref="K231:AD231" si="158">+K230/G230-1</f>
        <v>-0.82257510970737679</v>
      </c>
      <c r="L231" s="706">
        <f t="shared" si="158"/>
        <v>-2.2674669672555532</v>
      </c>
      <c r="M231" s="706">
        <f t="shared" si="158"/>
        <v>-0.6616976401937138</v>
      </c>
      <c r="N231" s="706">
        <f t="shared" si="158"/>
        <v>-9.4382139148494169</v>
      </c>
      <c r="O231" s="706">
        <f t="shared" si="158"/>
        <v>-0.42644774069759406</v>
      </c>
      <c r="P231" s="706">
        <f t="shared" si="158"/>
        <v>-0.11012999928961509</v>
      </c>
      <c r="Q231" s="706">
        <f t="shared" si="158"/>
        <v>10.432407448389279</v>
      </c>
      <c r="R231" s="706">
        <f t="shared" si="158"/>
        <v>-1.9945145381014076</v>
      </c>
      <c r="S231" s="706">
        <f t="shared" si="158"/>
        <v>0.87085665670302936</v>
      </c>
      <c r="T231" s="706">
        <f t="shared" si="158"/>
        <v>-0.41301380251782605</v>
      </c>
      <c r="U231" s="706">
        <f t="shared" si="158"/>
        <v>-6.0557834323070159E-2</v>
      </c>
      <c r="V231" s="706">
        <f t="shared" si="158"/>
        <v>-0.23450409926074811</v>
      </c>
      <c r="W231" s="706">
        <f t="shared" si="158"/>
        <v>-1</v>
      </c>
      <c r="X231" s="706">
        <f t="shared" si="158"/>
        <v>-1</v>
      </c>
      <c r="Y231" s="706">
        <f t="shared" si="158"/>
        <v>-1</v>
      </c>
      <c r="Z231" s="706">
        <f t="shared" si="158"/>
        <v>-1</v>
      </c>
      <c r="AA231" s="706" t="e">
        <f t="shared" si="158"/>
        <v>#DIV/0!</v>
      </c>
      <c r="AB231" s="706" t="e">
        <f t="shared" si="158"/>
        <v>#DIV/0!</v>
      </c>
      <c r="AC231" s="706" t="e">
        <f t="shared" si="158"/>
        <v>#DIV/0!</v>
      </c>
      <c r="AD231" s="706" t="e">
        <f t="shared" si="158"/>
        <v>#DIV/0!</v>
      </c>
      <c r="AF231" s="706">
        <v>-1</v>
      </c>
      <c r="AL231" s="706">
        <f>+AL230/AK230-1</f>
        <v>-1.1685289717060323</v>
      </c>
      <c r="AM231" s="706">
        <f>+AM230/AL230-1</f>
        <v>-1.5259198073529308</v>
      </c>
      <c r="AN231" s="706">
        <f>+AN230/AM230-1</f>
        <v>-0.96524944245109967</v>
      </c>
      <c r="AO231" s="742"/>
      <c r="AP231" s="742"/>
      <c r="AQ231" s="742"/>
      <c r="AR231" s="742"/>
      <c r="AS231" s="742"/>
      <c r="AT231" s="742"/>
      <c r="AU231" s="742"/>
      <c r="AV231" s="742"/>
    </row>
    <row r="232" spans="1:48">
      <c r="AN232" s="783"/>
    </row>
    <row r="233" spans="1:48" s="800" customFormat="1" ht="11.25">
      <c r="B233" s="801" t="s">
        <v>766</v>
      </c>
      <c r="G233" s="802">
        <f>+G49*MACRO!G$3-G230</f>
        <v>0</v>
      </c>
      <c r="H233" s="802">
        <f>+H49*MACRO!H$3-H230</f>
        <v>0</v>
      </c>
      <c r="I233" s="802">
        <f>+I49*MACRO!I$3-I230</f>
        <v>0</v>
      </c>
      <c r="J233" s="802">
        <f>+J49*MACRO!J$3-J230</f>
        <v>0</v>
      </c>
      <c r="K233" s="802">
        <f>+K49*MACRO!K$3-K230</f>
        <v>0</v>
      </c>
      <c r="L233" s="802">
        <f>+L49*MACRO!L$3-L230</f>
        <v>0</v>
      </c>
      <c r="M233" s="802">
        <f>+M49*MACRO!M$3-M230</f>
        <v>0</v>
      </c>
      <c r="N233" s="802">
        <f>+N49*MACRO!N$3-N230</f>
        <v>0</v>
      </c>
      <c r="O233" s="802">
        <f>+O49*MACRO!O$3-O230</f>
        <v>0</v>
      </c>
      <c r="P233" s="802">
        <f>+P49*MACRO!P$3-P230</f>
        <v>0</v>
      </c>
      <c r="Q233" s="802">
        <f>+Q49*MACRO!Q$3-Q230</f>
        <v>0</v>
      </c>
      <c r="R233" s="802">
        <f>+R49*MACRO!R$3-R230</f>
        <v>0</v>
      </c>
      <c r="S233" s="802">
        <f>+S49*MACRO!S$3-S230</f>
        <v>0</v>
      </c>
      <c r="T233" s="802">
        <f>+T49*MACRO!T$3-T230</f>
        <v>0</v>
      </c>
      <c r="U233" s="802">
        <f>+U49*MACRO!U$3-U230</f>
        <v>0</v>
      </c>
      <c r="V233" s="802">
        <f>+V49*MACRO!V$3-V230</f>
        <v>0</v>
      </c>
      <c r="W233" s="802">
        <f>+W49*MACRO!W$3-W230</f>
        <v>-122.77398035012598</v>
      </c>
      <c r="X233" s="802">
        <f>+X49*MACRO!X$3-X230</f>
        <v>-128.29614407607141</v>
      </c>
      <c r="Y233" s="802">
        <f>+Y49*MACRO!Y$3-Y230</f>
        <v>53.388065754403897</v>
      </c>
      <c r="Z233" s="802">
        <f>+Z49*MACRO!Z$3-Z230</f>
        <v>-107.22097142358957</v>
      </c>
      <c r="AA233" s="802">
        <f>+AA49*MACRO!AA$3-AA230</f>
        <v>-144.00035999601877</v>
      </c>
      <c r="AB233" s="802">
        <f>+AB49*MACRO!AB$3-AB230</f>
        <v>-52.854023348349742</v>
      </c>
      <c r="AC233" s="802">
        <f>+AC49*MACRO!AC$3-AC230</f>
        <v>89.922247636245515</v>
      </c>
      <c r="AD233" s="802">
        <f>+AD49*MACRO!AD$3-AD230</f>
        <v>-79.911805662000148</v>
      </c>
      <c r="AF233" s="802">
        <v>-141.9870382789513</v>
      </c>
      <c r="AK233" s="802">
        <f>+AK49*MACRO!BE$3-AK230</f>
        <v>74.717470000000162</v>
      </c>
      <c r="AL233" s="802">
        <f>+AL49*MACRO!BF$3-AL230</f>
        <v>-5.5220999999998241</v>
      </c>
      <c r="AM233" s="802">
        <f>+AM49*MACRO!BG$3-AM230</f>
        <v>-31.369672500000178</v>
      </c>
      <c r="AN233" s="802">
        <f>+AN49*MACRO!BH$3-AN230</f>
        <v>0.20182499999943815</v>
      </c>
      <c r="AO233" s="802">
        <f>+AO49*MACRO!BI$3-AO230</f>
        <v>0</v>
      </c>
      <c r="AP233" s="802">
        <f>+AP49*MACRO!BJ$3-AP230</f>
        <v>0</v>
      </c>
      <c r="AQ233" s="802">
        <f>+AQ49*MACRO!BK$3-AQ230</f>
        <v>0</v>
      </c>
      <c r="AR233" s="802">
        <f>+AR49*MACRO!BL$3-AR230</f>
        <v>0</v>
      </c>
      <c r="AS233" s="802">
        <f>+AS49*MACRO!BM$3-AS230</f>
        <v>0</v>
      </c>
      <c r="AT233" s="802">
        <f>+AT49*MACRO!BN$3-AT230</f>
        <v>0</v>
      </c>
      <c r="AU233" s="802">
        <f>+AU49*MACRO!BO$3-AU230</f>
        <v>0</v>
      </c>
      <c r="AV233" s="802">
        <f>+AV49*MACRO!BP$3-AV230</f>
        <v>0</v>
      </c>
    </row>
    <row r="234" spans="1:48" s="706" customFormat="1">
      <c r="B234" s="709"/>
    </row>
    <row r="235" spans="1:48" s="706" customFormat="1">
      <c r="B235" s="709"/>
    </row>
    <row r="255" spans="2:48">
      <c r="B255" s="717"/>
      <c r="G255" s="752"/>
      <c r="H255" s="752"/>
      <c r="I255" s="752"/>
      <c r="J255" s="752"/>
      <c r="K255" s="752"/>
      <c r="L255" s="752"/>
      <c r="M255" s="752"/>
      <c r="N255" s="752"/>
      <c r="O255" s="752"/>
      <c r="P255" s="752"/>
      <c r="Q255" s="752"/>
      <c r="R255" s="752"/>
      <c r="S255" s="752"/>
      <c r="T255" s="752"/>
      <c r="U255" s="752"/>
      <c r="V255" s="752"/>
      <c r="W255" s="752"/>
      <c r="X255" s="752"/>
      <c r="Y255" s="752"/>
      <c r="Z255" s="752"/>
      <c r="AA255" s="752"/>
      <c r="AB255" s="752"/>
      <c r="AC255" s="752"/>
      <c r="AD255" s="752"/>
      <c r="AF255" s="752"/>
      <c r="AK255" s="752"/>
      <c r="AL255" s="752"/>
      <c r="AM255" s="752"/>
      <c r="AN255" s="752"/>
      <c r="AO255" s="752"/>
      <c r="AP255" s="752"/>
      <c r="AQ255" s="752"/>
      <c r="AR255" s="752"/>
      <c r="AS255" s="752"/>
      <c r="AT255" s="752"/>
      <c r="AU255" s="752"/>
      <c r="AV255" s="752"/>
    </row>
    <row r="256" spans="2:48">
      <c r="B256" s="717"/>
      <c r="G256" s="141"/>
      <c r="H256" s="141"/>
      <c r="I256" s="141"/>
      <c r="J256" s="141"/>
      <c r="K256" s="141"/>
      <c r="L256" s="141"/>
      <c r="M256" s="141"/>
      <c r="N256" s="141"/>
      <c r="O256" s="141"/>
      <c r="P256" s="141"/>
      <c r="Q256" s="141"/>
      <c r="R256" s="141"/>
      <c r="S256" s="141"/>
      <c r="T256" s="141"/>
      <c r="U256" s="141"/>
      <c r="V256" s="141"/>
      <c r="W256" s="141"/>
      <c r="X256" s="141"/>
      <c r="Y256" s="141"/>
      <c r="Z256" s="141"/>
      <c r="AA256" s="141"/>
      <c r="AB256" s="141"/>
      <c r="AC256" s="141"/>
      <c r="AD256" s="141"/>
      <c r="AF256" s="141"/>
      <c r="AK256" s="141"/>
      <c r="AL256" s="141"/>
      <c r="AM256" s="141"/>
      <c r="AN256" s="141"/>
      <c r="AO256" s="141"/>
      <c r="AP256" s="141"/>
      <c r="AQ256" s="141"/>
      <c r="AR256" s="141"/>
      <c r="AS256" s="141"/>
      <c r="AT256" s="141"/>
      <c r="AU256" s="141"/>
      <c r="AV256" s="141"/>
    </row>
    <row r="257" spans="2:48">
      <c r="B257" s="717"/>
      <c r="G257" s="141"/>
      <c r="H257" s="141"/>
      <c r="I257" s="141"/>
      <c r="J257" s="141"/>
      <c r="K257" s="141"/>
      <c r="L257" s="141"/>
      <c r="M257" s="141"/>
      <c r="N257" s="141"/>
      <c r="O257" s="141"/>
      <c r="P257" s="141"/>
      <c r="Q257" s="141"/>
      <c r="R257" s="141"/>
      <c r="S257" s="141"/>
      <c r="T257" s="141"/>
      <c r="U257" s="141"/>
      <c r="V257" s="141"/>
      <c r="W257" s="141"/>
      <c r="X257" s="141"/>
      <c r="Y257" s="141"/>
      <c r="Z257" s="141"/>
      <c r="AA257" s="141"/>
      <c r="AB257" s="141"/>
      <c r="AC257" s="141"/>
      <c r="AD257" s="141"/>
      <c r="AF257" s="141"/>
      <c r="AK257" s="141"/>
      <c r="AL257" s="141"/>
      <c r="AM257" s="141"/>
      <c r="AN257" s="141"/>
      <c r="AO257" s="141"/>
      <c r="AP257" s="141"/>
      <c r="AQ257" s="141"/>
      <c r="AR257" s="141"/>
      <c r="AS257" s="141"/>
      <c r="AT257" s="141"/>
      <c r="AU257" s="141"/>
      <c r="AV257" s="141"/>
    </row>
    <row r="258" spans="2:48" s="85" customFormat="1">
      <c r="B258" s="85" t="s">
        <v>114</v>
      </c>
      <c r="G258" s="707">
        <f>+G56*MACRO!G$3</f>
        <v>672.95014000000015</v>
      </c>
      <c r="H258" s="707">
        <f>+H56*MACRO!H$3</f>
        <v>417.22383999999965</v>
      </c>
      <c r="I258" s="707">
        <f>+I56*MACRO!I$3</f>
        <v>489.89685000000003</v>
      </c>
      <c r="J258" s="707">
        <f>+J56*MACRO!J$3</f>
        <v>540.54539999999997</v>
      </c>
      <c r="K258" s="707">
        <f>+K56*MACRO!K$3</f>
        <v>199.65669999999952</v>
      </c>
      <c r="L258" s="707">
        <f>+L56*MACRO!L$3</f>
        <v>237.13712000000015</v>
      </c>
      <c r="M258" s="707">
        <f>+M56*MACRO!M$3</f>
        <v>392.54070999999988</v>
      </c>
      <c r="N258" s="707">
        <f>+N56*MACRO!N$3</f>
        <v>548.01743999999962</v>
      </c>
      <c r="O258" s="707">
        <f>+O56*MACRO!O$3</f>
        <v>244.16024999999991</v>
      </c>
      <c r="P258" s="707">
        <f>+P56*MACRO!P$3</f>
        <v>360.51911999999919</v>
      </c>
      <c r="Q258" s="707">
        <f>+Q56*MACRO!Q$3</f>
        <v>752.84546000000034</v>
      </c>
      <c r="R258" s="707">
        <f>+R56*MACRO!R$3</f>
        <v>-60.60444000000011</v>
      </c>
      <c r="S258" s="707">
        <f>+S56*MACRO!S$3</f>
        <v>-36.152639999999479</v>
      </c>
      <c r="T258" s="707">
        <f>+T56*MACRO!T$3</f>
        <v>127.84416000000004</v>
      </c>
      <c r="U258" s="707">
        <f>+U56*MACRO!U$3</f>
        <v>146.97879999999972</v>
      </c>
      <c r="V258" s="707">
        <f>+V56*MACRO!V$3</f>
        <v>58.457139999999747</v>
      </c>
      <c r="W258" s="707">
        <f>+W56*MACRO!W$3</f>
        <v>64.789136328391436</v>
      </c>
      <c r="X258" s="707">
        <f>+X56*MACRO!X$3</f>
        <v>99.610382515326535</v>
      </c>
      <c r="Y258" s="707">
        <f>+Y56*MACRO!Y$3</f>
        <v>361.17062733701414</v>
      </c>
      <c r="Z258" s="707">
        <f>+Z56*MACRO!Z$3</f>
        <v>131.82966937123862</v>
      </c>
      <c r="AA258" s="707">
        <f>+AA56*MACRO!AA$3</f>
        <v>90.189170950774553</v>
      </c>
      <c r="AB258" s="707">
        <f>+AB56*MACRO!AB$3</f>
        <v>210.43292163546039</v>
      </c>
      <c r="AC258" s="707">
        <f>+AC56*MACRO!AC$3</f>
        <v>413.1094560377374</v>
      </c>
      <c r="AD258" s="707">
        <f>+AD56*MACRO!AD$3</f>
        <v>191.79754592463982</v>
      </c>
      <c r="AF258" s="707">
        <v>36.960637672926659</v>
      </c>
      <c r="AK258" s="707">
        <f>+AK56*MACRO!BE$3</f>
        <v>2114.6373199999998</v>
      </c>
      <c r="AL258" s="707">
        <f>+AL56*MACRO!BF$3</f>
        <v>1373.0253674999994</v>
      </c>
      <c r="AM258" s="707">
        <f>+AM56*MACRO!BG$3</f>
        <v>1278.4362499999995</v>
      </c>
      <c r="AN258" s="707">
        <f>+SUM(S258:V258)</f>
        <v>297.12746000000004</v>
      </c>
      <c r="AO258" s="707">
        <f>+AO56*MACRO!BI$3</f>
        <v>642.45959707733516</v>
      </c>
      <c r="AP258" s="707">
        <f>+AP56*MACRO!BJ$3</f>
        <v>915.07485376307545</v>
      </c>
      <c r="AQ258" s="707">
        <f>+AQ56*MACRO!BK$3</f>
        <v>1185.2325175738767</v>
      </c>
      <c r="AR258" s="707">
        <f>+AR56*MACRO!BL$3</f>
        <v>1402.3862797425431</v>
      </c>
      <c r="AS258" s="707">
        <f>+AS56*MACRO!BM$3</f>
        <v>1672.256962958244</v>
      </c>
      <c r="AT258" s="707">
        <f>+AT56*MACRO!BN$3</f>
        <v>1900.6372620063494</v>
      </c>
      <c r="AU258" s="707">
        <f>+AU56*MACRO!BO$3</f>
        <v>1895.495458406808</v>
      </c>
      <c r="AV258" s="707">
        <f>+AV56*MACRO!BP$3</f>
        <v>1994.9995509635983</v>
      </c>
    </row>
    <row r="259" spans="2:48">
      <c r="B259" s="85" t="s">
        <v>113</v>
      </c>
      <c r="G259" s="141">
        <f t="shared" ref="G259:AD259" si="159">+G258/G$180</f>
        <v>0.13210868733256798</v>
      </c>
      <c r="H259" s="141">
        <f t="shared" si="159"/>
        <v>8.3106741964721412E-2</v>
      </c>
      <c r="I259" s="141">
        <f t="shared" si="159"/>
        <v>0.10711243611584327</v>
      </c>
      <c r="J259" s="141">
        <f t="shared" si="159"/>
        <v>0.10464893820547159</v>
      </c>
      <c r="K259" s="141">
        <f t="shared" si="159"/>
        <v>4.7633335833770794E-2</v>
      </c>
      <c r="L259" s="141">
        <f t="shared" si="159"/>
        <v>5.2797478329393251E-2</v>
      </c>
      <c r="M259" s="141">
        <f t="shared" si="159"/>
        <v>8.7529976019184622E-2</v>
      </c>
      <c r="N259" s="141">
        <f t="shared" si="159"/>
        <v>0.10747067822539515</v>
      </c>
      <c r="O259" s="141">
        <f t="shared" si="159"/>
        <v>5.4036598493003206E-2</v>
      </c>
      <c r="P259" s="141">
        <f t="shared" si="159"/>
        <v>7.3895998224720594E-2</v>
      </c>
      <c r="Q259" s="141">
        <f t="shared" si="159"/>
        <v>0.1338997331835417</v>
      </c>
      <c r="R259" s="141">
        <f t="shared" si="159"/>
        <v>-1.1343368766497844E-2</v>
      </c>
      <c r="S259" s="141">
        <f t="shared" si="159"/>
        <v>-8.0882972449236347E-3</v>
      </c>
      <c r="T259" s="141">
        <f t="shared" si="159"/>
        <v>2.7749404153898545E-2</v>
      </c>
      <c r="U259" s="141">
        <f t="shared" si="159"/>
        <v>3.1144781144781086E-2</v>
      </c>
      <c r="V259" s="141">
        <f t="shared" si="159"/>
        <v>1.1701689328388908E-2</v>
      </c>
      <c r="W259" s="141">
        <f t="shared" si="159"/>
        <v>3.4888994896292339E-2</v>
      </c>
      <c r="X259" s="141">
        <f t="shared" si="159"/>
        <v>3.4351512472896716E-2</v>
      </c>
      <c r="Y259" s="141">
        <f t="shared" si="159"/>
        <v>0.10390862347622515</v>
      </c>
      <c r="Z259" s="141">
        <f t="shared" si="159"/>
        <v>3.179612051041935E-2</v>
      </c>
      <c r="AA259" s="141">
        <f t="shared" si="159"/>
        <v>2.6612682430581222E-2</v>
      </c>
      <c r="AB259" s="141">
        <f t="shared" si="159"/>
        <v>5.5660909192615467E-2</v>
      </c>
      <c r="AC259" s="141">
        <f t="shared" si="159"/>
        <v>0.11334518730926411</v>
      </c>
      <c r="AD259" s="141">
        <f t="shared" si="159"/>
        <v>4.3157444908495685E-2</v>
      </c>
      <c r="AF259" s="141">
        <v>1.2139240794773683E-2</v>
      </c>
      <c r="AK259" s="141">
        <f t="shared" ref="AK259:AV259" si="160">+AK258/AK$180</f>
        <v>0.1065134601193975</v>
      </c>
      <c r="AL259" s="141">
        <f t="shared" si="160"/>
        <v>7.5164861497347135E-2</v>
      </c>
      <c r="AM259" s="141">
        <f t="shared" si="160"/>
        <v>6.2784357863206824E-2</v>
      </c>
      <c r="AN259" s="141">
        <f t="shared" si="160"/>
        <v>1.5811658845605127E-2</v>
      </c>
      <c r="AO259" s="141">
        <f t="shared" si="160"/>
        <v>5.1900463605835938E-2</v>
      </c>
      <c r="AP259" s="141">
        <f t="shared" si="160"/>
        <v>5.9971813017000136E-2</v>
      </c>
      <c r="AQ259" s="141">
        <f t="shared" si="160"/>
        <v>7.6256498161867997E-2</v>
      </c>
      <c r="AR259" s="141">
        <f t="shared" si="160"/>
        <v>8.5432982361090315E-2</v>
      </c>
      <c r="AS259" s="141">
        <f t="shared" si="160"/>
        <v>9.0841189604639994E-2</v>
      </c>
      <c r="AT259" s="141">
        <f t="shared" si="160"/>
        <v>9.5503183196381819E-2</v>
      </c>
      <c r="AU259" s="141">
        <f t="shared" si="160"/>
        <v>9.4527059672508518E-2</v>
      </c>
      <c r="AV259" s="141">
        <f t="shared" si="160"/>
        <v>9.4155125789872507E-2</v>
      </c>
    </row>
    <row r="260" spans="2:48">
      <c r="AL260" s="703">
        <f t="shared" ref="AL260:AV260" si="161">+AL259-AK259</f>
        <v>-3.1348598622050361E-2</v>
      </c>
      <c r="AM260" s="703">
        <f t="shared" si="161"/>
        <v>-1.2380503634140311E-2</v>
      </c>
      <c r="AN260" s="703">
        <f t="shared" si="161"/>
        <v>-4.6972699017601698E-2</v>
      </c>
      <c r="AO260" s="703">
        <f t="shared" si="161"/>
        <v>3.6088804760230811E-2</v>
      </c>
      <c r="AP260" s="703">
        <f t="shared" si="161"/>
        <v>8.0713494111641984E-3</v>
      </c>
      <c r="AQ260" s="703">
        <f t="shared" si="161"/>
        <v>1.6284685144867861E-2</v>
      </c>
      <c r="AR260" s="703">
        <f t="shared" si="161"/>
        <v>9.1764841992223178E-3</v>
      </c>
      <c r="AS260" s="703">
        <f t="shared" si="161"/>
        <v>5.4082072435496786E-3</v>
      </c>
      <c r="AT260" s="703">
        <f t="shared" si="161"/>
        <v>4.6619935917418254E-3</v>
      </c>
      <c r="AU260" s="703">
        <f t="shared" si="161"/>
        <v>-9.7612352387330126E-4</v>
      </c>
      <c r="AV260" s="703">
        <f t="shared" si="161"/>
        <v>-3.7193388263601079E-4</v>
      </c>
    </row>
    <row r="261" spans="2:48" s="85" customFormat="1">
      <c r="B261" s="85" t="s">
        <v>732</v>
      </c>
      <c r="G261" s="707">
        <f>+G60*MACRO!G$3</f>
        <v>320.48958000000022</v>
      </c>
      <c r="H261" s="707">
        <f>+H60*MACRO!H$3</f>
        <v>466.57665999999972</v>
      </c>
      <c r="I261" s="707">
        <f>+I60*MACRO!I$3</f>
        <v>413.27945</v>
      </c>
      <c r="J261" s="707">
        <f>+J60*MACRO!J$3</f>
        <v>471.70079999999996</v>
      </c>
      <c r="K261" s="707">
        <f>+K60*MACRO!K$3</f>
        <v>211.9190799999995</v>
      </c>
      <c r="L261" s="707">
        <f>+L60*MACRO!L$3</f>
        <v>310.17664000000013</v>
      </c>
      <c r="M261" s="707">
        <f>+M60*MACRO!M$3</f>
        <v>387.16343999999987</v>
      </c>
      <c r="N261" s="707">
        <f>+N60*MACRO!N$3</f>
        <v>596.7734399999996</v>
      </c>
      <c r="O261" s="707">
        <f>+O60*MACRO!O$3</f>
        <v>271.39724999999993</v>
      </c>
      <c r="P261" s="707">
        <f>+P60*MACRO!P$3</f>
        <v>376.03695999999917</v>
      </c>
      <c r="Q261" s="707">
        <f>+Q60*MACRO!Q$3</f>
        <v>253.84354000000039</v>
      </c>
      <c r="R261" s="707">
        <f>+R60*MACRO!R$3</f>
        <v>391.83247999999986</v>
      </c>
      <c r="S261" s="707">
        <f>+S60*MACRO!S$3</f>
        <v>304.66131000000047</v>
      </c>
      <c r="T261" s="707">
        <f>+T60*MACRO!T$3</f>
        <v>436.86624000000012</v>
      </c>
      <c r="U261" s="707">
        <f>+U60*MACRO!U$3</f>
        <v>360.2966799999997</v>
      </c>
      <c r="V261" s="707">
        <f>+V60*MACRO!V$3</f>
        <v>86.039029999999784</v>
      </c>
      <c r="W261" s="707">
        <f>+W60*MACRO!W$3</f>
        <v>64.789136328391436</v>
      </c>
      <c r="X261" s="707">
        <f>+X60*MACRO!X$3</f>
        <v>99.610382515326535</v>
      </c>
      <c r="Y261" s="707">
        <f>+Y60*MACRO!Y$3</f>
        <v>361.17062733701414</v>
      </c>
      <c r="Z261" s="707">
        <f>+Z60*MACRO!Z$3</f>
        <v>131.82966937123862</v>
      </c>
      <c r="AA261" s="707">
        <f>+AA60*MACRO!AA$3</f>
        <v>90.189170950774553</v>
      </c>
      <c r="AB261" s="707">
        <f>+AB60*MACRO!AB$3</f>
        <v>210.43292163546039</v>
      </c>
      <c r="AC261" s="707">
        <f>+AC60*MACRO!AC$3</f>
        <v>413.1094560377374</v>
      </c>
      <c r="AD261" s="707">
        <f>+AD60*MACRO!AD$3</f>
        <v>191.79754592463982</v>
      </c>
      <c r="AF261" s="707">
        <v>36.960637672926659</v>
      </c>
      <c r="AK261" s="707">
        <f>+AK60*MACRO!BE$3</f>
        <v>1693.6614</v>
      </c>
      <c r="AL261" s="707">
        <f>+AL60*MACRO!BF$3</f>
        <v>1500.4589849999993</v>
      </c>
      <c r="AM261" s="707">
        <f>+AM60*MACRO!BG$3</f>
        <v>1296.6996249999993</v>
      </c>
      <c r="AN261" s="707">
        <f>+SUM(S261:V261)</f>
        <v>1187.8632599999999</v>
      </c>
      <c r="AO261" s="707">
        <f>+AO60*MACRO!BI$3</f>
        <v>642.45959707733516</v>
      </c>
      <c r="AP261" s="707">
        <f>+AP60*MACRO!BJ$3</f>
        <v>915.07485376307545</v>
      </c>
      <c r="AQ261" s="707">
        <f>+AQ60*MACRO!BK$3</f>
        <v>1185.2325175738767</v>
      </c>
      <c r="AR261" s="707">
        <f>+AR60*MACRO!BL$3</f>
        <v>1402.3862797425431</v>
      </c>
      <c r="AS261" s="707">
        <f>+AS60*MACRO!BM$3</f>
        <v>1672.256962958244</v>
      </c>
      <c r="AT261" s="707">
        <f>+AT60*MACRO!BN$3</f>
        <v>1900.6372620063494</v>
      </c>
      <c r="AU261" s="707">
        <f>+AU60*MACRO!BO$3</f>
        <v>1895.495458406808</v>
      </c>
      <c r="AV261" s="707">
        <f>+AV60*MACRO!BP$3</f>
        <v>1994.9995509635983</v>
      </c>
    </row>
    <row r="262" spans="2:48">
      <c r="B262" s="85" t="s">
        <v>113</v>
      </c>
      <c r="G262" s="141">
        <f t="shared" ref="G262:AD262" si="162">+G261/G$180</f>
        <v>6.2916188289322661E-2</v>
      </c>
      <c r="H262" s="141">
        <f t="shared" si="162"/>
        <v>9.2937321341420853E-2</v>
      </c>
      <c r="I262" s="141">
        <f t="shared" si="162"/>
        <v>9.0360590573537763E-2</v>
      </c>
      <c r="J262" s="141">
        <f t="shared" si="162"/>
        <v>9.1320706587590075E-2</v>
      </c>
      <c r="K262" s="141">
        <f t="shared" si="162"/>
        <v>5.0558847798364594E-2</v>
      </c>
      <c r="L262" s="141">
        <f t="shared" si="162"/>
        <v>6.9059388208324399E-2</v>
      </c>
      <c r="M262" s="141">
        <f t="shared" si="162"/>
        <v>8.6330935251798524E-2</v>
      </c>
      <c r="N262" s="141">
        <f t="shared" si="162"/>
        <v>0.11703212646608867</v>
      </c>
      <c r="O262" s="141">
        <f t="shared" si="162"/>
        <v>6.0064585575888035E-2</v>
      </c>
      <c r="P262" s="141">
        <f t="shared" si="162"/>
        <v>7.7076706857015884E-2</v>
      </c>
      <c r="Q262" s="141">
        <f t="shared" si="162"/>
        <v>4.5148153349248772E-2</v>
      </c>
      <c r="R262" s="141">
        <f t="shared" si="162"/>
        <v>7.3339516301633698E-2</v>
      </c>
      <c r="S262" s="141">
        <f t="shared" si="162"/>
        <v>6.8160754907742954E-2</v>
      </c>
      <c r="T262" s="141">
        <f t="shared" si="162"/>
        <v>9.4824651004426302E-2</v>
      </c>
      <c r="U262" s="141">
        <f t="shared" si="162"/>
        <v>7.6346801346801288E-2</v>
      </c>
      <c r="V262" s="141">
        <f t="shared" si="162"/>
        <v>1.722290894107948E-2</v>
      </c>
      <c r="W262" s="141">
        <f t="shared" si="162"/>
        <v>3.4888994896292339E-2</v>
      </c>
      <c r="X262" s="141">
        <f t="shared" si="162"/>
        <v>3.4351512472896716E-2</v>
      </c>
      <c r="Y262" s="141">
        <f t="shared" si="162"/>
        <v>0.10390862347622515</v>
      </c>
      <c r="Z262" s="141">
        <f t="shared" si="162"/>
        <v>3.179612051041935E-2</v>
      </c>
      <c r="AA262" s="141">
        <f t="shared" si="162"/>
        <v>2.6612682430581222E-2</v>
      </c>
      <c r="AB262" s="141">
        <f t="shared" si="162"/>
        <v>5.5660909192615467E-2</v>
      </c>
      <c r="AC262" s="141">
        <f t="shared" si="162"/>
        <v>0.11334518730926411</v>
      </c>
      <c r="AD262" s="141">
        <f t="shared" si="162"/>
        <v>4.3157444908495685E-2</v>
      </c>
      <c r="AF262" s="141">
        <v>1.2139240794773683E-2</v>
      </c>
      <c r="AK262" s="141">
        <f t="shared" ref="AK262:AV262" si="163">+AK261/AK$180</f>
        <v>8.5309066608482503E-2</v>
      </c>
      <c r="AL262" s="141">
        <f t="shared" si="163"/>
        <v>8.2141083813569868E-2</v>
      </c>
      <c r="AM262" s="141">
        <f t="shared" si="163"/>
        <v>6.3681277261252625E-2</v>
      </c>
      <c r="AN262" s="141">
        <f t="shared" si="163"/>
        <v>6.3212227581888047E-2</v>
      </c>
      <c r="AO262" s="141">
        <f t="shared" si="163"/>
        <v>5.1900463605835938E-2</v>
      </c>
      <c r="AP262" s="141">
        <f t="shared" si="163"/>
        <v>5.9971813017000136E-2</v>
      </c>
      <c r="AQ262" s="141">
        <f t="shared" si="163"/>
        <v>7.6256498161867997E-2</v>
      </c>
      <c r="AR262" s="141">
        <f t="shared" si="163"/>
        <v>8.5432982361090315E-2</v>
      </c>
      <c r="AS262" s="141">
        <f t="shared" si="163"/>
        <v>9.0841189604639994E-2</v>
      </c>
      <c r="AT262" s="141">
        <f t="shared" si="163"/>
        <v>9.5503183196381819E-2</v>
      </c>
      <c r="AU262" s="141">
        <f t="shared" si="163"/>
        <v>9.4527059672508518E-2</v>
      </c>
      <c r="AV262" s="141">
        <f t="shared" si="163"/>
        <v>9.4155125789872507E-2</v>
      </c>
    </row>
    <row r="263" spans="2:48">
      <c r="AL263" s="703">
        <f t="shared" ref="AL263:AU263" si="164">+AL262-AK262</f>
        <v>-3.1679827949126355E-3</v>
      </c>
      <c r="AM263" s="703">
        <f t="shared" si="164"/>
        <v>-1.8459806552317243E-2</v>
      </c>
      <c r="AN263" s="703">
        <f t="shared" si="164"/>
        <v>-4.6904967936457764E-4</v>
      </c>
      <c r="AO263" s="703">
        <f t="shared" si="164"/>
        <v>-1.131176397605211E-2</v>
      </c>
      <c r="AP263" s="703">
        <f t="shared" si="164"/>
        <v>8.0713494111641984E-3</v>
      </c>
      <c r="AQ263" s="703">
        <f t="shared" si="164"/>
        <v>1.6284685144867861E-2</v>
      </c>
      <c r="AR263" s="703">
        <f t="shared" si="164"/>
        <v>9.1764841992223178E-3</v>
      </c>
      <c r="AS263" s="703">
        <f t="shared" si="164"/>
        <v>5.4082072435496786E-3</v>
      </c>
      <c r="AT263" s="703">
        <f t="shared" si="164"/>
        <v>4.6619935917418254E-3</v>
      </c>
      <c r="AU263" s="703">
        <f t="shared" si="164"/>
        <v>-9.7612352387330126E-4</v>
      </c>
      <c r="AV263" s="703">
        <f>+AV262-AU262</f>
        <v>-3.7193388263601079E-4</v>
      </c>
    </row>
    <row r="264" spans="2:48" s="608" customFormat="1"/>
    <row r="265" spans="2:48" ht="15">
      <c r="B265" s="105"/>
    </row>
    <row r="267" spans="2:48">
      <c r="B267" s="72" t="s">
        <v>767</v>
      </c>
    </row>
    <row r="269" spans="2:48">
      <c r="B269" s="72" t="s">
        <v>768</v>
      </c>
    </row>
    <row r="277" spans="2:2">
      <c r="B277" s="72" t="s">
        <v>769</v>
      </c>
    </row>
    <row r="278" spans="2:2">
      <c r="B278" s="72" t="s">
        <v>770</v>
      </c>
    </row>
    <row r="279" spans="2:2">
      <c r="B279" s="72" t="s">
        <v>771</v>
      </c>
    </row>
    <row r="280" spans="2:2">
      <c r="B280" s="72" t="s">
        <v>772</v>
      </c>
    </row>
    <row r="281" spans="2:2">
      <c r="B281" s="72" t="s">
        <v>773</v>
      </c>
    </row>
    <row r="282" spans="2:2">
      <c r="B282" s="72" t="s">
        <v>774</v>
      </c>
    </row>
  </sheetData>
  <pageMargins left="0.7" right="0.7" top="0.75" bottom="0.75" header="0.3" footer="0.3"/>
  <pageSetup paperSize="9" orientation="portrait" r:id="rId1"/>
  <ignoredErrors>
    <ignoredError sqref="AK9:AN9 AK13:AN13 AK34:AN34 AK39:AL39 AK38:AN38 AK37 AK6:AM6 AK19:AN19 AK16:AM16 AK49:AM49 AK14 AK52:AM53 AK41:AN42 AK10:AM10 AK12:AM12 AK32:AM33 AK40:AM40 AK35:AM36 AK43:AM44 AK46:AM47 V30 V6:V15 V32:V40 V42:V47 V104 V130:V136 V144:V147 V156:V159 AL104:AM104 AL130:AO130 AL133:AO137 AL131:AL132 AL121 AL144:AM147" formulaRange="1"/>
    <ignoredError sqref="L132:U132 AK21:AO22 AO28 AN20:AO20 AK31:AO31 AN29:AO30 AO39:AO50 AK24:AO27 AK23 AM23:AO23" formula="1"/>
    <ignoredError sqref="AK29:AM29 AK30:AM30 AK20:AM20 AK28:AN28 AL23 AM131:AO132" formula="1" formulaRange="1"/>
  </ignoredErrors>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AR81"/>
  <sheetViews>
    <sheetView workbookViewId="0"/>
  </sheetViews>
  <sheetFormatPr defaultColWidth="9.140625" defaultRowHeight="15"/>
  <cols>
    <col min="2" max="2" width="44.85546875" bestFit="1" customWidth="1"/>
    <col min="3" max="6" width="0" hidden="1" customWidth="1"/>
    <col min="29" max="31" width="9.140625" customWidth="1"/>
  </cols>
  <sheetData>
    <row r="2" spans="2:44">
      <c r="G2" s="282" t="s">
        <v>422</v>
      </c>
      <c r="H2" s="282" t="s">
        <v>423</v>
      </c>
      <c r="I2" s="282" t="s">
        <v>424</v>
      </c>
      <c r="J2" s="282" t="s">
        <v>425</v>
      </c>
      <c r="K2" s="282" t="s">
        <v>426</v>
      </c>
      <c r="L2" s="282" t="s">
        <v>427</v>
      </c>
      <c r="M2" s="282" t="s">
        <v>428</v>
      </c>
      <c r="N2" s="282" t="s">
        <v>429</v>
      </c>
      <c r="O2" s="282" t="s">
        <v>430</v>
      </c>
      <c r="P2" s="282" t="s">
        <v>431</v>
      </c>
      <c r="Q2" s="282" t="s">
        <v>432</v>
      </c>
      <c r="R2" s="282" t="s">
        <v>433</v>
      </c>
      <c r="S2" s="282" t="s">
        <v>434</v>
      </c>
      <c r="T2" s="282" t="s">
        <v>435</v>
      </c>
      <c r="U2" s="282" t="s">
        <v>436</v>
      </c>
      <c r="V2" s="282" t="s">
        <v>437</v>
      </c>
      <c r="W2" s="282" t="s">
        <v>438</v>
      </c>
      <c r="X2" s="282" t="s">
        <v>439</v>
      </c>
      <c r="Y2" s="282" t="s">
        <v>440</v>
      </c>
      <c r="Z2" s="282" t="s">
        <v>441</v>
      </c>
      <c r="AF2" s="282">
        <v>2016</v>
      </c>
      <c r="AG2" s="282">
        <v>2017</v>
      </c>
      <c r="AH2" s="282">
        <v>2018</v>
      </c>
      <c r="AI2" s="282">
        <f t="shared" ref="AI2:AQ2" si="0">+AH2+1</f>
        <v>2019</v>
      </c>
      <c r="AJ2" s="282">
        <f t="shared" si="0"/>
        <v>2020</v>
      </c>
      <c r="AK2" s="282">
        <f t="shared" si="0"/>
        <v>2021</v>
      </c>
      <c r="AL2" s="282">
        <f t="shared" si="0"/>
        <v>2022</v>
      </c>
      <c r="AM2" s="282">
        <f t="shared" si="0"/>
        <v>2023</v>
      </c>
      <c r="AN2" s="282">
        <f t="shared" si="0"/>
        <v>2024</v>
      </c>
      <c r="AO2" s="282">
        <f t="shared" si="0"/>
        <v>2025</v>
      </c>
      <c r="AP2" s="282">
        <f t="shared" si="0"/>
        <v>2026</v>
      </c>
      <c r="AQ2" s="282">
        <f t="shared" si="0"/>
        <v>2027</v>
      </c>
      <c r="AR2" s="282"/>
    </row>
    <row r="3" spans="2:44">
      <c r="B3" s="547"/>
      <c r="C3" s="548" t="s">
        <v>709</v>
      </c>
      <c r="D3" s="548" t="s">
        <v>709</v>
      </c>
      <c r="E3" s="548" t="s">
        <v>709</v>
      </c>
      <c r="F3" s="548" t="s">
        <v>709</v>
      </c>
      <c r="G3" s="548" t="s">
        <v>709</v>
      </c>
      <c r="H3" s="548" t="s">
        <v>709</v>
      </c>
      <c r="I3" s="548" t="s">
        <v>709</v>
      </c>
      <c r="J3" s="548" t="s">
        <v>709</v>
      </c>
      <c r="K3" s="548" t="s">
        <v>709</v>
      </c>
      <c r="L3" s="548" t="s">
        <v>709</v>
      </c>
      <c r="M3" s="548" t="s">
        <v>709</v>
      </c>
      <c r="N3" s="548" t="s">
        <v>709</v>
      </c>
      <c r="O3" s="548" t="s">
        <v>709</v>
      </c>
      <c r="P3" s="548" t="s">
        <v>709</v>
      </c>
    </row>
    <row r="4" spans="2:44">
      <c r="B4" s="547" t="s">
        <v>775</v>
      </c>
      <c r="C4" s="548" t="s">
        <v>709</v>
      </c>
      <c r="D4" s="548" t="s">
        <v>709</v>
      </c>
      <c r="E4" s="548" t="s">
        <v>709</v>
      </c>
      <c r="F4" s="548" t="s">
        <v>709</v>
      </c>
      <c r="G4" s="556">
        <f t="shared" ref="G4:S4" si="1">+SUM(G5:G11)</f>
        <v>2209.6999999999998</v>
      </c>
      <c r="H4" s="556">
        <f t="shared" si="1"/>
        <v>2194.1999999999998</v>
      </c>
      <c r="I4" s="556">
        <f t="shared" si="1"/>
        <v>2441.5</v>
      </c>
      <c r="J4" s="556">
        <f t="shared" si="1"/>
        <v>1992.2999999999997</v>
      </c>
      <c r="K4" s="556">
        <f t="shared" si="1"/>
        <v>1948.9</v>
      </c>
      <c r="L4" s="556">
        <f t="shared" si="1"/>
        <v>2015.1999999999998</v>
      </c>
      <c r="M4" s="556">
        <f t="shared" si="1"/>
        <v>2092.5</v>
      </c>
      <c r="N4" s="556">
        <f t="shared" si="1"/>
        <v>2233.3000000000002</v>
      </c>
      <c r="O4" s="556">
        <f t="shared" si="1"/>
        <v>2149.5</v>
      </c>
      <c r="P4" s="556">
        <f t="shared" si="1"/>
        <v>1783.4</v>
      </c>
      <c r="Q4" s="556">
        <f t="shared" si="1"/>
        <v>1773.3000000000002</v>
      </c>
      <c r="R4" s="556">
        <f t="shared" si="1"/>
        <v>1762</v>
      </c>
      <c r="S4" s="556">
        <f t="shared" si="1"/>
        <v>1567.5</v>
      </c>
      <c r="T4" s="556">
        <f t="shared" ref="T4:Z4" si="2">+SUM(T5:T11)</f>
        <v>1543.7</v>
      </c>
      <c r="U4" s="556">
        <f t="shared" si="2"/>
        <v>1650.3</v>
      </c>
      <c r="V4" s="556">
        <f t="shared" si="2"/>
        <v>0</v>
      </c>
      <c r="W4" s="556">
        <f t="shared" si="2"/>
        <v>0</v>
      </c>
      <c r="X4" s="556">
        <f t="shared" si="2"/>
        <v>0</v>
      </c>
      <c r="Y4" s="556">
        <f t="shared" si="2"/>
        <v>0</v>
      </c>
      <c r="Z4" s="556">
        <f t="shared" si="2"/>
        <v>0</v>
      </c>
      <c r="AF4" s="556">
        <f t="shared" ref="AF4:AF21" si="3">+J4</f>
        <v>1992.2999999999997</v>
      </c>
      <c r="AG4" s="556">
        <f t="shared" ref="AG4:AG21" si="4">+N4</f>
        <v>2233.3000000000002</v>
      </c>
      <c r="AH4" s="556">
        <f t="shared" ref="AH4:AH21" si="5">+R4</f>
        <v>1762</v>
      </c>
      <c r="AI4" s="556">
        <f t="shared" ref="AI4:AI21" si="6">+U4</f>
        <v>1650.3</v>
      </c>
    </row>
    <row r="5" spans="2:44">
      <c r="B5" s="549" t="s">
        <v>776</v>
      </c>
      <c r="G5" s="625">
        <v>753.5</v>
      </c>
      <c r="H5" s="625">
        <v>741.5</v>
      </c>
      <c r="I5" s="625">
        <v>901.7</v>
      </c>
      <c r="J5" s="625">
        <v>654.4</v>
      </c>
      <c r="K5" s="625">
        <v>560</v>
      </c>
      <c r="L5" s="625">
        <v>633.79999999999995</v>
      </c>
      <c r="M5" s="625">
        <v>663.8</v>
      </c>
      <c r="N5" s="625">
        <v>881.5</v>
      </c>
      <c r="O5" s="625">
        <v>772.5</v>
      </c>
      <c r="P5" s="625">
        <v>443.9</v>
      </c>
      <c r="Q5" s="625">
        <v>452.6</v>
      </c>
      <c r="R5" s="625">
        <v>532.70000000000005</v>
      </c>
      <c r="S5" s="625">
        <v>406.4</v>
      </c>
      <c r="T5" s="625">
        <v>421</v>
      </c>
      <c r="U5" s="626">
        <v>564.20000000000005</v>
      </c>
      <c r="V5" s="749">
        <f>+V42-V12-V11-V10-V9-V8-V7-V7-V6</f>
        <v>0</v>
      </c>
      <c r="W5" s="749">
        <f>+W42-W12-W11-W10-W9-W8-W7-W7-W6</f>
        <v>0</v>
      </c>
      <c r="X5" s="749">
        <f>+X42-X12-X11-X10-X9-X8-X7-X7-X6</f>
        <v>0</v>
      </c>
      <c r="Y5" s="749">
        <f>+Y42-Y12-Y11-Y10-Y9-Y8-Y7-Y7-Y6</f>
        <v>0</v>
      </c>
      <c r="Z5" s="749">
        <f>+Z42-Z12-Z11-Z10-Z9-Z8-Z7-Z7-Z6</f>
        <v>0</v>
      </c>
      <c r="AF5" s="550">
        <f t="shared" si="3"/>
        <v>654.4</v>
      </c>
      <c r="AG5" s="550">
        <f t="shared" si="4"/>
        <v>881.5</v>
      </c>
      <c r="AH5" s="550">
        <f t="shared" si="5"/>
        <v>532.70000000000005</v>
      </c>
      <c r="AI5" s="550">
        <f t="shared" si="6"/>
        <v>564.20000000000005</v>
      </c>
    </row>
    <row r="6" spans="2:44">
      <c r="B6" s="551" t="s">
        <v>777</v>
      </c>
      <c r="G6" s="625">
        <v>0</v>
      </c>
      <c r="H6" s="625">
        <v>0</v>
      </c>
      <c r="I6" s="625">
        <v>0</v>
      </c>
      <c r="J6" s="625">
        <v>0</v>
      </c>
      <c r="K6" s="625">
        <v>0</v>
      </c>
      <c r="L6" s="625">
        <v>0</v>
      </c>
      <c r="M6" s="625">
        <v>0</v>
      </c>
      <c r="N6" s="625">
        <v>0</v>
      </c>
      <c r="O6" s="625">
        <v>0</v>
      </c>
      <c r="P6" s="625">
        <v>0</v>
      </c>
      <c r="Q6" s="625">
        <v>0</v>
      </c>
      <c r="R6" s="625">
        <v>0</v>
      </c>
      <c r="S6" s="625">
        <v>17</v>
      </c>
      <c r="T6" s="625">
        <v>0</v>
      </c>
      <c r="U6" s="625">
        <v>0</v>
      </c>
      <c r="V6" s="625"/>
      <c r="W6" s="625"/>
      <c r="X6" s="625"/>
      <c r="Y6" s="625"/>
      <c r="Z6" s="625"/>
      <c r="AF6" s="552">
        <f t="shared" si="3"/>
        <v>0</v>
      </c>
      <c r="AG6" s="552">
        <f t="shared" si="4"/>
        <v>0</v>
      </c>
      <c r="AH6" s="552">
        <f t="shared" si="5"/>
        <v>0</v>
      </c>
      <c r="AI6" s="552">
        <f t="shared" si="6"/>
        <v>0</v>
      </c>
    </row>
    <row r="7" spans="2:44">
      <c r="B7" s="549" t="s">
        <v>778</v>
      </c>
      <c r="G7" s="625">
        <v>427.9</v>
      </c>
      <c r="H7" s="625">
        <v>466.2</v>
      </c>
      <c r="I7" s="625">
        <v>505.2</v>
      </c>
      <c r="J7" s="625">
        <v>458.9</v>
      </c>
      <c r="K7" s="625">
        <v>457</v>
      </c>
      <c r="L7" s="625">
        <v>450</v>
      </c>
      <c r="M7" s="625">
        <v>473.5</v>
      </c>
      <c r="N7" s="625">
        <v>457.2</v>
      </c>
      <c r="O7" s="625">
        <v>429</v>
      </c>
      <c r="P7" s="625">
        <v>386.4</v>
      </c>
      <c r="Q7" s="625">
        <v>374.3</v>
      </c>
      <c r="R7" s="625">
        <v>349.7</v>
      </c>
      <c r="S7" s="625">
        <v>340.9</v>
      </c>
      <c r="T7" s="625">
        <v>332.8</v>
      </c>
      <c r="U7" s="626">
        <v>303</v>
      </c>
      <c r="V7" s="626"/>
      <c r="W7" s="626"/>
      <c r="X7" s="626"/>
      <c r="Y7" s="626"/>
      <c r="Z7" s="626"/>
      <c r="AF7" s="550">
        <f t="shared" si="3"/>
        <v>458.9</v>
      </c>
      <c r="AG7" s="550">
        <f t="shared" si="4"/>
        <v>457.2</v>
      </c>
      <c r="AH7" s="550">
        <f t="shared" si="5"/>
        <v>349.7</v>
      </c>
      <c r="AI7" s="550">
        <f t="shared" si="6"/>
        <v>303</v>
      </c>
    </row>
    <row r="8" spans="2:44">
      <c r="B8" s="549" t="s">
        <v>562</v>
      </c>
      <c r="G8" s="625">
        <v>683.6</v>
      </c>
      <c r="H8" s="625">
        <v>665.5</v>
      </c>
      <c r="I8" s="625">
        <v>706.4</v>
      </c>
      <c r="J8" s="625">
        <v>586.4</v>
      </c>
      <c r="K8" s="625">
        <v>630.4</v>
      </c>
      <c r="L8" s="625">
        <v>636.9</v>
      </c>
      <c r="M8" s="625">
        <v>662.5</v>
      </c>
      <c r="N8" s="625">
        <v>598.20000000000005</v>
      </c>
      <c r="O8" s="625">
        <v>697</v>
      </c>
      <c r="P8" s="625">
        <v>662.2</v>
      </c>
      <c r="Q8" s="625">
        <v>682.2</v>
      </c>
      <c r="R8" s="625">
        <v>542</v>
      </c>
      <c r="S8" s="625">
        <v>532.29999999999995</v>
      </c>
      <c r="T8" s="625">
        <v>515.6</v>
      </c>
      <c r="U8" s="626">
        <v>499.4</v>
      </c>
      <c r="V8" s="626"/>
      <c r="W8" s="626"/>
      <c r="X8" s="626"/>
      <c r="Y8" s="626"/>
      <c r="Z8" s="626"/>
      <c r="AF8" s="550">
        <f t="shared" si="3"/>
        <v>586.4</v>
      </c>
      <c r="AG8" s="550">
        <f t="shared" si="4"/>
        <v>598.20000000000005</v>
      </c>
      <c r="AH8" s="550">
        <f t="shared" si="5"/>
        <v>542</v>
      </c>
      <c r="AI8" s="550">
        <f t="shared" si="6"/>
        <v>499.4</v>
      </c>
    </row>
    <row r="9" spans="2:44">
      <c r="B9" s="549" t="s">
        <v>779</v>
      </c>
      <c r="G9" s="625">
        <v>331.2</v>
      </c>
      <c r="H9" s="625">
        <v>314</v>
      </c>
      <c r="I9" s="625">
        <v>323.5</v>
      </c>
      <c r="J9" s="625">
        <v>291.3</v>
      </c>
      <c r="K9" s="625">
        <v>300.2</v>
      </c>
      <c r="L9" s="625">
        <v>294</v>
      </c>
      <c r="M9" s="625">
        <v>292.2</v>
      </c>
      <c r="N9" s="625">
        <v>296.39999999999998</v>
      </c>
      <c r="O9" s="625">
        <v>251</v>
      </c>
      <c r="P9" s="625">
        <v>290.89999999999998</v>
      </c>
      <c r="Q9" s="625">
        <v>264.2</v>
      </c>
      <c r="R9" s="625">
        <v>272</v>
      </c>
      <c r="S9" s="625">
        <v>255.2</v>
      </c>
      <c r="T9" s="625">
        <v>264.2</v>
      </c>
      <c r="U9" s="626">
        <v>265.39999999999998</v>
      </c>
      <c r="V9" s="626"/>
      <c r="W9" s="626"/>
      <c r="X9" s="626"/>
      <c r="Y9" s="626"/>
      <c r="Z9" s="626"/>
      <c r="AF9" s="550">
        <f t="shared" si="3"/>
        <v>291.3</v>
      </c>
      <c r="AG9" s="550">
        <f t="shared" si="4"/>
        <v>296.39999999999998</v>
      </c>
      <c r="AH9" s="550">
        <f t="shared" si="5"/>
        <v>272</v>
      </c>
      <c r="AI9" s="550">
        <f t="shared" si="6"/>
        <v>265.39999999999998</v>
      </c>
    </row>
    <row r="10" spans="2:44">
      <c r="B10" s="553" t="s">
        <v>780</v>
      </c>
      <c r="G10" s="627">
        <v>13.5</v>
      </c>
      <c r="H10" s="627">
        <v>7</v>
      </c>
      <c r="I10" s="627">
        <v>4.7</v>
      </c>
      <c r="J10" s="627">
        <v>1.3</v>
      </c>
      <c r="K10" s="627">
        <v>1.3</v>
      </c>
      <c r="L10" s="627">
        <v>0.5</v>
      </c>
      <c r="M10" s="627">
        <v>0.5</v>
      </c>
      <c r="N10" s="625">
        <v>0</v>
      </c>
      <c r="O10" s="625">
        <v>0</v>
      </c>
      <c r="P10" s="625">
        <v>0</v>
      </c>
      <c r="Q10" s="625">
        <v>0</v>
      </c>
      <c r="R10" s="625">
        <v>0</v>
      </c>
      <c r="S10" s="625">
        <v>0</v>
      </c>
      <c r="T10" s="625">
        <v>0</v>
      </c>
      <c r="U10" s="625">
        <v>0</v>
      </c>
      <c r="V10" s="625"/>
      <c r="W10" s="625"/>
      <c r="X10" s="625"/>
      <c r="Y10" s="625"/>
      <c r="Z10" s="625"/>
      <c r="AF10" s="552">
        <f t="shared" si="3"/>
        <v>1.3</v>
      </c>
      <c r="AG10" s="552">
        <f t="shared" si="4"/>
        <v>0</v>
      </c>
      <c r="AH10" s="552">
        <f t="shared" si="5"/>
        <v>0</v>
      </c>
      <c r="AI10" s="552">
        <f t="shared" si="6"/>
        <v>0</v>
      </c>
    </row>
    <row r="11" spans="2:44">
      <c r="B11" s="554" t="s">
        <v>781</v>
      </c>
      <c r="G11" s="625">
        <v>0</v>
      </c>
      <c r="H11" s="625">
        <v>0</v>
      </c>
      <c r="I11" s="625">
        <v>0</v>
      </c>
      <c r="J11" s="625">
        <v>0</v>
      </c>
      <c r="K11" s="625">
        <v>0</v>
      </c>
      <c r="L11" s="625">
        <v>0</v>
      </c>
      <c r="M11" s="625">
        <v>0</v>
      </c>
      <c r="N11" s="625">
        <v>0</v>
      </c>
      <c r="O11" s="625">
        <v>0</v>
      </c>
      <c r="P11" s="625">
        <v>0</v>
      </c>
      <c r="Q11" s="625">
        <v>0</v>
      </c>
      <c r="R11" s="625">
        <v>65.599999999999994</v>
      </c>
      <c r="S11" s="625">
        <v>15.7</v>
      </c>
      <c r="T11" s="625">
        <v>10.1</v>
      </c>
      <c r="U11" s="626">
        <v>18.3</v>
      </c>
      <c r="V11" s="626"/>
      <c r="W11" s="626"/>
      <c r="X11" s="626"/>
      <c r="Y11" s="626"/>
      <c r="Z11" s="626"/>
      <c r="AF11" s="550">
        <f t="shared" si="3"/>
        <v>0</v>
      </c>
      <c r="AG11" s="550">
        <f t="shared" si="4"/>
        <v>0</v>
      </c>
      <c r="AH11" s="550">
        <f t="shared" si="5"/>
        <v>65.599999999999994</v>
      </c>
      <c r="AI11" s="550">
        <f t="shared" si="6"/>
        <v>18.3</v>
      </c>
    </row>
    <row r="12" spans="2:44">
      <c r="B12" s="547" t="s">
        <v>782</v>
      </c>
      <c r="G12" s="556">
        <f t="shared" ref="G12:Z12" si="7">+SUM(G13:G20)</f>
        <v>1419.4</v>
      </c>
      <c r="H12" s="556">
        <f t="shared" si="7"/>
        <v>1443.9</v>
      </c>
      <c r="I12" s="556">
        <f t="shared" si="7"/>
        <v>1464</v>
      </c>
      <c r="J12" s="556">
        <f t="shared" si="7"/>
        <v>2850.7</v>
      </c>
      <c r="K12" s="556">
        <f t="shared" si="7"/>
        <v>1477.3</v>
      </c>
      <c r="L12" s="556">
        <f t="shared" si="7"/>
        <v>1452.3000000000002</v>
      </c>
      <c r="M12" s="556">
        <f t="shared" si="7"/>
        <v>1424.1</v>
      </c>
      <c r="N12" s="556">
        <f t="shared" si="7"/>
        <v>2946.5</v>
      </c>
      <c r="O12" s="556">
        <f t="shared" si="7"/>
        <v>1490.9</v>
      </c>
      <c r="P12" s="556">
        <f t="shared" si="7"/>
        <v>1303</v>
      </c>
      <c r="Q12" s="556">
        <f t="shared" si="7"/>
        <v>1301.3</v>
      </c>
      <c r="R12" s="556">
        <f t="shared" si="7"/>
        <v>1248</v>
      </c>
      <c r="S12" s="556">
        <f t="shared" si="7"/>
        <v>1430</v>
      </c>
      <c r="T12" s="556">
        <f t="shared" si="7"/>
        <v>1427.5</v>
      </c>
      <c r="U12" s="556">
        <f t="shared" si="7"/>
        <v>1419.9</v>
      </c>
      <c r="V12" s="556">
        <f t="shared" si="7"/>
        <v>0</v>
      </c>
      <c r="W12" s="556">
        <f t="shared" si="7"/>
        <v>0</v>
      </c>
      <c r="X12" s="556">
        <f t="shared" si="7"/>
        <v>0</v>
      </c>
      <c r="Y12" s="556">
        <f t="shared" si="7"/>
        <v>0</v>
      </c>
      <c r="Z12" s="556">
        <f t="shared" si="7"/>
        <v>0</v>
      </c>
      <c r="AF12" s="556">
        <f t="shared" si="3"/>
        <v>2850.7</v>
      </c>
      <c r="AG12" s="556">
        <f t="shared" si="4"/>
        <v>2946.5</v>
      </c>
      <c r="AH12" s="556">
        <f t="shared" si="5"/>
        <v>1248</v>
      </c>
      <c r="AI12" s="556">
        <f t="shared" si="6"/>
        <v>1419.9</v>
      </c>
    </row>
    <row r="13" spans="2:44">
      <c r="B13" s="551" t="s">
        <v>783</v>
      </c>
      <c r="G13" s="627">
        <v>0</v>
      </c>
      <c r="H13" s="627">
        <v>0</v>
      </c>
      <c r="I13" s="627">
        <v>0</v>
      </c>
      <c r="J13" s="627">
        <v>29.5</v>
      </c>
      <c r="K13" s="627">
        <v>0</v>
      </c>
      <c r="L13" s="627">
        <v>0</v>
      </c>
      <c r="M13" s="627">
        <v>0</v>
      </c>
      <c r="N13" s="627">
        <v>31.3</v>
      </c>
      <c r="O13" s="627">
        <v>0</v>
      </c>
      <c r="P13" s="627">
        <v>0</v>
      </c>
      <c r="Q13" s="627">
        <v>0</v>
      </c>
      <c r="R13" s="627">
        <v>0</v>
      </c>
      <c r="S13" s="627">
        <v>0</v>
      </c>
      <c r="T13" s="627">
        <v>0</v>
      </c>
      <c r="U13" s="627">
        <v>0</v>
      </c>
      <c r="V13" s="627"/>
      <c r="W13" s="627"/>
      <c r="X13" s="627"/>
      <c r="Y13" s="627"/>
      <c r="Z13" s="627"/>
      <c r="AF13" s="552">
        <f t="shared" si="3"/>
        <v>29.5</v>
      </c>
      <c r="AG13" s="552">
        <f t="shared" si="4"/>
        <v>31.3</v>
      </c>
      <c r="AH13" s="552">
        <f t="shared" si="5"/>
        <v>0</v>
      </c>
      <c r="AI13" s="552">
        <f t="shared" si="6"/>
        <v>0</v>
      </c>
    </row>
    <row r="14" spans="2:44">
      <c r="B14" s="551" t="s">
        <v>784</v>
      </c>
      <c r="G14" s="627">
        <v>0</v>
      </c>
      <c r="H14" s="627">
        <v>0</v>
      </c>
      <c r="I14" s="627">
        <v>0</v>
      </c>
      <c r="J14" s="627">
        <v>621.5</v>
      </c>
      <c r="K14" s="627">
        <v>0</v>
      </c>
      <c r="L14" s="627">
        <v>0</v>
      </c>
      <c r="M14" s="627">
        <v>0</v>
      </c>
      <c r="N14" s="627">
        <v>646</v>
      </c>
      <c r="O14" s="627">
        <v>0</v>
      </c>
      <c r="P14" s="627">
        <v>0</v>
      </c>
      <c r="Q14" s="627">
        <v>0</v>
      </c>
      <c r="R14" s="627">
        <v>0</v>
      </c>
      <c r="S14" s="627">
        <v>0</v>
      </c>
      <c r="T14" s="627">
        <v>0</v>
      </c>
      <c r="U14" s="627">
        <v>0</v>
      </c>
      <c r="V14" s="627"/>
      <c r="W14" s="627"/>
      <c r="X14" s="627"/>
      <c r="Y14" s="627"/>
      <c r="Z14" s="627"/>
      <c r="AF14" s="552">
        <f t="shared" si="3"/>
        <v>621.5</v>
      </c>
      <c r="AG14" s="552">
        <f t="shared" si="4"/>
        <v>646</v>
      </c>
      <c r="AH14" s="552">
        <f t="shared" si="5"/>
        <v>0</v>
      </c>
      <c r="AI14" s="552">
        <f t="shared" si="6"/>
        <v>0</v>
      </c>
    </row>
    <row r="15" spans="2:44">
      <c r="B15" s="551" t="s">
        <v>785</v>
      </c>
      <c r="G15" s="627">
        <v>0</v>
      </c>
      <c r="H15" s="627">
        <v>0</v>
      </c>
      <c r="I15" s="627">
        <v>0</v>
      </c>
      <c r="J15" s="627">
        <v>773.1</v>
      </c>
      <c r="K15" s="627">
        <v>0</v>
      </c>
      <c r="L15" s="627">
        <v>0</v>
      </c>
      <c r="M15" s="627">
        <v>0</v>
      </c>
      <c r="N15" s="627">
        <v>804.6</v>
      </c>
      <c r="O15" s="627">
        <v>0</v>
      </c>
      <c r="P15" s="627">
        <v>0</v>
      </c>
      <c r="Q15" s="627">
        <v>0</v>
      </c>
      <c r="R15" s="627">
        <v>0</v>
      </c>
      <c r="S15" s="627">
        <v>0</v>
      </c>
      <c r="T15" s="627">
        <v>0</v>
      </c>
      <c r="U15" s="627">
        <v>0</v>
      </c>
      <c r="V15" s="627"/>
      <c r="W15" s="627"/>
      <c r="X15" s="627"/>
      <c r="Y15" s="627"/>
      <c r="Z15" s="627"/>
      <c r="AF15" s="552">
        <f t="shared" si="3"/>
        <v>773.1</v>
      </c>
      <c r="AG15" s="552">
        <f t="shared" si="4"/>
        <v>804.6</v>
      </c>
      <c r="AH15" s="552">
        <f t="shared" si="5"/>
        <v>0</v>
      </c>
      <c r="AI15" s="552">
        <f t="shared" si="6"/>
        <v>0</v>
      </c>
    </row>
    <row r="16" spans="2:44">
      <c r="B16" s="549" t="s">
        <v>786</v>
      </c>
      <c r="G16" s="625">
        <v>748.7</v>
      </c>
      <c r="H16" s="625">
        <v>743.3</v>
      </c>
      <c r="I16" s="625">
        <v>746.7</v>
      </c>
      <c r="J16" s="625">
        <v>711.3</v>
      </c>
      <c r="K16" s="625">
        <v>732.9</v>
      </c>
      <c r="L16" s="625">
        <v>721.7</v>
      </c>
      <c r="M16" s="625">
        <v>706.5</v>
      </c>
      <c r="N16" s="625">
        <v>702.7</v>
      </c>
      <c r="O16" s="625">
        <v>702.7</v>
      </c>
      <c r="P16" s="625">
        <v>634.20000000000005</v>
      </c>
      <c r="Q16" s="625">
        <v>624</v>
      </c>
      <c r="R16" s="625">
        <v>557.6</v>
      </c>
      <c r="S16" s="625">
        <v>543.20000000000005</v>
      </c>
      <c r="T16" s="625">
        <v>520.20000000000005</v>
      </c>
      <c r="U16" s="626">
        <v>477</v>
      </c>
      <c r="V16" s="626"/>
      <c r="W16" s="626"/>
      <c r="X16" s="626"/>
      <c r="Y16" s="626"/>
      <c r="Z16" s="626"/>
      <c r="AF16" s="550">
        <f t="shared" si="3"/>
        <v>711.3</v>
      </c>
      <c r="AG16" s="550">
        <f t="shared" si="4"/>
        <v>702.7</v>
      </c>
      <c r="AH16" s="550">
        <f t="shared" si="5"/>
        <v>557.6</v>
      </c>
      <c r="AI16" s="550">
        <f t="shared" si="6"/>
        <v>477</v>
      </c>
    </row>
    <row r="17" spans="2:35">
      <c r="B17" s="549" t="s">
        <v>787</v>
      </c>
      <c r="G17" s="625">
        <v>0</v>
      </c>
      <c r="H17" s="625">
        <v>0</v>
      </c>
      <c r="I17" s="625">
        <v>0</v>
      </c>
      <c r="J17" s="625">
        <v>0</v>
      </c>
      <c r="K17" s="625">
        <v>0</v>
      </c>
      <c r="L17" s="625">
        <v>0</v>
      </c>
      <c r="M17" s="625">
        <v>0</v>
      </c>
      <c r="N17" s="625">
        <v>0</v>
      </c>
      <c r="O17" s="625">
        <v>0</v>
      </c>
      <c r="P17" s="625">
        <v>0</v>
      </c>
      <c r="Q17" s="625">
        <v>0</v>
      </c>
      <c r="R17" s="625">
        <v>0</v>
      </c>
      <c r="S17" s="625">
        <v>180.3</v>
      </c>
      <c r="T17" s="625">
        <v>174.9</v>
      </c>
      <c r="U17" s="626">
        <v>172.3</v>
      </c>
      <c r="V17" s="626"/>
      <c r="W17" s="626"/>
      <c r="X17" s="626"/>
      <c r="Y17" s="626"/>
      <c r="Z17" s="626"/>
      <c r="AF17" s="550">
        <f t="shared" si="3"/>
        <v>0</v>
      </c>
      <c r="AG17" s="550">
        <f t="shared" si="4"/>
        <v>0</v>
      </c>
      <c r="AH17" s="550">
        <f t="shared" si="5"/>
        <v>0</v>
      </c>
      <c r="AI17" s="550">
        <f t="shared" si="6"/>
        <v>172.3</v>
      </c>
    </row>
    <row r="18" spans="2:35">
      <c r="B18" s="549" t="s">
        <v>577</v>
      </c>
      <c r="G18" s="625">
        <v>94.9</v>
      </c>
      <c r="H18" s="625">
        <v>96.1</v>
      </c>
      <c r="I18" s="625">
        <v>98.1</v>
      </c>
      <c r="J18" s="625">
        <v>93.6</v>
      </c>
      <c r="K18" s="625">
        <v>97.1</v>
      </c>
      <c r="L18" s="625">
        <v>94.6</v>
      </c>
      <c r="M18" s="625">
        <v>96.8</v>
      </c>
      <c r="N18" s="625">
        <v>95.7</v>
      </c>
      <c r="O18" s="625">
        <v>100.9</v>
      </c>
      <c r="P18" s="625">
        <v>94.9</v>
      </c>
      <c r="Q18" s="625">
        <v>92.8</v>
      </c>
      <c r="R18" s="625">
        <v>87.4</v>
      </c>
      <c r="S18" s="625">
        <v>88.6</v>
      </c>
      <c r="T18" s="625">
        <v>89.9</v>
      </c>
      <c r="U18" s="626">
        <v>82.5</v>
      </c>
      <c r="V18" s="626"/>
      <c r="W18" s="626"/>
      <c r="X18" s="626"/>
      <c r="Y18" s="626"/>
      <c r="Z18" s="626"/>
      <c r="AF18" s="550">
        <f t="shared" si="3"/>
        <v>93.6</v>
      </c>
      <c r="AG18" s="550">
        <f t="shared" si="4"/>
        <v>95.7</v>
      </c>
      <c r="AH18" s="550">
        <f t="shared" si="5"/>
        <v>87.4</v>
      </c>
      <c r="AI18" s="550">
        <f t="shared" si="6"/>
        <v>82.5</v>
      </c>
    </row>
    <row r="19" spans="2:35">
      <c r="B19" s="549" t="s">
        <v>788</v>
      </c>
      <c r="G19" s="625">
        <v>0</v>
      </c>
      <c r="H19" s="625">
        <v>0</v>
      </c>
      <c r="I19" s="625">
        <v>0</v>
      </c>
      <c r="J19" s="625">
        <v>0</v>
      </c>
      <c r="K19" s="625">
        <v>0</v>
      </c>
      <c r="L19" s="625">
        <v>0</v>
      </c>
      <c r="M19" s="625">
        <v>0</v>
      </c>
      <c r="N19" s="625">
        <v>0</v>
      </c>
      <c r="O19" s="625">
        <v>0</v>
      </c>
      <c r="P19" s="625">
        <v>0</v>
      </c>
      <c r="Q19" s="625">
        <v>0</v>
      </c>
      <c r="R19" s="625">
        <v>212.6</v>
      </c>
      <c r="S19" s="625">
        <v>204.2</v>
      </c>
      <c r="T19" s="625">
        <v>208.2</v>
      </c>
      <c r="U19" s="626">
        <v>174.2</v>
      </c>
      <c r="V19" s="626"/>
      <c r="W19" s="626"/>
      <c r="X19" s="626"/>
      <c r="Y19" s="626"/>
      <c r="Z19" s="626"/>
      <c r="AF19" s="550">
        <f t="shared" si="3"/>
        <v>0</v>
      </c>
      <c r="AG19" s="550">
        <f t="shared" si="4"/>
        <v>0</v>
      </c>
      <c r="AH19" s="550">
        <f t="shared" si="5"/>
        <v>212.6</v>
      </c>
      <c r="AI19" s="550">
        <f t="shared" si="6"/>
        <v>174.2</v>
      </c>
    </row>
    <row r="20" spans="2:35">
      <c r="B20" s="549" t="s">
        <v>789</v>
      </c>
      <c r="G20" s="625">
        <v>575.79999999999995</v>
      </c>
      <c r="H20" s="625">
        <v>604.5</v>
      </c>
      <c r="I20" s="625">
        <v>619.20000000000005</v>
      </c>
      <c r="J20" s="625">
        <v>621.70000000000005</v>
      </c>
      <c r="K20" s="625">
        <v>647.29999999999995</v>
      </c>
      <c r="L20" s="625">
        <v>636</v>
      </c>
      <c r="M20" s="625">
        <v>620.79999999999995</v>
      </c>
      <c r="N20" s="625">
        <v>666.2</v>
      </c>
      <c r="O20" s="625">
        <v>687.3</v>
      </c>
      <c r="P20" s="625">
        <v>573.9</v>
      </c>
      <c r="Q20" s="625">
        <v>584.5</v>
      </c>
      <c r="R20" s="625">
        <v>390.4</v>
      </c>
      <c r="S20" s="625">
        <v>413.7</v>
      </c>
      <c r="T20" s="625">
        <v>434.3</v>
      </c>
      <c r="U20" s="626">
        <v>513.9</v>
      </c>
      <c r="V20" s="626"/>
      <c r="W20" s="626"/>
      <c r="X20" s="626"/>
      <c r="Y20" s="626"/>
      <c r="Z20" s="626"/>
      <c r="AF20" s="550">
        <f t="shared" si="3"/>
        <v>621.70000000000005</v>
      </c>
      <c r="AG20" s="550">
        <f t="shared" si="4"/>
        <v>666.2</v>
      </c>
      <c r="AH20" s="550">
        <f t="shared" si="5"/>
        <v>390.4</v>
      </c>
      <c r="AI20" s="550">
        <f t="shared" si="6"/>
        <v>513.9</v>
      </c>
    </row>
    <row r="21" spans="2:35">
      <c r="B21" s="547" t="s">
        <v>790</v>
      </c>
      <c r="G21" s="556">
        <f t="shared" ref="G21:Z21" si="8">+G12+G4</f>
        <v>3629.1</v>
      </c>
      <c r="H21" s="556">
        <f t="shared" si="8"/>
        <v>3638.1</v>
      </c>
      <c r="I21" s="556">
        <f t="shared" si="8"/>
        <v>3905.5</v>
      </c>
      <c r="J21" s="556">
        <f t="shared" si="8"/>
        <v>4843</v>
      </c>
      <c r="K21" s="556">
        <f t="shared" si="8"/>
        <v>3426.2</v>
      </c>
      <c r="L21" s="556">
        <f t="shared" si="8"/>
        <v>3467.5</v>
      </c>
      <c r="M21" s="556">
        <f t="shared" si="8"/>
        <v>3516.6</v>
      </c>
      <c r="N21" s="556">
        <f t="shared" si="8"/>
        <v>5179.8</v>
      </c>
      <c r="O21" s="556">
        <f t="shared" si="8"/>
        <v>3640.4</v>
      </c>
      <c r="P21" s="556">
        <f t="shared" si="8"/>
        <v>3086.4</v>
      </c>
      <c r="Q21" s="556">
        <f t="shared" si="8"/>
        <v>3074.6000000000004</v>
      </c>
      <c r="R21" s="556">
        <f t="shared" si="8"/>
        <v>3010</v>
      </c>
      <c r="S21" s="556">
        <f t="shared" si="8"/>
        <v>2997.5</v>
      </c>
      <c r="T21" s="556">
        <f t="shared" si="8"/>
        <v>2971.2</v>
      </c>
      <c r="U21" s="556">
        <f t="shared" si="8"/>
        <v>3070.2</v>
      </c>
      <c r="V21" s="556">
        <f t="shared" si="8"/>
        <v>0</v>
      </c>
      <c r="W21" s="556">
        <f t="shared" si="8"/>
        <v>0</v>
      </c>
      <c r="X21" s="556">
        <f t="shared" si="8"/>
        <v>0</v>
      </c>
      <c r="Y21" s="556">
        <f t="shared" si="8"/>
        <v>0</v>
      </c>
      <c r="Z21" s="556">
        <f t="shared" si="8"/>
        <v>0</v>
      </c>
      <c r="AF21" s="556">
        <f t="shared" si="3"/>
        <v>4843</v>
      </c>
      <c r="AG21" s="556">
        <f t="shared" si="4"/>
        <v>5179.8</v>
      </c>
      <c r="AH21" s="556">
        <f t="shared" si="5"/>
        <v>3010</v>
      </c>
      <c r="AI21" s="556">
        <f t="shared" si="6"/>
        <v>3070.2</v>
      </c>
    </row>
    <row r="22" spans="2:35">
      <c r="B22" s="555"/>
    </row>
    <row r="23" spans="2:35">
      <c r="B23" s="547"/>
      <c r="G23" s="548" t="s">
        <v>709</v>
      </c>
      <c r="H23" s="548" t="s">
        <v>709</v>
      </c>
      <c r="I23" s="548" t="s">
        <v>709</v>
      </c>
      <c r="J23" s="548" t="s">
        <v>709</v>
      </c>
      <c r="K23" s="548" t="s">
        <v>709</v>
      </c>
      <c r="L23" s="548" t="s">
        <v>709</v>
      </c>
      <c r="M23" s="548" t="s">
        <v>709</v>
      </c>
      <c r="N23" s="548" t="s">
        <v>709</v>
      </c>
      <c r="O23" s="548" t="s">
        <v>709</v>
      </c>
      <c r="P23" s="548" t="s">
        <v>709</v>
      </c>
      <c r="Q23" s="548" t="s">
        <v>709</v>
      </c>
      <c r="R23" s="548" t="s">
        <v>709</v>
      </c>
      <c r="S23" s="548" t="s">
        <v>709</v>
      </c>
      <c r="T23" s="548" t="s">
        <v>709</v>
      </c>
      <c r="AF23" s="548"/>
      <c r="AG23" s="548"/>
      <c r="AH23" s="548"/>
      <c r="AI23" s="548"/>
    </row>
    <row r="24" spans="2:35">
      <c r="B24" s="547" t="s">
        <v>791</v>
      </c>
      <c r="G24" s="556">
        <f>+SUM(G25:G32)</f>
        <v>1605.1</v>
      </c>
      <c r="H24" s="556">
        <f t="shared" ref="H24:Z24" si="9">+SUM(H25:H32)</f>
        <v>1492.0999999999997</v>
      </c>
      <c r="I24" s="556">
        <f t="shared" si="9"/>
        <v>1588.4000000000003</v>
      </c>
      <c r="J24" s="556">
        <f t="shared" si="9"/>
        <v>1485.7000000000003</v>
      </c>
      <c r="K24" s="556">
        <f t="shared" si="9"/>
        <v>1450.8999999999999</v>
      </c>
      <c r="L24" s="556">
        <f t="shared" si="9"/>
        <v>1487.5</v>
      </c>
      <c r="M24" s="556">
        <f t="shared" si="9"/>
        <v>1471.5</v>
      </c>
      <c r="N24" s="556">
        <f t="shared" si="9"/>
        <v>1559.6000000000001</v>
      </c>
      <c r="O24" s="556">
        <f t="shared" si="9"/>
        <v>1750.8000000000002</v>
      </c>
      <c r="P24" s="556">
        <f t="shared" si="9"/>
        <v>1383.6</v>
      </c>
      <c r="Q24" s="556">
        <f t="shared" si="9"/>
        <v>1418.2</v>
      </c>
      <c r="R24" s="556">
        <f t="shared" si="9"/>
        <v>1496.5000000000002</v>
      </c>
      <c r="S24" s="556">
        <f t="shared" si="9"/>
        <v>1775.2</v>
      </c>
      <c r="T24" s="556">
        <f t="shared" si="9"/>
        <v>1756.7</v>
      </c>
      <c r="U24" s="556">
        <f t="shared" si="9"/>
        <v>1373.3000000000002</v>
      </c>
      <c r="V24" s="556">
        <f t="shared" si="9"/>
        <v>0</v>
      </c>
      <c r="W24" s="556">
        <f t="shared" si="9"/>
        <v>0</v>
      </c>
      <c r="X24" s="556">
        <f t="shared" si="9"/>
        <v>0</v>
      </c>
      <c r="Y24" s="556">
        <f t="shared" si="9"/>
        <v>0</v>
      </c>
      <c r="Z24" s="556">
        <f t="shared" si="9"/>
        <v>0</v>
      </c>
      <c r="AF24" s="556">
        <f t="shared" ref="AF24:AF43" si="10">+J24</f>
        <v>1485.7000000000003</v>
      </c>
      <c r="AG24" s="556">
        <f t="shared" ref="AG24:AG43" si="11">+N24</f>
        <v>1559.6000000000001</v>
      </c>
      <c r="AH24" s="556">
        <f t="shared" ref="AH24:AH43" si="12">+R24</f>
        <v>1496.5000000000002</v>
      </c>
      <c r="AI24" s="556">
        <f t="shared" ref="AI24:AI43" si="13">+U24</f>
        <v>1373.3000000000002</v>
      </c>
    </row>
    <row r="25" spans="2:35">
      <c r="B25" s="549" t="s">
        <v>792</v>
      </c>
      <c r="G25" s="625">
        <v>69</v>
      </c>
      <c r="H25" s="625">
        <v>48.8</v>
      </c>
      <c r="I25" s="625">
        <v>111.3</v>
      </c>
      <c r="J25" s="625">
        <v>18.100000000000001</v>
      </c>
      <c r="K25" s="625">
        <v>20.100000000000001</v>
      </c>
      <c r="L25" s="625">
        <v>13</v>
      </c>
      <c r="M25" s="625">
        <v>16.100000000000001</v>
      </c>
      <c r="N25" s="625">
        <v>25.7</v>
      </c>
      <c r="O25" s="625">
        <v>270.8</v>
      </c>
      <c r="P25" s="625">
        <v>12</v>
      </c>
      <c r="Q25" s="625">
        <v>16.3</v>
      </c>
      <c r="R25" s="625">
        <v>12</v>
      </c>
      <c r="S25" s="625">
        <v>425.4</v>
      </c>
      <c r="T25" s="625">
        <v>398.5</v>
      </c>
      <c r="U25" s="626">
        <v>116.2</v>
      </c>
      <c r="V25" s="626"/>
      <c r="W25" s="626"/>
      <c r="X25" s="626"/>
      <c r="Y25" s="626"/>
      <c r="Z25" s="626"/>
      <c r="AF25" s="550">
        <f t="shared" si="10"/>
        <v>18.100000000000001</v>
      </c>
      <c r="AG25" s="550">
        <f t="shared" si="11"/>
        <v>25.7</v>
      </c>
      <c r="AH25" s="550">
        <f t="shared" si="12"/>
        <v>12</v>
      </c>
      <c r="AI25" s="550">
        <f t="shared" si="13"/>
        <v>116.2</v>
      </c>
    </row>
    <row r="26" spans="2:35">
      <c r="B26" s="549" t="s">
        <v>793</v>
      </c>
      <c r="G26" s="625">
        <v>732.9</v>
      </c>
      <c r="H26" s="625">
        <v>723.7</v>
      </c>
      <c r="I26" s="625">
        <v>760.1</v>
      </c>
      <c r="J26" s="625">
        <v>768.1</v>
      </c>
      <c r="K26" s="625">
        <v>754.3</v>
      </c>
      <c r="L26" s="625">
        <v>752.4</v>
      </c>
      <c r="M26" s="625">
        <v>796.7</v>
      </c>
      <c r="N26" s="625">
        <v>832.2</v>
      </c>
      <c r="O26" s="625">
        <v>803</v>
      </c>
      <c r="P26" s="625">
        <v>729.5</v>
      </c>
      <c r="Q26" s="625">
        <v>764.8</v>
      </c>
      <c r="R26" s="625">
        <v>816.5</v>
      </c>
      <c r="S26" s="625">
        <v>706</v>
      </c>
      <c r="T26" s="625">
        <v>682.2</v>
      </c>
      <c r="U26" s="626">
        <v>642</v>
      </c>
      <c r="V26" s="626"/>
      <c r="W26" s="626"/>
      <c r="X26" s="626"/>
      <c r="Y26" s="626"/>
      <c r="Z26" s="626"/>
      <c r="AF26" s="550">
        <f t="shared" si="10"/>
        <v>768.1</v>
      </c>
      <c r="AG26" s="550">
        <f t="shared" si="11"/>
        <v>832.2</v>
      </c>
      <c r="AH26" s="550">
        <f t="shared" si="12"/>
        <v>816.5</v>
      </c>
      <c r="AI26" s="550">
        <f t="shared" si="13"/>
        <v>642</v>
      </c>
    </row>
    <row r="27" spans="2:35">
      <c r="B27" s="549" t="s">
        <v>794</v>
      </c>
      <c r="G27" s="625">
        <v>124.4</v>
      </c>
      <c r="H27" s="625">
        <v>138.80000000000001</v>
      </c>
      <c r="I27" s="625">
        <v>156</v>
      </c>
      <c r="J27" s="625">
        <v>129.19999999999999</v>
      </c>
      <c r="K27" s="625">
        <v>129.4</v>
      </c>
      <c r="L27" s="625">
        <v>134.5</v>
      </c>
      <c r="M27" s="625">
        <v>149</v>
      </c>
      <c r="N27" s="625">
        <v>130.30000000000001</v>
      </c>
      <c r="O27" s="625">
        <v>121.4</v>
      </c>
      <c r="P27" s="625">
        <v>109.2</v>
      </c>
      <c r="Q27" s="625">
        <v>105.2</v>
      </c>
      <c r="R27" s="625">
        <v>85.5</v>
      </c>
      <c r="S27" s="625">
        <v>103.9</v>
      </c>
      <c r="T27" s="625">
        <v>94.1</v>
      </c>
      <c r="U27" s="626">
        <v>104.4</v>
      </c>
      <c r="V27" s="626"/>
      <c r="W27" s="626"/>
      <c r="X27" s="626"/>
      <c r="Y27" s="626"/>
      <c r="Z27" s="626"/>
      <c r="AF27" s="550">
        <f t="shared" si="10"/>
        <v>129.19999999999999</v>
      </c>
      <c r="AG27" s="550">
        <f t="shared" si="11"/>
        <v>130.30000000000001</v>
      </c>
      <c r="AH27" s="550">
        <f t="shared" si="12"/>
        <v>85.5</v>
      </c>
      <c r="AI27" s="550">
        <f t="shared" si="13"/>
        <v>104.4</v>
      </c>
    </row>
    <row r="28" spans="2:35">
      <c r="B28" s="549" t="s">
        <v>795</v>
      </c>
      <c r="G28" s="625">
        <v>413.2</v>
      </c>
      <c r="H28" s="625">
        <v>417.9</v>
      </c>
      <c r="I28" s="625">
        <v>399.7</v>
      </c>
      <c r="J28" s="625">
        <v>401.9</v>
      </c>
      <c r="K28" s="625">
        <v>362</v>
      </c>
      <c r="L28" s="625">
        <v>415.5</v>
      </c>
      <c r="M28" s="625">
        <v>360.6</v>
      </c>
      <c r="N28" s="625">
        <v>405.6</v>
      </c>
      <c r="O28" s="625">
        <v>401.1</v>
      </c>
      <c r="P28" s="625">
        <v>400.9</v>
      </c>
      <c r="Q28" s="625">
        <v>391.5</v>
      </c>
      <c r="R28" s="625">
        <v>451.3</v>
      </c>
      <c r="S28" s="625">
        <v>425.2</v>
      </c>
      <c r="T28" s="625">
        <v>436.1</v>
      </c>
      <c r="U28" s="626">
        <v>387.9</v>
      </c>
      <c r="V28" s="626"/>
      <c r="W28" s="626"/>
      <c r="X28" s="626"/>
      <c r="Y28" s="626"/>
      <c r="Z28" s="626"/>
      <c r="AF28" s="550">
        <f t="shared" si="10"/>
        <v>401.9</v>
      </c>
      <c r="AG28" s="550">
        <f t="shared" si="11"/>
        <v>405.6</v>
      </c>
      <c r="AH28" s="550">
        <f t="shared" si="12"/>
        <v>451.3</v>
      </c>
      <c r="AI28" s="550">
        <f t="shared" si="13"/>
        <v>387.9</v>
      </c>
    </row>
    <row r="29" spans="2:35">
      <c r="B29" s="549" t="s">
        <v>796</v>
      </c>
      <c r="G29" s="625">
        <v>204.2</v>
      </c>
      <c r="H29" s="625">
        <v>144.30000000000001</v>
      </c>
      <c r="I29" s="625">
        <v>144</v>
      </c>
      <c r="J29" s="625">
        <v>147</v>
      </c>
      <c r="K29" s="625">
        <v>158.69999999999999</v>
      </c>
      <c r="L29" s="625">
        <v>152.5</v>
      </c>
      <c r="M29" s="625">
        <v>137.5</v>
      </c>
      <c r="N29" s="625">
        <v>153</v>
      </c>
      <c r="O29" s="625">
        <v>146.30000000000001</v>
      </c>
      <c r="P29" s="625">
        <v>123.4</v>
      </c>
      <c r="Q29" s="625">
        <v>114.9</v>
      </c>
      <c r="R29" s="625">
        <v>103.9</v>
      </c>
      <c r="S29" s="625">
        <v>94.1</v>
      </c>
      <c r="T29" s="625">
        <v>116</v>
      </c>
      <c r="U29" s="626">
        <v>98.2</v>
      </c>
      <c r="V29" s="626"/>
      <c r="W29" s="626"/>
      <c r="X29" s="626"/>
      <c r="Y29" s="626"/>
      <c r="Z29" s="626"/>
      <c r="AF29" s="550">
        <f t="shared" si="10"/>
        <v>147</v>
      </c>
      <c r="AG29" s="550">
        <f t="shared" si="11"/>
        <v>153</v>
      </c>
      <c r="AH29" s="550">
        <f t="shared" si="12"/>
        <v>103.9</v>
      </c>
      <c r="AI29" s="550">
        <f t="shared" si="13"/>
        <v>98.2</v>
      </c>
    </row>
    <row r="30" spans="2:35">
      <c r="B30" s="549" t="s">
        <v>724</v>
      </c>
      <c r="G30" s="625">
        <v>24.1</v>
      </c>
      <c r="H30" s="625">
        <v>6.6</v>
      </c>
      <c r="I30" s="625">
        <v>4.4000000000000004</v>
      </c>
      <c r="J30" s="625">
        <v>10.7</v>
      </c>
      <c r="K30" s="625">
        <v>19.100000000000001</v>
      </c>
      <c r="L30" s="625">
        <v>15.8</v>
      </c>
      <c r="M30" s="625">
        <v>9.1</v>
      </c>
      <c r="N30" s="625">
        <v>12.8</v>
      </c>
      <c r="O30" s="625">
        <v>8.1999999999999993</v>
      </c>
      <c r="P30" s="625">
        <v>8.6</v>
      </c>
      <c r="Q30" s="625">
        <v>25.5</v>
      </c>
      <c r="R30" s="625">
        <v>15.9</v>
      </c>
      <c r="S30" s="625">
        <v>11</v>
      </c>
      <c r="T30" s="625">
        <v>11.7</v>
      </c>
      <c r="U30" s="626">
        <v>10.4</v>
      </c>
      <c r="V30" s="626"/>
      <c r="W30" s="626"/>
      <c r="X30" s="626"/>
      <c r="Y30" s="626"/>
      <c r="Z30" s="626"/>
      <c r="AF30" s="550">
        <f t="shared" si="10"/>
        <v>10.7</v>
      </c>
      <c r="AG30" s="550">
        <f t="shared" si="11"/>
        <v>12.8</v>
      </c>
      <c r="AH30" s="550">
        <f t="shared" si="12"/>
        <v>15.9</v>
      </c>
      <c r="AI30" s="550">
        <f t="shared" si="13"/>
        <v>10.4</v>
      </c>
    </row>
    <row r="31" spans="2:35">
      <c r="B31" s="549" t="s">
        <v>797</v>
      </c>
      <c r="G31" s="625">
        <v>37.299999999999997</v>
      </c>
      <c r="H31" s="625">
        <v>12</v>
      </c>
      <c r="I31" s="625">
        <v>12.9</v>
      </c>
      <c r="J31" s="625">
        <v>10.7</v>
      </c>
      <c r="K31" s="625">
        <v>7.3</v>
      </c>
      <c r="L31" s="625">
        <v>3.8</v>
      </c>
      <c r="M31" s="625">
        <v>2.5</v>
      </c>
      <c r="N31" s="627">
        <v>0</v>
      </c>
      <c r="O31" s="627">
        <v>0</v>
      </c>
      <c r="P31" s="627">
        <v>0</v>
      </c>
      <c r="Q31" s="627">
        <v>0</v>
      </c>
      <c r="R31" s="625">
        <v>11.4</v>
      </c>
      <c r="S31" s="625">
        <v>0.1</v>
      </c>
      <c r="T31" s="625">
        <v>0</v>
      </c>
      <c r="U31" s="626">
        <v>0</v>
      </c>
      <c r="V31" s="626"/>
      <c r="W31" s="626"/>
      <c r="X31" s="626"/>
      <c r="Y31" s="626"/>
      <c r="Z31" s="626"/>
      <c r="AF31" s="550">
        <f t="shared" si="10"/>
        <v>10.7</v>
      </c>
      <c r="AG31" s="550">
        <f t="shared" si="11"/>
        <v>0</v>
      </c>
      <c r="AH31" s="550">
        <f t="shared" si="12"/>
        <v>11.4</v>
      </c>
      <c r="AI31" s="550">
        <f t="shared" si="13"/>
        <v>0</v>
      </c>
    </row>
    <row r="32" spans="2:35">
      <c r="B32" s="549" t="s">
        <v>798</v>
      </c>
      <c r="G32" s="627">
        <v>0</v>
      </c>
      <c r="H32" s="627">
        <v>0</v>
      </c>
      <c r="I32" s="627">
        <v>0</v>
      </c>
      <c r="J32" s="627">
        <v>0</v>
      </c>
      <c r="K32" s="627">
        <v>0</v>
      </c>
      <c r="L32" s="627">
        <v>0</v>
      </c>
      <c r="M32" s="627">
        <v>0</v>
      </c>
      <c r="N32" s="627">
        <v>0</v>
      </c>
      <c r="O32" s="627">
        <v>0</v>
      </c>
      <c r="P32" s="627">
        <v>0</v>
      </c>
      <c r="Q32" s="627">
        <v>0</v>
      </c>
      <c r="R32" s="627">
        <v>0</v>
      </c>
      <c r="S32" s="625">
        <v>9.5</v>
      </c>
      <c r="T32" s="625">
        <v>18.100000000000001</v>
      </c>
      <c r="U32" s="626">
        <v>14.2</v>
      </c>
      <c r="V32" s="626"/>
      <c r="W32" s="626"/>
      <c r="X32" s="626"/>
      <c r="Y32" s="626"/>
      <c r="Z32" s="626"/>
      <c r="AF32" s="550">
        <f t="shared" si="10"/>
        <v>0</v>
      </c>
      <c r="AG32" s="550">
        <f t="shared" si="11"/>
        <v>0</v>
      </c>
      <c r="AH32" s="550">
        <f t="shared" si="12"/>
        <v>0</v>
      </c>
      <c r="AI32" s="550">
        <f t="shared" si="13"/>
        <v>14.2</v>
      </c>
    </row>
    <row r="33" spans="2:35">
      <c r="B33" s="547" t="s">
        <v>799</v>
      </c>
      <c r="G33" s="556">
        <f>+SUM(G34:G39)</f>
        <v>2459.6999999999998</v>
      </c>
      <c r="H33" s="556">
        <f t="shared" ref="H33:Z33" si="14">+SUM(H34:H39)</f>
        <v>2543.2999999999997</v>
      </c>
      <c r="I33" s="556">
        <f t="shared" si="14"/>
        <v>2653.5</v>
      </c>
      <c r="J33" s="556">
        <f t="shared" si="14"/>
        <v>2324.7000000000003</v>
      </c>
      <c r="K33" s="556">
        <f t="shared" si="14"/>
        <v>2333.5000000000005</v>
      </c>
      <c r="L33" s="556">
        <f t="shared" si="14"/>
        <v>2365.2999999999997</v>
      </c>
      <c r="M33" s="556">
        <f t="shared" si="14"/>
        <v>2392.6</v>
      </c>
      <c r="N33" s="556">
        <f t="shared" si="14"/>
        <v>2385.2000000000003</v>
      </c>
      <c r="O33" s="556">
        <f t="shared" si="14"/>
        <v>2162.3999999999996</v>
      </c>
      <c r="P33" s="556">
        <f t="shared" si="14"/>
        <v>2133.5</v>
      </c>
      <c r="Q33" s="556">
        <f t="shared" si="14"/>
        <v>1973.3999999999999</v>
      </c>
      <c r="R33" s="556">
        <f t="shared" si="14"/>
        <v>1918.1999999999998</v>
      </c>
      <c r="S33" s="556">
        <f t="shared" si="14"/>
        <v>1665.5000000000002</v>
      </c>
      <c r="T33" s="556">
        <f t="shared" si="14"/>
        <v>1667.1</v>
      </c>
      <c r="U33" s="556">
        <f t="shared" si="14"/>
        <v>2061</v>
      </c>
      <c r="V33" s="556">
        <f t="shared" si="14"/>
        <v>0</v>
      </c>
      <c r="W33" s="556">
        <f t="shared" si="14"/>
        <v>0</v>
      </c>
      <c r="X33" s="556">
        <f t="shared" si="14"/>
        <v>0</v>
      </c>
      <c r="Y33" s="556">
        <f t="shared" si="14"/>
        <v>0</v>
      </c>
      <c r="Z33" s="556">
        <f t="shared" si="14"/>
        <v>0</v>
      </c>
      <c r="AF33" s="556">
        <f t="shared" si="10"/>
        <v>2324.7000000000003</v>
      </c>
      <c r="AG33" s="556">
        <f t="shared" si="11"/>
        <v>2385.2000000000003</v>
      </c>
      <c r="AH33" s="556">
        <f t="shared" si="12"/>
        <v>1918.1999999999998</v>
      </c>
      <c r="AI33" s="556">
        <f t="shared" si="13"/>
        <v>2061</v>
      </c>
    </row>
    <row r="34" spans="2:35">
      <c r="B34" s="549" t="s">
        <v>800</v>
      </c>
      <c r="G34" s="625">
        <v>2145</v>
      </c>
      <c r="H34" s="625">
        <v>2139.6</v>
      </c>
      <c r="I34" s="625">
        <v>2226.8000000000002</v>
      </c>
      <c r="J34" s="625">
        <v>1875.8</v>
      </c>
      <c r="K34" s="625">
        <v>1874.9</v>
      </c>
      <c r="L34" s="625">
        <v>1873.8</v>
      </c>
      <c r="M34" s="625">
        <v>1873</v>
      </c>
      <c r="N34" s="625">
        <v>1872.2</v>
      </c>
      <c r="O34" s="625">
        <v>1629.6</v>
      </c>
      <c r="P34" s="625">
        <v>1630.3</v>
      </c>
      <c r="Q34" s="625">
        <v>1630.8</v>
      </c>
      <c r="R34" s="625">
        <v>1581.6</v>
      </c>
      <c r="S34" s="625">
        <v>1196.4000000000001</v>
      </c>
      <c r="T34" s="625">
        <v>1197</v>
      </c>
      <c r="U34" s="626">
        <v>1589.1</v>
      </c>
      <c r="V34" s="626"/>
      <c r="W34" s="626"/>
      <c r="X34" s="626"/>
      <c r="Y34" s="626"/>
      <c r="Z34" s="626"/>
      <c r="AF34" s="550">
        <f t="shared" si="10"/>
        <v>1875.8</v>
      </c>
      <c r="AG34" s="550">
        <f t="shared" si="11"/>
        <v>1872.2</v>
      </c>
      <c r="AH34" s="550">
        <f t="shared" si="12"/>
        <v>1581.6</v>
      </c>
      <c r="AI34" s="550">
        <f t="shared" si="13"/>
        <v>1589.1</v>
      </c>
    </row>
    <row r="35" spans="2:35">
      <c r="B35" s="549" t="s">
        <v>801</v>
      </c>
      <c r="G35" s="627">
        <v>0</v>
      </c>
      <c r="H35" s="627">
        <v>0</v>
      </c>
      <c r="I35" s="627">
        <v>0</v>
      </c>
      <c r="J35" s="627">
        <v>0</v>
      </c>
      <c r="K35" s="627">
        <v>0</v>
      </c>
      <c r="L35" s="627">
        <v>0</v>
      </c>
      <c r="M35" s="627">
        <v>0</v>
      </c>
      <c r="N35" s="627">
        <v>0</v>
      </c>
      <c r="O35" s="627">
        <v>0</v>
      </c>
      <c r="P35" s="627">
        <v>0</v>
      </c>
      <c r="Q35" s="627">
        <v>0</v>
      </c>
      <c r="R35" s="627">
        <v>0</v>
      </c>
      <c r="S35" s="625">
        <v>150.4</v>
      </c>
      <c r="T35" s="625">
        <v>144.80000000000001</v>
      </c>
      <c r="U35" s="626">
        <v>141.69999999999999</v>
      </c>
      <c r="V35" s="626"/>
      <c r="W35" s="626"/>
      <c r="X35" s="626"/>
      <c r="Y35" s="626"/>
      <c r="Z35" s="626"/>
      <c r="AF35" s="550">
        <f t="shared" si="10"/>
        <v>0</v>
      </c>
      <c r="AG35" s="550">
        <f t="shared" si="11"/>
        <v>0</v>
      </c>
      <c r="AH35" s="550">
        <f t="shared" si="12"/>
        <v>0</v>
      </c>
      <c r="AI35" s="550">
        <f t="shared" si="13"/>
        <v>141.69999999999999</v>
      </c>
    </row>
    <row r="36" spans="2:35">
      <c r="B36" s="549" t="s">
        <v>802</v>
      </c>
      <c r="G36" s="625">
        <v>169.1</v>
      </c>
      <c r="H36" s="625">
        <v>164.9</v>
      </c>
      <c r="I36" s="625">
        <v>162.5</v>
      </c>
      <c r="J36" s="625">
        <v>164.5</v>
      </c>
      <c r="K36" s="625">
        <v>167.9</v>
      </c>
      <c r="L36" s="625">
        <v>172.6</v>
      </c>
      <c r="M36" s="625">
        <v>160.9</v>
      </c>
      <c r="N36" s="625">
        <v>150.6</v>
      </c>
      <c r="O36" s="625">
        <v>151.4</v>
      </c>
      <c r="P36" s="625">
        <v>134.19999999999999</v>
      </c>
      <c r="Q36" s="625">
        <v>132.30000000000001</v>
      </c>
      <c r="R36" s="625">
        <v>128.30000000000001</v>
      </c>
      <c r="S36" s="625">
        <v>128.19999999999999</v>
      </c>
      <c r="T36" s="625">
        <v>129.6</v>
      </c>
      <c r="U36" s="626">
        <v>128.19999999999999</v>
      </c>
      <c r="V36" s="626"/>
      <c r="W36" s="626"/>
      <c r="X36" s="626"/>
      <c r="Y36" s="626"/>
      <c r="Z36" s="626"/>
      <c r="AF36" s="550">
        <f t="shared" si="10"/>
        <v>164.5</v>
      </c>
      <c r="AG36" s="550">
        <f t="shared" si="11"/>
        <v>150.6</v>
      </c>
      <c r="AH36" s="550">
        <f t="shared" si="12"/>
        <v>128.30000000000001</v>
      </c>
      <c r="AI36" s="550">
        <f t="shared" si="13"/>
        <v>128.19999999999999</v>
      </c>
    </row>
    <row r="37" spans="2:35">
      <c r="B37" s="551" t="s">
        <v>803</v>
      </c>
      <c r="G37" s="627">
        <v>0</v>
      </c>
      <c r="H37" s="627">
        <v>0</v>
      </c>
      <c r="I37" s="627">
        <v>0</v>
      </c>
      <c r="J37" s="627">
        <v>124.5</v>
      </c>
      <c r="K37" s="627">
        <v>0</v>
      </c>
      <c r="L37" s="627">
        <v>0</v>
      </c>
      <c r="M37" s="627">
        <v>185.2</v>
      </c>
      <c r="N37" s="627">
        <v>193.1</v>
      </c>
      <c r="O37" s="627">
        <v>204.6</v>
      </c>
      <c r="P37" s="627">
        <v>191.1</v>
      </c>
      <c r="Q37" s="627">
        <v>0</v>
      </c>
      <c r="R37" s="627">
        <v>0</v>
      </c>
      <c r="S37" s="627">
        <v>0</v>
      </c>
      <c r="T37" s="627">
        <v>0</v>
      </c>
      <c r="U37" s="627">
        <v>0</v>
      </c>
      <c r="V37" s="627"/>
      <c r="W37" s="627"/>
      <c r="X37" s="627"/>
      <c r="Y37" s="627"/>
      <c r="Z37" s="627"/>
      <c r="AF37" s="552">
        <f t="shared" si="10"/>
        <v>124.5</v>
      </c>
      <c r="AG37" s="552">
        <f t="shared" si="11"/>
        <v>193.1</v>
      </c>
      <c r="AH37" s="552">
        <f t="shared" si="12"/>
        <v>0</v>
      </c>
      <c r="AI37" s="552">
        <f t="shared" si="13"/>
        <v>0</v>
      </c>
    </row>
    <row r="38" spans="2:35">
      <c r="B38" s="549" t="s">
        <v>804</v>
      </c>
      <c r="G38" s="625">
        <v>67.400000000000006</v>
      </c>
      <c r="H38" s="625">
        <v>76.7</v>
      </c>
      <c r="I38" s="625">
        <v>77.099999999999994</v>
      </c>
      <c r="J38" s="625">
        <v>78.599999999999994</v>
      </c>
      <c r="K38" s="625">
        <v>76.900000000000006</v>
      </c>
      <c r="L38" s="625">
        <v>75.3</v>
      </c>
      <c r="M38" s="625">
        <v>82.9</v>
      </c>
      <c r="N38" s="625">
        <v>84.9</v>
      </c>
      <c r="O38" s="625">
        <v>96.6</v>
      </c>
      <c r="P38" s="625">
        <v>97.6</v>
      </c>
      <c r="Q38" s="625">
        <v>132.69999999999999</v>
      </c>
      <c r="R38" s="625">
        <v>136.19999999999999</v>
      </c>
      <c r="S38" s="625">
        <v>135.30000000000001</v>
      </c>
      <c r="T38" s="625">
        <v>140.9</v>
      </c>
      <c r="U38" s="626">
        <v>127.4</v>
      </c>
      <c r="V38" s="626"/>
      <c r="W38" s="626"/>
      <c r="X38" s="626"/>
      <c r="Y38" s="626"/>
      <c r="Z38" s="626"/>
      <c r="AF38" s="550">
        <f t="shared" si="10"/>
        <v>78.599999999999994</v>
      </c>
      <c r="AG38" s="550">
        <f t="shared" si="11"/>
        <v>84.9</v>
      </c>
      <c r="AH38" s="550">
        <f t="shared" si="12"/>
        <v>136.19999999999999</v>
      </c>
      <c r="AI38" s="550">
        <f t="shared" si="13"/>
        <v>127.4</v>
      </c>
    </row>
    <row r="39" spans="2:35">
      <c r="B39" s="549" t="s">
        <v>805</v>
      </c>
      <c r="G39" s="625">
        <v>78.2</v>
      </c>
      <c r="H39" s="625">
        <v>162.1</v>
      </c>
      <c r="I39" s="625">
        <v>187.1</v>
      </c>
      <c r="J39" s="625">
        <v>81.3</v>
      </c>
      <c r="K39" s="625">
        <v>213.8</v>
      </c>
      <c r="L39" s="625">
        <v>243.6</v>
      </c>
      <c r="M39" s="625">
        <v>90.6</v>
      </c>
      <c r="N39" s="625">
        <v>84.4</v>
      </c>
      <c r="O39" s="625">
        <v>80.2</v>
      </c>
      <c r="P39" s="625">
        <v>80.3</v>
      </c>
      <c r="Q39" s="625">
        <v>77.599999999999994</v>
      </c>
      <c r="R39" s="625">
        <v>72.099999999999994</v>
      </c>
      <c r="S39" s="625">
        <v>55.2</v>
      </c>
      <c r="T39" s="625">
        <v>54.8</v>
      </c>
      <c r="U39" s="626">
        <v>74.599999999999994</v>
      </c>
      <c r="V39" s="626"/>
      <c r="W39" s="626"/>
      <c r="X39" s="626"/>
      <c r="Y39" s="626"/>
      <c r="Z39" s="626"/>
      <c r="AF39" s="550">
        <f t="shared" si="10"/>
        <v>81.3</v>
      </c>
      <c r="AG39" s="550">
        <f t="shared" si="11"/>
        <v>84.4</v>
      </c>
      <c r="AH39" s="550">
        <f t="shared" si="12"/>
        <v>72.099999999999994</v>
      </c>
      <c r="AI39" s="550">
        <f t="shared" si="13"/>
        <v>74.599999999999994</v>
      </c>
    </row>
    <row r="40" spans="2:35">
      <c r="B40" s="547" t="s">
        <v>806</v>
      </c>
      <c r="G40" s="624">
        <v>-450.69999999999982</v>
      </c>
      <c r="H40" s="624">
        <v>-411.39999999999975</v>
      </c>
      <c r="I40" s="624">
        <v>-349.90000000000055</v>
      </c>
      <c r="J40" s="624">
        <v>1020.7999999999995</v>
      </c>
      <c r="K40" s="624">
        <v>-370.1000000000007</v>
      </c>
      <c r="L40" s="624">
        <v>-396.99999999999972</v>
      </c>
      <c r="M40" s="624">
        <v>-358.6</v>
      </c>
      <c r="N40" s="624">
        <v>1224.7</v>
      </c>
      <c r="O40" s="624">
        <v>-282.49999999999972</v>
      </c>
      <c r="P40" s="624">
        <v>-439.0999999999998</v>
      </c>
      <c r="Q40" s="624">
        <v>-324.49999999999955</v>
      </c>
      <c r="R40" s="624">
        <v>-412.39999999999981</v>
      </c>
      <c r="S40" s="624">
        <v>-450.3000000000003</v>
      </c>
      <c r="T40" s="624">
        <f>-452.6-7.2</f>
        <v>-459.8</v>
      </c>
      <c r="U40" s="624">
        <v>-371</v>
      </c>
      <c r="V40" s="624"/>
      <c r="W40" s="624"/>
      <c r="X40" s="624"/>
      <c r="Y40" s="624"/>
      <c r="Z40" s="624"/>
      <c r="AF40" s="548">
        <f t="shared" si="10"/>
        <v>1020.7999999999995</v>
      </c>
      <c r="AG40" s="548">
        <f t="shared" si="11"/>
        <v>1224.7</v>
      </c>
      <c r="AH40" s="548">
        <f t="shared" si="12"/>
        <v>-412.39999999999981</v>
      </c>
      <c r="AI40" s="548">
        <f t="shared" si="13"/>
        <v>-371</v>
      </c>
    </row>
    <row r="41" spans="2:35" s="312" customFormat="1">
      <c r="B41" s="557" t="s">
        <v>807</v>
      </c>
      <c r="G41" s="627">
        <v>15</v>
      </c>
      <c r="H41" s="627">
        <v>14.1</v>
      </c>
      <c r="I41" s="627">
        <v>13.5</v>
      </c>
      <c r="J41" s="627">
        <v>11.8</v>
      </c>
      <c r="K41" s="627">
        <v>11.9</v>
      </c>
      <c r="L41" s="627">
        <v>11.7</v>
      </c>
      <c r="M41" s="627">
        <v>11.1</v>
      </c>
      <c r="N41" s="627">
        <v>10.3</v>
      </c>
      <c r="O41" s="627">
        <v>9.6999999999999993</v>
      </c>
      <c r="P41" s="627">
        <v>8.4</v>
      </c>
      <c r="Q41" s="627">
        <v>7.5</v>
      </c>
      <c r="R41" s="627">
        <v>7.7</v>
      </c>
      <c r="S41" s="627">
        <v>7.1</v>
      </c>
      <c r="T41" s="627">
        <v>7.2</v>
      </c>
      <c r="U41" s="626">
        <v>6.9</v>
      </c>
      <c r="V41" s="626"/>
      <c r="W41" s="626"/>
      <c r="X41" s="626"/>
      <c r="Y41" s="626"/>
      <c r="Z41" s="626"/>
      <c r="AF41" s="552">
        <f t="shared" si="10"/>
        <v>11.8</v>
      </c>
      <c r="AG41" s="552">
        <f t="shared" si="11"/>
        <v>10.3</v>
      </c>
      <c r="AH41" s="552">
        <f t="shared" si="12"/>
        <v>7.7</v>
      </c>
      <c r="AI41" s="552">
        <f t="shared" si="13"/>
        <v>6.9</v>
      </c>
    </row>
    <row r="42" spans="2:35">
      <c r="B42" s="547" t="s">
        <v>808</v>
      </c>
      <c r="G42" s="556">
        <f t="shared" ref="G42:Z42" si="15">+G33+G24+G40+G41</f>
        <v>3629.1</v>
      </c>
      <c r="H42" s="556">
        <f t="shared" si="15"/>
        <v>3638.1</v>
      </c>
      <c r="I42" s="556">
        <f t="shared" si="15"/>
        <v>3905.5</v>
      </c>
      <c r="J42" s="556">
        <f t="shared" si="15"/>
        <v>4843</v>
      </c>
      <c r="K42" s="556">
        <f t="shared" si="15"/>
        <v>3426.2</v>
      </c>
      <c r="L42" s="556">
        <f t="shared" si="15"/>
        <v>3467.5</v>
      </c>
      <c r="M42" s="556">
        <f t="shared" si="15"/>
        <v>3516.6</v>
      </c>
      <c r="N42" s="556">
        <f t="shared" si="15"/>
        <v>5179.8</v>
      </c>
      <c r="O42" s="556">
        <f t="shared" si="15"/>
        <v>3640.4</v>
      </c>
      <c r="P42" s="556">
        <f t="shared" si="15"/>
        <v>3086.4</v>
      </c>
      <c r="Q42" s="556">
        <f t="shared" si="15"/>
        <v>3074.6000000000004</v>
      </c>
      <c r="R42" s="556">
        <f t="shared" si="15"/>
        <v>3010</v>
      </c>
      <c r="S42" s="556">
        <f t="shared" si="15"/>
        <v>2997.5</v>
      </c>
      <c r="T42" s="556">
        <f t="shared" si="15"/>
        <v>2971.2</v>
      </c>
      <c r="U42" s="556">
        <f t="shared" si="15"/>
        <v>3070.2000000000003</v>
      </c>
      <c r="V42" s="556">
        <f t="shared" si="15"/>
        <v>0</v>
      </c>
      <c r="W42" s="556">
        <f t="shared" si="15"/>
        <v>0</v>
      </c>
      <c r="X42" s="556">
        <f t="shared" si="15"/>
        <v>0</v>
      </c>
      <c r="Y42" s="556">
        <f t="shared" si="15"/>
        <v>0</v>
      </c>
      <c r="Z42" s="556">
        <f t="shared" si="15"/>
        <v>0</v>
      </c>
      <c r="AF42" s="556">
        <f t="shared" si="10"/>
        <v>4843</v>
      </c>
      <c r="AG42" s="556">
        <f t="shared" si="11"/>
        <v>5179.8</v>
      </c>
      <c r="AH42" s="556">
        <f t="shared" si="12"/>
        <v>3010</v>
      </c>
      <c r="AI42" s="556">
        <f t="shared" si="13"/>
        <v>3070.2000000000003</v>
      </c>
    </row>
    <row r="43" spans="2:35" s="558" customFormat="1" ht="11.25">
      <c r="B43" s="558" t="s">
        <v>587</v>
      </c>
      <c r="G43" s="559">
        <f t="shared" ref="G43:U43" si="16">+G21-G42</f>
        <v>0</v>
      </c>
      <c r="H43" s="559">
        <f t="shared" si="16"/>
        <v>0</v>
      </c>
      <c r="I43" s="559">
        <f t="shared" si="16"/>
        <v>0</v>
      </c>
      <c r="J43" s="559">
        <f t="shared" si="16"/>
        <v>0</v>
      </c>
      <c r="K43" s="559">
        <f t="shared" si="16"/>
        <v>0</v>
      </c>
      <c r="L43" s="559">
        <f t="shared" si="16"/>
        <v>0</v>
      </c>
      <c r="M43" s="559">
        <f t="shared" si="16"/>
        <v>0</v>
      </c>
      <c r="N43" s="559">
        <f t="shared" si="16"/>
        <v>0</v>
      </c>
      <c r="O43" s="559">
        <f t="shared" si="16"/>
        <v>0</v>
      </c>
      <c r="P43" s="559">
        <f t="shared" si="16"/>
        <v>0</v>
      </c>
      <c r="Q43" s="559">
        <f t="shared" si="16"/>
        <v>0</v>
      </c>
      <c r="R43" s="559">
        <f t="shared" si="16"/>
        <v>0</v>
      </c>
      <c r="S43" s="559">
        <f t="shared" si="16"/>
        <v>0</v>
      </c>
      <c r="T43" s="559">
        <f t="shared" si="16"/>
        <v>0</v>
      </c>
      <c r="U43" s="559">
        <f t="shared" si="16"/>
        <v>0</v>
      </c>
      <c r="V43" s="559"/>
      <c r="W43" s="559"/>
      <c r="X43" s="559"/>
      <c r="Y43" s="559"/>
      <c r="Z43" s="559"/>
      <c r="AF43" s="559">
        <f t="shared" si="10"/>
        <v>0</v>
      </c>
      <c r="AG43" s="559">
        <f t="shared" si="11"/>
        <v>0</v>
      </c>
      <c r="AH43" s="559">
        <f t="shared" si="12"/>
        <v>0</v>
      </c>
      <c r="AI43" s="559">
        <f t="shared" si="13"/>
        <v>0</v>
      </c>
    </row>
    <row r="46" spans="2:35">
      <c r="B46" s="105" t="s">
        <v>809</v>
      </c>
      <c r="G46" s="146">
        <f t="shared" ref="G46:T46" si="17">+G49-F49</f>
        <v>357.10000000000014</v>
      </c>
      <c r="H46" s="146">
        <f t="shared" si="17"/>
        <v>75.199999999999818</v>
      </c>
      <c r="I46" s="146">
        <f t="shared" si="17"/>
        <v>38.299999999999955</v>
      </c>
      <c r="J46" s="146">
        <f t="shared" si="17"/>
        <v>-189</v>
      </c>
      <c r="K46" s="146">
        <f t="shared" si="17"/>
        <v>44.500000000000227</v>
      </c>
      <c r="L46" s="146">
        <f t="shared" si="17"/>
        <v>-0.39999999999986358</v>
      </c>
      <c r="M46" s="146">
        <f t="shared" si="17"/>
        <v>10.199999999999591</v>
      </c>
      <c r="N46" s="146">
        <f t="shared" si="17"/>
        <v>-112.39999999999964</v>
      </c>
      <c r="O46" s="146">
        <f t="shared" si="17"/>
        <v>74.599999999999682</v>
      </c>
      <c r="P46" s="146">
        <f t="shared" si="17"/>
        <v>70.700000000000045</v>
      </c>
      <c r="Q46" s="146">
        <f t="shared" si="17"/>
        <v>-58.499999999999886</v>
      </c>
      <c r="R46" s="146">
        <f t="shared" si="17"/>
        <v>-168.39999999999998</v>
      </c>
      <c r="S46" s="146">
        <f t="shared" si="17"/>
        <v>71.499999999999773</v>
      </c>
      <c r="T46" s="146">
        <f t="shared" si="17"/>
        <v>-4.7999999999998408</v>
      </c>
      <c r="U46" s="146">
        <f>+U49-T49</f>
        <v>4.1999999999999318</v>
      </c>
      <c r="V46" s="146"/>
      <c r="W46" s="146"/>
      <c r="X46" s="146"/>
      <c r="Y46" s="146"/>
      <c r="Z46" s="146"/>
      <c r="AF46" s="146" t="e">
        <f>+AF49-#REF!</f>
        <v>#REF!</v>
      </c>
      <c r="AG46" s="146">
        <f>+AG49-AF49</f>
        <v>-58.099999999999682</v>
      </c>
      <c r="AH46" s="146">
        <f>+AH49-AG49</f>
        <v>-81.600000000000136</v>
      </c>
      <c r="AI46" s="146">
        <f>+AI49-AH49</f>
        <v>70.899999999999864</v>
      </c>
    </row>
    <row r="48" spans="2:35" s="105" customFormat="1">
      <c r="B48" s="138" t="s">
        <v>531</v>
      </c>
      <c r="C48" s="583">
        <f t="shared" ref="C48:S48" si="18">C49+C52</f>
        <v>0</v>
      </c>
      <c r="D48" s="583">
        <f t="shared" si="18"/>
        <v>0</v>
      </c>
      <c r="E48" s="583">
        <f t="shared" si="18"/>
        <v>0</v>
      </c>
      <c r="F48" s="583">
        <f t="shared" si="18"/>
        <v>0</v>
      </c>
      <c r="G48" s="583">
        <f t="shared" si="18"/>
        <v>1200.7000000000003</v>
      </c>
      <c r="H48" s="583">
        <f t="shared" si="18"/>
        <v>1271.6999999999998</v>
      </c>
      <c r="I48" s="583">
        <f t="shared" si="18"/>
        <v>1315.4</v>
      </c>
      <c r="J48" s="583">
        <f t="shared" si="18"/>
        <v>2510.6</v>
      </c>
      <c r="K48" s="583">
        <f t="shared" si="18"/>
        <v>1156.1000000000001</v>
      </c>
      <c r="L48" s="583">
        <f t="shared" si="18"/>
        <v>1142.0000000000005</v>
      </c>
      <c r="M48" s="583">
        <f t="shared" si="18"/>
        <v>1139.1999999999998</v>
      </c>
      <c r="N48" s="583">
        <f t="shared" si="18"/>
        <v>2503.8000000000002</v>
      </c>
      <c r="O48" s="583">
        <f t="shared" si="18"/>
        <v>1101.6999999999998</v>
      </c>
      <c r="P48" s="583">
        <f t="shared" si="18"/>
        <v>1097.9000000000001</v>
      </c>
      <c r="Q48" s="583">
        <f t="shared" si="18"/>
        <v>1027.0999999999999</v>
      </c>
      <c r="R48" s="583">
        <f t="shared" si="18"/>
        <v>786.90000000000009</v>
      </c>
      <c r="S48" s="583">
        <f t="shared" si="18"/>
        <v>845.19999999999993</v>
      </c>
      <c r="T48" s="583">
        <f>T49+T52</f>
        <v>818.7</v>
      </c>
      <c r="U48" s="583">
        <f>U49+U52</f>
        <v>772.3</v>
      </c>
      <c r="V48" s="583"/>
      <c r="W48" s="583"/>
      <c r="X48" s="583"/>
      <c r="Y48" s="583"/>
      <c r="Z48" s="583"/>
      <c r="AF48" s="583">
        <f>AF49+AF52</f>
        <v>2510.6</v>
      </c>
      <c r="AG48" s="583">
        <f>AG49+AG52</f>
        <v>2503.8000000000002</v>
      </c>
      <c r="AH48" s="583">
        <f>AH49+AH52</f>
        <v>786.90000000000009</v>
      </c>
      <c r="AI48" s="583">
        <f>AI49+AI52</f>
        <v>772.3</v>
      </c>
    </row>
    <row r="49" spans="2:44" s="579" customFormat="1">
      <c r="B49" s="580" t="s">
        <v>532</v>
      </c>
      <c r="C49" s="581">
        <f t="shared" ref="C49:S49" si="19">C50-C51</f>
        <v>0</v>
      </c>
      <c r="D49" s="581">
        <f t="shared" si="19"/>
        <v>0</v>
      </c>
      <c r="E49" s="581">
        <f t="shared" si="19"/>
        <v>0</v>
      </c>
      <c r="F49" s="581">
        <f t="shared" si="19"/>
        <v>0</v>
      </c>
      <c r="G49" s="581">
        <f t="shared" si="19"/>
        <v>357.10000000000014</v>
      </c>
      <c r="H49" s="581">
        <f t="shared" si="19"/>
        <v>432.29999999999995</v>
      </c>
      <c r="I49" s="581">
        <f t="shared" si="19"/>
        <v>470.59999999999991</v>
      </c>
      <c r="J49" s="581">
        <f t="shared" si="19"/>
        <v>281.59999999999991</v>
      </c>
      <c r="K49" s="581">
        <f t="shared" si="19"/>
        <v>326.10000000000014</v>
      </c>
      <c r="L49" s="581">
        <f t="shared" si="19"/>
        <v>325.70000000000027</v>
      </c>
      <c r="M49" s="581">
        <f t="shared" si="19"/>
        <v>335.89999999999986</v>
      </c>
      <c r="N49" s="581">
        <f t="shared" si="19"/>
        <v>223.50000000000023</v>
      </c>
      <c r="O49" s="581">
        <f t="shared" si="19"/>
        <v>298.09999999999991</v>
      </c>
      <c r="P49" s="581">
        <f t="shared" si="19"/>
        <v>368.79999999999995</v>
      </c>
      <c r="Q49" s="581">
        <f t="shared" si="19"/>
        <v>310.30000000000007</v>
      </c>
      <c r="R49" s="581">
        <f t="shared" si="19"/>
        <v>141.90000000000009</v>
      </c>
      <c r="S49" s="581">
        <f t="shared" si="19"/>
        <v>213.39999999999986</v>
      </c>
      <c r="T49" s="581">
        <f>T50-T51</f>
        <v>208.60000000000002</v>
      </c>
      <c r="U49" s="581">
        <f>U50-U51</f>
        <v>212.79999999999995</v>
      </c>
      <c r="V49" s="581"/>
      <c r="W49" s="581"/>
      <c r="X49" s="581"/>
      <c r="Y49" s="581"/>
      <c r="Z49" s="581"/>
      <c r="AF49" s="581">
        <f>AF50-AF51</f>
        <v>281.59999999999991</v>
      </c>
      <c r="AG49" s="581">
        <f>AG50-AG51</f>
        <v>223.50000000000023</v>
      </c>
      <c r="AH49" s="581">
        <f>AH50-AH51</f>
        <v>141.90000000000009</v>
      </c>
      <c r="AI49" s="581">
        <f>AI50-AI51</f>
        <v>212.79999999999995</v>
      </c>
    </row>
    <row r="50" spans="2:44">
      <c r="B50" s="102" t="s">
        <v>533</v>
      </c>
      <c r="C50" s="271">
        <f>+C19+C20</f>
        <v>0</v>
      </c>
      <c r="D50" s="271">
        <f>+D19+D20</f>
        <v>0</v>
      </c>
      <c r="E50" s="271">
        <f>+E19+E20</f>
        <v>0</v>
      </c>
      <c r="F50" s="271">
        <f>+F19+F20</f>
        <v>0</v>
      </c>
      <c r="G50" s="271">
        <f t="shared" ref="G50:R50" si="20">+G7+G8+G9</f>
        <v>1442.7</v>
      </c>
      <c r="H50" s="271">
        <f t="shared" si="20"/>
        <v>1445.7</v>
      </c>
      <c r="I50" s="271">
        <f t="shared" si="20"/>
        <v>1535.1</v>
      </c>
      <c r="J50" s="271">
        <f t="shared" si="20"/>
        <v>1336.6</v>
      </c>
      <c r="K50" s="271">
        <f t="shared" si="20"/>
        <v>1387.6000000000001</v>
      </c>
      <c r="L50" s="271">
        <f t="shared" si="20"/>
        <v>1380.9</v>
      </c>
      <c r="M50" s="271">
        <f t="shared" si="20"/>
        <v>1428.2</v>
      </c>
      <c r="N50" s="271">
        <f t="shared" si="20"/>
        <v>1351.8000000000002</v>
      </c>
      <c r="O50" s="271">
        <f t="shared" si="20"/>
        <v>1377</v>
      </c>
      <c r="P50" s="271">
        <f t="shared" si="20"/>
        <v>1339.5</v>
      </c>
      <c r="Q50" s="271">
        <f t="shared" si="20"/>
        <v>1320.7</v>
      </c>
      <c r="R50" s="271">
        <f t="shared" si="20"/>
        <v>1163.7</v>
      </c>
      <c r="S50" s="271">
        <f>+S7+S8+S9</f>
        <v>1128.3999999999999</v>
      </c>
      <c r="T50" s="271">
        <f>+T7+T8+T9</f>
        <v>1112.6000000000001</v>
      </c>
      <c r="U50" s="271">
        <f>+U7+U8+U9</f>
        <v>1067.8</v>
      </c>
      <c r="V50" s="271"/>
      <c r="W50" s="271"/>
      <c r="X50" s="271"/>
      <c r="Y50" s="271"/>
      <c r="Z50" s="271"/>
      <c r="AF50" s="271">
        <f>+AF7+AF8+AF9</f>
        <v>1336.6</v>
      </c>
      <c r="AG50" s="271">
        <f>+AG7+AG8+AG9</f>
        <v>1351.8000000000002</v>
      </c>
      <c r="AH50" s="271">
        <f>+AH7+AH8+AH9</f>
        <v>1163.7</v>
      </c>
      <c r="AI50" s="271">
        <f>+AI7+AI8+AI9</f>
        <v>1067.8</v>
      </c>
    </row>
    <row r="51" spans="2:44">
      <c r="B51" s="102" t="s">
        <v>534</v>
      </c>
      <c r="C51" s="272">
        <f>C30+C33+C34</f>
        <v>0</v>
      </c>
      <c r="D51" s="272">
        <f>D30+D33+D34</f>
        <v>0</v>
      </c>
      <c r="E51" s="272">
        <f>E30+E33+E34</f>
        <v>0</v>
      </c>
      <c r="F51" s="272">
        <f>F30+F33+F34</f>
        <v>0</v>
      </c>
      <c r="G51" s="272">
        <f t="shared" ref="G51:S51" si="21">G26+G29+G30+G27</f>
        <v>1085.5999999999999</v>
      </c>
      <c r="H51" s="272">
        <f t="shared" si="21"/>
        <v>1013.4000000000001</v>
      </c>
      <c r="I51" s="272">
        <f t="shared" si="21"/>
        <v>1064.5</v>
      </c>
      <c r="J51" s="272">
        <f t="shared" si="21"/>
        <v>1055</v>
      </c>
      <c r="K51" s="272">
        <f t="shared" si="21"/>
        <v>1061.5</v>
      </c>
      <c r="L51" s="272">
        <f t="shared" si="21"/>
        <v>1055.1999999999998</v>
      </c>
      <c r="M51" s="272">
        <f t="shared" si="21"/>
        <v>1092.3000000000002</v>
      </c>
      <c r="N51" s="272">
        <f t="shared" si="21"/>
        <v>1128.3</v>
      </c>
      <c r="O51" s="272">
        <f t="shared" si="21"/>
        <v>1078.9000000000001</v>
      </c>
      <c r="P51" s="272">
        <f t="shared" si="21"/>
        <v>970.7</v>
      </c>
      <c r="Q51" s="272">
        <f t="shared" si="21"/>
        <v>1010.4</v>
      </c>
      <c r="R51" s="272">
        <f t="shared" si="21"/>
        <v>1021.8</v>
      </c>
      <c r="S51" s="272">
        <f t="shared" si="21"/>
        <v>915</v>
      </c>
      <c r="T51" s="272">
        <f>T26+T29+T30+T27</f>
        <v>904.00000000000011</v>
      </c>
      <c r="U51" s="272">
        <f>U26+U29+U30+U27</f>
        <v>855</v>
      </c>
      <c r="V51" s="272"/>
      <c r="W51" s="272"/>
      <c r="X51" s="272"/>
      <c r="Y51" s="272"/>
      <c r="Z51" s="272"/>
      <c r="AF51" s="272">
        <f>AF26+AF29+AF30+AF27</f>
        <v>1055</v>
      </c>
      <c r="AG51" s="272">
        <f>AG26+AG29+AG30+AG27</f>
        <v>1128.3</v>
      </c>
      <c r="AH51" s="272">
        <f>AH26+AH29+AH30+AH27</f>
        <v>1021.8</v>
      </c>
      <c r="AI51" s="272">
        <f>AI26+AI29+AI30+AI27</f>
        <v>855</v>
      </c>
    </row>
    <row r="52" spans="2:44" s="579" customFormat="1">
      <c r="B52" s="580" t="s">
        <v>535</v>
      </c>
      <c r="C52" s="581">
        <f>C25+C27</f>
        <v>0</v>
      </c>
      <c r="D52" s="581">
        <f>D25+D27</f>
        <v>0</v>
      </c>
      <c r="E52" s="581">
        <f>E25+E27</f>
        <v>0</v>
      </c>
      <c r="F52" s="581">
        <f>F25+F27</f>
        <v>0</v>
      </c>
      <c r="G52" s="581">
        <f t="shared" ref="G52:S52" si="22">G16+G18+G13+G14+G15</f>
        <v>843.6</v>
      </c>
      <c r="H52" s="581">
        <f t="shared" si="22"/>
        <v>839.4</v>
      </c>
      <c r="I52" s="581">
        <f t="shared" si="22"/>
        <v>844.80000000000007</v>
      </c>
      <c r="J52" s="581">
        <f t="shared" si="22"/>
        <v>2229</v>
      </c>
      <c r="K52" s="581">
        <f t="shared" si="22"/>
        <v>830</v>
      </c>
      <c r="L52" s="581">
        <f t="shared" si="22"/>
        <v>816.30000000000007</v>
      </c>
      <c r="M52" s="581">
        <f t="shared" si="22"/>
        <v>803.3</v>
      </c>
      <c r="N52" s="581">
        <f t="shared" si="22"/>
        <v>2280.3000000000002</v>
      </c>
      <c r="O52" s="581">
        <f t="shared" si="22"/>
        <v>803.6</v>
      </c>
      <c r="P52" s="581">
        <f t="shared" si="22"/>
        <v>729.1</v>
      </c>
      <c r="Q52" s="581">
        <f t="shared" si="22"/>
        <v>716.8</v>
      </c>
      <c r="R52" s="581">
        <f t="shared" si="22"/>
        <v>645</v>
      </c>
      <c r="S52" s="581">
        <f t="shared" si="22"/>
        <v>631.80000000000007</v>
      </c>
      <c r="T52" s="581">
        <f>T16+T18+T13+T14+T15</f>
        <v>610.1</v>
      </c>
      <c r="U52" s="581">
        <f>U16+U18+U13+U14+U15</f>
        <v>559.5</v>
      </c>
      <c r="V52" s="581"/>
      <c r="W52" s="581"/>
      <c r="X52" s="581"/>
      <c r="Y52" s="581"/>
      <c r="Z52" s="581"/>
      <c r="AF52" s="581">
        <f>AF16+AF18+AF13+AF14+AF15</f>
        <v>2229</v>
      </c>
      <c r="AG52" s="581">
        <f>AG16+AG18+AG13+AG14+AG15</f>
        <v>2280.3000000000002</v>
      </c>
      <c r="AH52" s="581">
        <f>AH16+AH18+AH13+AH14+AH15</f>
        <v>645</v>
      </c>
      <c r="AI52" s="581">
        <f>AI16+AI18+AI13+AI14+AI15</f>
        <v>559.5</v>
      </c>
    </row>
    <row r="53" spans="2:44">
      <c r="B53" s="102"/>
      <c r="C53" s="146"/>
      <c r="D53" s="146"/>
      <c r="E53" s="146"/>
      <c r="F53" s="146"/>
    </row>
    <row r="54" spans="2:44">
      <c r="B54" s="102"/>
      <c r="C54" s="146"/>
      <c r="D54" s="146"/>
      <c r="E54" s="146"/>
      <c r="F54" s="146"/>
      <c r="G54" s="628">
        <f t="shared" ref="G54:S54" si="23">+G55-G48</f>
        <v>0</v>
      </c>
      <c r="H54" s="628">
        <f t="shared" si="23"/>
        <v>0</v>
      </c>
      <c r="I54" s="628">
        <f t="shared" si="23"/>
        <v>0</v>
      </c>
      <c r="J54" s="628">
        <f t="shared" si="23"/>
        <v>0</v>
      </c>
      <c r="K54" s="628">
        <f t="shared" si="23"/>
        <v>0</v>
      </c>
      <c r="L54" s="628">
        <f t="shared" si="23"/>
        <v>0</v>
      </c>
      <c r="M54" s="628">
        <f t="shared" si="23"/>
        <v>0</v>
      </c>
      <c r="N54" s="628">
        <f t="shared" si="23"/>
        <v>0</v>
      </c>
      <c r="O54" s="628">
        <f t="shared" si="23"/>
        <v>0</v>
      </c>
      <c r="P54" s="628">
        <f t="shared" si="23"/>
        <v>0</v>
      </c>
      <c r="Q54" s="628">
        <f t="shared" si="23"/>
        <v>0</v>
      </c>
      <c r="R54" s="628">
        <f t="shared" si="23"/>
        <v>0</v>
      </c>
      <c r="S54" s="628">
        <f t="shared" si="23"/>
        <v>0</v>
      </c>
      <c r="T54" s="628">
        <f>+T55-T48</f>
        <v>0</v>
      </c>
      <c r="U54" s="628">
        <f>+U55-U48</f>
        <v>0</v>
      </c>
      <c r="V54" s="628"/>
      <c r="W54" s="628"/>
      <c r="X54" s="628"/>
      <c r="Y54" s="628"/>
      <c r="Z54" s="628"/>
      <c r="AF54" s="628">
        <f>+AF55-AF48</f>
        <v>0</v>
      </c>
      <c r="AG54" s="628">
        <f>+AG55-AG48</f>
        <v>0</v>
      </c>
      <c r="AH54" s="628">
        <f>+AH55-AH48</f>
        <v>0</v>
      </c>
      <c r="AI54" s="628">
        <f>+AI55-AI48</f>
        <v>0</v>
      </c>
    </row>
    <row r="55" spans="2:44" s="105" customFormat="1">
      <c r="B55" s="584" t="s">
        <v>531</v>
      </c>
      <c r="C55" s="144" t="e">
        <f t="shared" ref="C55:T55" si="24">C56+C60</f>
        <v>#REF!</v>
      </c>
      <c r="D55" s="144" t="e">
        <f t="shared" si="24"/>
        <v>#REF!</v>
      </c>
      <c r="E55" s="144" t="e">
        <f t="shared" si="24"/>
        <v>#REF!</v>
      </c>
      <c r="F55" s="144" t="e">
        <f t="shared" si="24"/>
        <v>#REF!</v>
      </c>
      <c r="G55" s="144">
        <f t="shared" si="24"/>
        <v>1200.7000000000003</v>
      </c>
      <c r="H55" s="144">
        <f t="shared" si="24"/>
        <v>1271.7000000000003</v>
      </c>
      <c r="I55" s="144">
        <f t="shared" si="24"/>
        <v>1315.3999999999996</v>
      </c>
      <c r="J55" s="144">
        <f t="shared" si="24"/>
        <v>2510.5999999999995</v>
      </c>
      <c r="K55" s="144">
        <f t="shared" si="24"/>
        <v>1156.0999999999995</v>
      </c>
      <c r="L55" s="144">
        <f t="shared" si="24"/>
        <v>1142.0000000000002</v>
      </c>
      <c r="M55" s="144">
        <f t="shared" si="24"/>
        <v>1139.2</v>
      </c>
      <c r="N55" s="144">
        <f t="shared" si="24"/>
        <v>2503.8000000000002</v>
      </c>
      <c r="O55" s="144">
        <f t="shared" si="24"/>
        <v>1101.7000000000003</v>
      </c>
      <c r="P55" s="144">
        <f t="shared" si="24"/>
        <v>1097.9000000000001</v>
      </c>
      <c r="Q55" s="144">
        <f t="shared" si="24"/>
        <v>1027.1000000000004</v>
      </c>
      <c r="R55" s="144">
        <f t="shared" si="24"/>
        <v>786.9</v>
      </c>
      <c r="S55" s="144">
        <f t="shared" si="24"/>
        <v>845.19999999999982</v>
      </c>
      <c r="T55" s="144">
        <f t="shared" si="24"/>
        <v>818.7</v>
      </c>
      <c r="U55" s="144">
        <f>U56+U60</f>
        <v>772.3</v>
      </c>
      <c r="V55" s="144"/>
      <c r="W55" s="144"/>
      <c r="X55" s="144"/>
      <c r="Y55" s="144"/>
      <c r="Z55" s="144"/>
      <c r="AF55" s="144">
        <f>AF56+AF60</f>
        <v>2510.5999999999995</v>
      </c>
      <c r="AG55" s="144">
        <f>AG56+AG60</f>
        <v>2503.8000000000002</v>
      </c>
      <c r="AH55" s="144">
        <f>AH56+AH60</f>
        <v>786.9</v>
      </c>
      <c r="AI55" s="144">
        <f>AI56+AI60</f>
        <v>772.3</v>
      </c>
    </row>
    <row r="56" spans="2:44" s="579" customFormat="1">
      <c r="B56" s="580" t="s">
        <v>536</v>
      </c>
      <c r="C56" s="581">
        <f t="shared" ref="C56:T56" si="25">+C59-C58-C57</f>
        <v>0</v>
      </c>
      <c r="D56" s="581">
        <f t="shared" si="25"/>
        <v>0</v>
      </c>
      <c r="E56" s="581">
        <f t="shared" si="25"/>
        <v>0</v>
      </c>
      <c r="F56" s="581">
        <f t="shared" si="25"/>
        <v>0</v>
      </c>
      <c r="G56" s="581">
        <f t="shared" si="25"/>
        <v>1460.5</v>
      </c>
      <c r="H56" s="581">
        <f t="shared" si="25"/>
        <v>1446.9</v>
      </c>
      <c r="I56" s="581">
        <f t="shared" si="25"/>
        <v>1436.4000000000003</v>
      </c>
      <c r="J56" s="581">
        <f t="shared" si="25"/>
        <v>1239.5</v>
      </c>
      <c r="K56" s="581">
        <f t="shared" si="25"/>
        <v>1335</v>
      </c>
      <c r="L56" s="581">
        <f t="shared" si="25"/>
        <v>1253</v>
      </c>
      <c r="M56" s="581">
        <f t="shared" si="25"/>
        <v>1225.3</v>
      </c>
      <c r="N56" s="581">
        <f t="shared" si="25"/>
        <v>1016.4000000000001</v>
      </c>
      <c r="O56" s="581">
        <f t="shared" si="25"/>
        <v>1127.8999999999999</v>
      </c>
      <c r="P56" s="581">
        <f t="shared" si="25"/>
        <v>1198.4000000000001</v>
      </c>
      <c r="Q56" s="581">
        <f t="shared" si="25"/>
        <v>1194.5</v>
      </c>
      <c r="R56" s="581">
        <f t="shared" si="25"/>
        <v>1060.8999999999999</v>
      </c>
      <c r="S56" s="581">
        <f t="shared" si="25"/>
        <v>1198.4000000000001</v>
      </c>
      <c r="T56" s="581">
        <f t="shared" si="25"/>
        <v>1174.5</v>
      </c>
      <c r="U56" s="581">
        <f>+U59-U58-U57</f>
        <v>1141.0999999999999</v>
      </c>
      <c r="V56" s="581"/>
      <c r="W56" s="581"/>
      <c r="X56" s="581"/>
      <c r="Y56" s="581"/>
      <c r="Z56" s="581"/>
      <c r="AF56" s="581">
        <f>+AF59-AF58-AF57</f>
        <v>1239.5</v>
      </c>
      <c r="AG56" s="581">
        <f>+AG59-AG58-AG57</f>
        <v>1016.4000000000001</v>
      </c>
      <c r="AH56" s="581">
        <f>+AH59-AH58-AH57</f>
        <v>1060.8999999999999</v>
      </c>
      <c r="AI56" s="581">
        <f>+AI59-AI58-AI57</f>
        <v>1141.0999999999999</v>
      </c>
      <c r="AJ56" s="582">
        <f>+AI56-AH56</f>
        <v>80.200000000000045</v>
      </c>
    </row>
    <row r="57" spans="2:44">
      <c r="B57" s="102" t="s">
        <v>537</v>
      </c>
      <c r="C57" s="145">
        <f t="shared" ref="C57:F58" si="26">C17</f>
        <v>0</v>
      </c>
      <c r="D57" s="145">
        <f t="shared" si="26"/>
        <v>0</v>
      </c>
      <c r="E57" s="145">
        <f t="shared" si="26"/>
        <v>0</v>
      </c>
      <c r="F57" s="145">
        <f t="shared" si="26"/>
        <v>0</v>
      </c>
      <c r="G57" s="145">
        <f t="shared" ref="G57:T57" si="27">+G5+G6</f>
        <v>753.5</v>
      </c>
      <c r="H57" s="145">
        <f t="shared" si="27"/>
        <v>741.5</v>
      </c>
      <c r="I57" s="145">
        <f t="shared" si="27"/>
        <v>901.7</v>
      </c>
      <c r="J57" s="145">
        <f t="shared" si="27"/>
        <v>654.4</v>
      </c>
      <c r="K57" s="145">
        <f t="shared" si="27"/>
        <v>560</v>
      </c>
      <c r="L57" s="145">
        <f t="shared" si="27"/>
        <v>633.79999999999995</v>
      </c>
      <c r="M57" s="145">
        <f t="shared" si="27"/>
        <v>663.8</v>
      </c>
      <c r="N57" s="145">
        <f t="shared" si="27"/>
        <v>881.5</v>
      </c>
      <c r="O57" s="145">
        <f t="shared" si="27"/>
        <v>772.5</v>
      </c>
      <c r="P57" s="145">
        <f t="shared" si="27"/>
        <v>443.9</v>
      </c>
      <c r="Q57" s="145">
        <f t="shared" si="27"/>
        <v>452.6</v>
      </c>
      <c r="R57" s="145">
        <f t="shared" si="27"/>
        <v>532.70000000000005</v>
      </c>
      <c r="S57" s="145">
        <f t="shared" si="27"/>
        <v>423.4</v>
      </c>
      <c r="T57" s="145">
        <f t="shared" si="27"/>
        <v>421</v>
      </c>
      <c r="U57" s="145">
        <f>+U5+U6</f>
        <v>564.20000000000005</v>
      </c>
      <c r="V57" s="145"/>
      <c r="W57" s="145"/>
      <c r="X57" s="145"/>
      <c r="Y57" s="145"/>
      <c r="Z57" s="145"/>
      <c r="AF57" s="145">
        <f>+AF5+AF6</f>
        <v>654.4</v>
      </c>
      <c r="AG57" s="145">
        <f>+AG5+AG6</f>
        <v>881.5</v>
      </c>
      <c r="AH57" s="145">
        <f>+AH5+AH6</f>
        <v>532.70000000000005</v>
      </c>
      <c r="AI57" s="145">
        <f>+AI5+AI6</f>
        <v>564.20000000000005</v>
      </c>
      <c r="AJ57" s="269">
        <f t="shared" ref="AJ57:AQ57" si="28">+AI57</f>
        <v>564.20000000000005</v>
      </c>
      <c r="AK57" s="269">
        <f t="shared" si="28"/>
        <v>564.20000000000005</v>
      </c>
      <c r="AL57" s="269">
        <f t="shared" si="28"/>
        <v>564.20000000000005</v>
      </c>
      <c r="AM57" s="269">
        <f t="shared" si="28"/>
        <v>564.20000000000005</v>
      </c>
      <c r="AN57" s="269">
        <f t="shared" si="28"/>
        <v>564.20000000000005</v>
      </c>
      <c r="AO57" s="269">
        <f t="shared" si="28"/>
        <v>564.20000000000005</v>
      </c>
      <c r="AP57" s="269">
        <f t="shared" si="28"/>
        <v>564.20000000000005</v>
      </c>
      <c r="AQ57" s="269">
        <f t="shared" si="28"/>
        <v>564.20000000000005</v>
      </c>
      <c r="AR57" s="269"/>
    </row>
    <row r="58" spans="2:44">
      <c r="B58" s="102" t="s">
        <v>538</v>
      </c>
      <c r="C58" s="145">
        <f t="shared" si="26"/>
        <v>0</v>
      </c>
      <c r="D58" s="145">
        <f t="shared" si="26"/>
        <v>0</v>
      </c>
      <c r="E58" s="145">
        <f t="shared" si="26"/>
        <v>0</v>
      </c>
      <c r="F58" s="145">
        <f t="shared" si="26"/>
        <v>0</v>
      </c>
      <c r="G58" s="145">
        <v>0</v>
      </c>
      <c r="H58" s="145">
        <v>0</v>
      </c>
      <c r="I58" s="145">
        <v>0</v>
      </c>
      <c r="J58" s="145">
        <v>0</v>
      </c>
      <c r="K58" s="145">
        <v>0</v>
      </c>
      <c r="L58" s="145">
        <v>0</v>
      </c>
      <c r="M58" s="145">
        <v>0</v>
      </c>
      <c r="N58" s="145">
        <v>0</v>
      </c>
      <c r="O58" s="145">
        <v>0</v>
      </c>
      <c r="P58" s="145">
        <v>0</v>
      </c>
      <c r="Q58" s="145">
        <v>0</v>
      </c>
      <c r="R58" s="145">
        <v>0</v>
      </c>
      <c r="S58" s="145">
        <v>0</v>
      </c>
      <c r="T58" s="145">
        <v>0</v>
      </c>
      <c r="U58" s="145">
        <v>0</v>
      </c>
      <c r="V58" s="145"/>
      <c r="W58" s="145"/>
      <c r="X58" s="145"/>
      <c r="Y58" s="145"/>
      <c r="Z58" s="145"/>
      <c r="AF58" s="145">
        <v>0</v>
      </c>
      <c r="AG58" s="145">
        <v>0</v>
      </c>
      <c r="AH58" s="145">
        <v>0</v>
      </c>
      <c r="AI58" s="145">
        <v>0</v>
      </c>
      <c r="AJ58" s="768"/>
      <c r="AK58" s="768"/>
      <c r="AL58" s="768"/>
      <c r="AM58" s="768"/>
      <c r="AN58" s="768"/>
      <c r="AO58" s="768"/>
      <c r="AP58" s="768"/>
      <c r="AQ58" s="768"/>
      <c r="AR58" s="768"/>
    </row>
    <row r="59" spans="2:44">
      <c r="B59" s="102" t="s">
        <v>539</v>
      </c>
      <c r="C59" s="145">
        <f>C31+C38</f>
        <v>0</v>
      </c>
      <c r="D59" s="145">
        <f>D31+D38</f>
        <v>0</v>
      </c>
      <c r="E59" s="145">
        <f>E31+E38</f>
        <v>0</v>
      </c>
      <c r="F59" s="145">
        <f>F31+F38</f>
        <v>0</v>
      </c>
      <c r="G59" s="145">
        <f t="shared" ref="G59:T59" si="29">G25+G34</f>
        <v>2214</v>
      </c>
      <c r="H59" s="145">
        <f t="shared" si="29"/>
        <v>2188.4</v>
      </c>
      <c r="I59" s="145">
        <f t="shared" si="29"/>
        <v>2338.1000000000004</v>
      </c>
      <c r="J59" s="145">
        <f t="shared" si="29"/>
        <v>1893.8999999999999</v>
      </c>
      <c r="K59" s="145">
        <f t="shared" si="29"/>
        <v>1895</v>
      </c>
      <c r="L59" s="145">
        <f t="shared" si="29"/>
        <v>1886.8</v>
      </c>
      <c r="M59" s="145">
        <f t="shared" si="29"/>
        <v>1889.1</v>
      </c>
      <c r="N59" s="145">
        <f t="shared" si="29"/>
        <v>1897.9</v>
      </c>
      <c r="O59" s="145">
        <f t="shared" si="29"/>
        <v>1900.3999999999999</v>
      </c>
      <c r="P59" s="145">
        <f t="shared" si="29"/>
        <v>1642.3</v>
      </c>
      <c r="Q59" s="145">
        <f>Q25+Q34</f>
        <v>1647.1</v>
      </c>
      <c r="R59" s="145">
        <f t="shared" si="29"/>
        <v>1593.6</v>
      </c>
      <c r="S59" s="145">
        <f t="shared" si="29"/>
        <v>1621.8000000000002</v>
      </c>
      <c r="T59" s="145">
        <f t="shared" si="29"/>
        <v>1595.5</v>
      </c>
      <c r="U59" s="145">
        <f>U25+U34</f>
        <v>1705.3</v>
      </c>
      <c r="V59" s="145"/>
      <c r="W59" s="145"/>
      <c r="X59" s="145"/>
      <c r="Y59" s="145"/>
      <c r="Z59" s="145"/>
      <c r="AF59" s="145">
        <f>AF25+AF34</f>
        <v>1893.8999999999999</v>
      </c>
      <c r="AG59" s="145">
        <f>AG25+AG34</f>
        <v>1897.9</v>
      </c>
      <c r="AH59" s="145">
        <f>AH25+AH34</f>
        <v>1593.6</v>
      </c>
      <c r="AI59" s="145">
        <f>AI25+AI34</f>
        <v>1705.3</v>
      </c>
      <c r="AJ59" s="269">
        <f t="shared" ref="AJ59:AQ59" si="30">+AI59</f>
        <v>1705.3</v>
      </c>
      <c r="AK59" s="269">
        <f t="shared" si="30"/>
        <v>1705.3</v>
      </c>
      <c r="AL59" s="269">
        <f t="shared" si="30"/>
        <v>1705.3</v>
      </c>
      <c r="AM59" s="269">
        <f t="shared" si="30"/>
        <v>1705.3</v>
      </c>
      <c r="AN59" s="269">
        <f t="shared" si="30"/>
        <v>1705.3</v>
      </c>
      <c r="AO59" s="269">
        <f t="shared" si="30"/>
        <v>1705.3</v>
      </c>
      <c r="AP59" s="269">
        <f t="shared" si="30"/>
        <v>1705.3</v>
      </c>
      <c r="AQ59" s="269">
        <f t="shared" si="30"/>
        <v>1705.3</v>
      </c>
      <c r="AR59" s="269"/>
    </row>
    <row r="60" spans="2:44" s="579" customFormat="1">
      <c r="B60" s="580" t="s">
        <v>545</v>
      </c>
      <c r="C60" s="581" t="e">
        <f>C61+C62+C63+C64-C66-C67</f>
        <v>#REF!</v>
      </c>
      <c r="D60" s="581" t="e">
        <f>D61+D62+D63+D64-D66-D67</f>
        <v>#REF!</v>
      </c>
      <c r="E60" s="581" t="e">
        <f>E61+E62+E63+E64-E66-E67</f>
        <v>#REF!</v>
      </c>
      <c r="F60" s="581" t="e">
        <f>F61+F62+F63+F64-F66-F67</f>
        <v>#REF!</v>
      </c>
      <c r="G60" s="581">
        <f t="shared" ref="G60:T60" si="31">G61+G62+G63+G64+G65-G66-G67</f>
        <v>-259.79999999999978</v>
      </c>
      <c r="H60" s="581">
        <f t="shared" si="31"/>
        <v>-175.19999999999976</v>
      </c>
      <c r="I60" s="581">
        <f t="shared" si="31"/>
        <v>-121.00000000000065</v>
      </c>
      <c r="J60" s="581">
        <f t="shared" si="31"/>
        <v>1271.0999999999995</v>
      </c>
      <c r="K60" s="581">
        <f t="shared" si="31"/>
        <v>-178.9000000000006</v>
      </c>
      <c r="L60" s="581">
        <f t="shared" si="31"/>
        <v>-110.99999999999972</v>
      </c>
      <c r="M60" s="581">
        <f t="shared" si="31"/>
        <v>-86.099999999999909</v>
      </c>
      <c r="N60" s="581">
        <f t="shared" si="31"/>
        <v>1487.4</v>
      </c>
      <c r="O60" s="581">
        <f t="shared" si="31"/>
        <v>-26.199999999999648</v>
      </c>
      <c r="P60" s="581">
        <f t="shared" si="31"/>
        <v>-100.49999999999989</v>
      </c>
      <c r="Q60" s="581">
        <f t="shared" si="31"/>
        <v>-167.39999999999955</v>
      </c>
      <c r="R60" s="581">
        <f t="shared" si="31"/>
        <v>-273.99999999999989</v>
      </c>
      <c r="S60" s="581">
        <f t="shared" si="31"/>
        <v>-353.20000000000027</v>
      </c>
      <c r="T60" s="581">
        <f t="shared" si="31"/>
        <v>-355.79999999999995</v>
      </c>
      <c r="U60" s="581">
        <f>U61+U62+U63+U64+U65-U66-U67</f>
        <v>-368.7999999999999</v>
      </c>
      <c r="V60" s="581"/>
      <c r="W60" s="581"/>
      <c r="X60" s="581"/>
      <c r="Y60" s="581"/>
      <c r="Z60" s="581"/>
      <c r="AF60" s="581">
        <f>AF61+AF62+AF63+AF64+AF65-AF66-AF67</f>
        <v>1271.0999999999995</v>
      </c>
      <c r="AG60" s="581">
        <f>AG61+AG62+AG63+AG64+AG65-AG66-AG67</f>
        <v>1487.4</v>
      </c>
      <c r="AH60" s="581">
        <f>AH61+AH62+AH63+AH64+AH65-AH66-AH67</f>
        <v>-273.99999999999989</v>
      </c>
      <c r="AI60" s="581">
        <f>AI61+AI62+AI63+AI64+AI65-AI66-AI67</f>
        <v>-368.7999999999999</v>
      </c>
    </row>
    <row r="61" spans="2:44">
      <c r="B61" s="102" t="s">
        <v>527</v>
      </c>
      <c r="C61" s="145">
        <f t="shared" ref="C61:F62" si="32">C42</f>
        <v>0</v>
      </c>
      <c r="D61" s="145">
        <f t="shared" si="32"/>
        <v>0</v>
      </c>
      <c r="E61" s="145">
        <f t="shared" si="32"/>
        <v>0</v>
      </c>
      <c r="F61" s="145">
        <f t="shared" si="32"/>
        <v>0</v>
      </c>
      <c r="G61" s="145">
        <f t="shared" ref="G61:T61" si="33">G40</f>
        <v>-450.69999999999982</v>
      </c>
      <c r="H61" s="145">
        <f t="shared" si="33"/>
        <v>-411.39999999999975</v>
      </c>
      <c r="I61" s="145">
        <f t="shared" si="33"/>
        <v>-349.90000000000055</v>
      </c>
      <c r="J61" s="145">
        <f t="shared" si="33"/>
        <v>1020.7999999999995</v>
      </c>
      <c r="K61" s="145">
        <f t="shared" si="33"/>
        <v>-370.1000000000007</v>
      </c>
      <c r="L61" s="145">
        <f t="shared" si="33"/>
        <v>-396.99999999999972</v>
      </c>
      <c r="M61" s="145">
        <f t="shared" si="33"/>
        <v>-358.6</v>
      </c>
      <c r="N61" s="145">
        <f t="shared" si="33"/>
        <v>1224.7</v>
      </c>
      <c r="O61" s="145">
        <f t="shared" si="33"/>
        <v>-282.49999999999972</v>
      </c>
      <c r="P61" s="145">
        <f t="shared" si="33"/>
        <v>-439.0999999999998</v>
      </c>
      <c r="Q61" s="145">
        <f t="shared" si="33"/>
        <v>-324.49999999999955</v>
      </c>
      <c r="R61" s="145">
        <f t="shared" si="33"/>
        <v>-412.39999999999981</v>
      </c>
      <c r="S61" s="145">
        <f t="shared" si="33"/>
        <v>-450.3000000000003</v>
      </c>
      <c r="T61" s="145">
        <f t="shared" si="33"/>
        <v>-459.8</v>
      </c>
      <c r="U61" s="145">
        <f>U40</f>
        <v>-371</v>
      </c>
      <c r="V61" s="145"/>
      <c r="W61" s="145"/>
      <c r="X61" s="145"/>
      <c r="Y61" s="145"/>
      <c r="Z61" s="145"/>
      <c r="AF61" s="145">
        <f t="shared" ref="AF61:AI62" si="34">AF40</f>
        <v>1020.7999999999995</v>
      </c>
      <c r="AG61" s="145">
        <f t="shared" si="34"/>
        <v>1224.7</v>
      </c>
      <c r="AH61" s="145">
        <f t="shared" si="34"/>
        <v>-412.39999999999981</v>
      </c>
      <c r="AI61" s="145">
        <f t="shared" si="34"/>
        <v>-371</v>
      </c>
    </row>
    <row r="62" spans="2:44">
      <c r="B62" s="102" t="s">
        <v>546</v>
      </c>
      <c r="C62" s="145">
        <f t="shared" si="32"/>
        <v>0</v>
      </c>
      <c r="D62" s="145">
        <f t="shared" si="32"/>
        <v>0</v>
      </c>
      <c r="E62" s="145">
        <f t="shared" si="32"/>
        <v>0</v>
      </c>
      <c r="F62" s="145">
        <f t="shared" si="32"/>
        <v>0</v>
      </c>
      <c r="G62" s="145">
        <f t="shared" ref="G62:T62" si="35">G41</f>
        <v>15</v>
      </c>
      <c r="H62" s="145">
        <f t="shared" si="35"/>
        <v>14.1</v>
      </c>
      <c r="I62" s="145">
        <f t="shared" si="35"/>
        <v>13.5</v>
      </c>
      <c r="J62" s="145">
        <f t="shared" si="35"/>
        <v>11.8</v>
      </c>
      <c r="K62" s="145">
        <f t="shared" si="35"/>
        <v>11.9</v>
      </c>
      <c r="L62" s="145">
        <f t="shared" si="35"/>
        <v>11.7</v>
      </c>
      <c r="M62" s="145">
        <f t="shared" si="35"/>
        <v>11.1</v>
      </c>
      <c r="N62" s="145">
        <f t="shared" si="35"/>
        <v>10.3</v>
      </c>
      <c r="O62" s="145">
        <f t="shared" si="35"/>
        <v>9.6999999999999993</v>
      </c>
      <c r="P62" s="145">
        <f t="shared" si="35"/>
        <v>8.4</v>
      </c>
      <c r="Q62" s="145">
        <f t="shared" si="35"/>
        <v>7.5</v>
      </c>
      <c r="R62" s="145">
        <f t="shared" si="35"/>
        <v>7.7</v>
      </c>
      <c r="S62" s="145">
        <f t="shared" si="35"/>
        <v>7.1</v>
      </c>
      <c r="T62" s="145">
        <f t="shared" si="35"/>
        <v>7.2</v>
      </c>
      <c r="U62" s="145">
        <f>U41</f>
        <v>6.9</v>
      </c>
      <c r="V62" s="145"/>
      <c r="W62" s="145"/>
      <c r="X62" s="145"/>
      <c r="Y62" s="145"/>
      <c r="Z62" s="145"/>
      <c r="AF62" s="145">
        <f t="shared" si="34"/>
        <v>11.8</v>
      </c>
      <c r="AG62" s="145">
        <f t="shared" si="34"/>
        <v>10.3</v>
      </c>
      <c r="AH62" s="145">
        <f t="shared" si="34"/>
        <v>7.7</v>
      </c>
      <c r="AI62" s="145">
        <f t="shared" si="34"/>
        <v>6.9</v>
      </c>
    </row>
    <row r="63" spans="2:44">
      <c r="B63" s="102" t="s">
        <v>547</v>
      </c>
      <c r="C63" s="145">
        <f>C40</f>
        <v>0</v>
      </c>
      <c r="D63" s="145">
        <f>D40</f>
        <v>0</v>
      </c>
      <c r="E63" s="145">
        <f>E40</f>
        <v>0</v>
      </c>
      <c r="F63" s="145">
        <f>F40</f>
        <v>0</v>
      </c>
      <c r="G63" s="145">
        <f t="shared" ref="G63:T63" si="36">-G19</f>
        <v>0</v>
      </c>
      <c r="H63" s="145">
        <f t="shared" si="36"/>
        <v>0</v>
      </c>
      <c r="I63" s="145">
        <f t="shared" si="36"/>
        <v>0</v>
      </c>
      <c r="J63" s="145">
        <f t="shared" si="36"/>
        <v>0</v>
      </c>
      <c r="K63" s="145">
        <f t="shared" si="36"/>
        <v>0</v>
      </c>
      <c r="L63" s="145">
        <f t="shared" si="36"/>
        <v>0</v>
      </c>
      <c r="M63" s="145">
        <f t="shared" si="36"/>
        <v>0</v>
      </c>
      <c r="N63" s="145">
        <f t="shared" si="36"/>
        <v>0</v>
      </c>
      <c r="O63" s="145">
        <f t="shared" si="36"/>
        <v>0</v>
      </c>
      <c r="P63" s="145">
        <f t="shared" si="36"/>
        <v>0</v>
      </c>
      <c r="Q63" s="145">
        <f t="shared" si="36"/>
        <v>0</v>
      </c>
      <c r="R63" s="145">
        <f t="shared" si="36"/>
        <v>-212.6</v>
      </c>
      <c r="S63" s="145">
        <f t="shared" si="36"/>
        <v>-204.2</v>
      </c>
      <c r="T63" s="145">
        <f t="shared" si="36"/>
        <v>-208.2</v>
      </c>
      <c r="U63" s="145">
        <f>-U19</f>
        <v>-174.2</v>
      </c>
      <c r="V63" s="145"/>
      <c r="W63" s="145"/>
      <c r="X63" s="145"/>
      <c r="Y63" s="145"/>
      <c r="Z63" s="145"/>
      <c r="AF63" s="145">
        <f>-AF19</f>
        <v>0</v>
      </c>
      <c r="AG63" s="145">
        <f>-AG19</f>
        <v>0</v>
      </c>
      <c r="AH63" s="145">
        <f>-AH19</f>
        <v>-212.6</v>
      </c>
      <c r="AI63" s="145">
        <f>-AI19</f>
        <v>-174.2</v>
      </c>
    </row>
    <row r="64" spans="2:44">
      <c r="B64" s="102" t="s">
        <v>548</v>
      </c>
      <c r="C64" s="145">
        <f>C35</f>
        <v>0</v>
      </c>
      <c r="D64" s="145">
        <f>D35</f>
        <v>0</v>
      </c>
      <c r="E64" s="145">
        <f>E35</f>
        <v>0</v>
      </c>
      <c r="F64" s="145">
        <f>F35</f>
        <v>0</v>
      </c>
      <c r="G64" s="145">
        <v>0</v>
      </c>
      <c r="H64" s="145">
        <v>0</v>
      </c>
      <c r="I64" s="145">
        <v>0</v>
      </c>
      <c r="J64" s="145">
        <v>0</v>
      </c>
      <c r="K64" s="145">
        <v>0</v>
      </c>
      <c r="L64" s="145">
        <v>0</v>
      </c>
      <c r="M64" s="145">
        <v>0</v>
      </c>
      <c r="N64" s="145">
        <v>0</v>
      </c>
      <c r="O64" s="145">
        <v>0</v>
      </c>
      <c r="P64" s="145">
        <v>0</v>
      </c>
      <c r="Q64" s="145">
        <v>0</v>
      </c>
      <c r="R64" s="145">
        <v>0</v>
      </c>
      <c r="S64" s="145">
        <v>0</v>
      </c>
      <c r="T64" s="145">
        <v>0</v>
      </c>
      <c r="U64" s="145">
        <v>0</v>
      </c>
      <c r="V64" s="145"/>
      <c r="W64" s="145"/>
      <c r="X64" s="145"/>
      <c r="Y64" s="145"/>
      <c r="Z64" s="145"/>
      <c r="AF64" s="145">
        <v>0</v>
      </c>
      <c r="AG64" s="145">
        <v>0</v>
      </c>
      <c r="AH64" s="145">
        <v>0</v>
      </c>
      <c r="AI64" s="145">
        <v>0</v>
      </c>
    </row>
    <row r="65" spans="2:35">
      <c r="B65" s="102" t="s">
        <v>810</v>
      </c>
      <c r="C65" s="145"/>
      <c r="D65" s="145"/>
      <c r="E65" s="145"/>
      <c r="F65" s="145"/>
      <c r="G65" s="145">
        <f t="shared" ref="G65:T65" si="37">+G35-G17</f>
        <v>0</v>
      </c>
      <c r="H65" s="145">
        <f t="shared" si="37"/>
        <v>0</v>
      </c>
      <c r="I65" s="145">
        <f t="shared" si="37"/>
        <v>0</v>
      </c>
      <c r="J65" s="145">
        <f t="shared" si="37"/>
        <v>0</v>
      </c>
      <c r="K65" s="145">
        <f t="shared" si="37"/>
        <v>0</v>
      </c>
      <c r="L65" s="145">
        <f t="shared" si="37"/>
        <v>0</v>
      </c>
      <c r="M65" s="145">
        <f t="shared" si="37"/>
        <v>0</v>
      </c>
      <c r="N65" s="145">
        <f t="shared" si="37"/>
        <v>0</v>
      </c>
      <c r="O65" s="145">
        <f t="shared" si="37"/>
        <v>0</v>
      </c>
      <c r="P65" s="145">
        <f t="shared" si="37"/>
        <v>0</v>
      </c>
      <c r="Q65" s="145">
        <f t="shared" si="37"/>
        <v>0</v>
      </c>
      <c r="R65" s="145">
        <f t="shared" si="37"/>
        <v>0</v>
      </c>
      <c r="S65" s="145">
        <f t="shared" si="37"/>
        <v>-29.900000000000006</v>
      </c>
      <c r="T65" s="145">
        <f t="shared" si="37"/>
        <v>-30.099999999999994</v>
      </c>
      <c r="U65" s="145">
        <f>+U35-U17</f>
        <v>-30.600000000000023</v>
      </c>
      <c r="V65" s="145"/>
      <c r="W65" s="145"/>
      <c r="X65" s="145"/>
      <c r="Y65" s="145"/>
      <c r="Z65" s="145"/>
      <c r="AF65" s="145">
        <f>+AF35-AF17</f>
        <v>0</v>
      </c>
      <c r="AG65" s="145">
        <f>+AG35-AG17</f>
        <v>0</v>
      </c>
      <c r="AH65" s="145">
        <f>+AH35-AH17</f>
        <v>0</v>
      </c>
      <c r="AI65" s="145">
        <f>+AI35-AI17</f>
        <v>-30.600000000000023</v>
      </c>
    </row>
    <row r="66" spans="2:35">
      <c r="B66" s="102" t="s">
        <v>550</v>
      </c>
      <c r="C66" s="145" t="e">
        <f>C21+C23+#REF!-C36-C41</f>
        <v>#REF!</v>
      </c>
      <c r="D66" s="145" t="e">
        <f>D21+D23+#REF!-D36-D41</f>
        <v>#REF!</v>
      </c>
      <c r="E66" s="145" t="e">
        <f>E21+E23+#REF!-E36-E41</f>
        <v>#REF!</v>
      </c>
      <c r="F66" s="145" t="e">
        <f>F21+F23+#REF!-F36-F41</f>
        <v>#REF!</v>
      </c>
      <c r="G66" s="145">
        <f t="shared" ref="G66:L66" si="38">+G20+G10+G11-G32-G28-G36-G38-G39-G37-G31</f>
        <v>-175.90000000000003</v>
      </c>
      <c r="H66" s="145">
        <f t="shared" si="38"/>
        <v>-222.09999999999997</v>
      </c>
      <c r="I66" s="145">
        <f t="shared" si="38"/>
        <v>-215.39999999999989</v>
      </c>
      <c r="J66" s="145">
        <f t="shared" si="38"/>
        <v>-238.49999999999994</v>
      </c>
      <c r="K66" s="145">
        <f t="shared" si="38"/>
        <v>-179.30000000000013</v>
      </c>
      <c r="L66" s="145">
        <f t="shared" si="38"/>
        <v>-274.3</v>
      </c>
      <c r="M66" s="145">
        <f>+M20+M10+M11-M32-M28-M36-M38-M39-M37-M31</f>
        <v>-261.40000000000009</v>
      </c>
      <c r="N66" s="145">
        <f t="shared" ref="N66:U66" si="39">+N20+N10+N11-N32-N28-N36-N38-N39-N37-N31</f>
        <v>-252.39999999999998</v>
      </c>
      <c r="O66" s="145">
        <f t="shared" si="39"/>
        <v>-246.60000000000008</v>
      </c>
      <c r="P66" s="145">
        <f t="shared" si="39"/>
        <v>-330.19999999999993</v>
      </c>
      <c r="Q66" s="145">
        <f t="shared" si="39"/>
        <v>-149.6</v>
      </c>
      <c r="R66" s="145">
        <f t="shared" si="39"/>
        <v>-343.29999999999995</v>
      </c>
      <c r="S66" s="145">
        <f t="shared" si="39"/>
        <v>-324.10000000000002</v>
      </c>
      <c r="T66" s="145">
        <f t="shared" si="39"/>
        <v>-335.1</v>
      </c>
      <c r="U66" s="145">
        <f t="shared" si="39"/>
        <v>-200.10000000000008</v>
      </c>
      <c r="V66" s="145"/>
      <c r="W66" s="145"/>
      <c r="X66" s="145"/>
      <c r="Y66" s="145"/>
      <c r="Z66" s="145"/>
      <c r="AF66" s="145">
        <f>+AF20+AF10+AF11-AF32-AF28-AF36-AF38-AF39-AF37-AF31</f>
        <v>-238.49999999999994</v>
      </c>
      <c r="AG66" s="145">
        <f>+AG20+AG10+AG11-AG32-AG28-AG36-AG38-AG39-AG37-AG31</f>
        <v>-252.39999999999998</v>
      </c>
      <c r="AH66" s="145">
        <f>+AH20+AH10+AH11-AH32-AH28-AH36-AH38-AH39-AH37-AH31</f>
        <v>-343.29999999999995</v>
      </c>
      <c r="AI66" s="145">
        <f>+AI20+AI10+AI11-AI32-AI28-AI36-AI38-AI39-AI37-AI31</f>
        <v>-200.10000000000008</v>
      </c>
    </row>
    <row r="67" spans="2:35">
      <c r="B67" s="102" t="s">
        <v>551</v>
      </c>
    </row>
    <row r="68" spans="2:35">
      <c r="B68" s="113"/>
    </row>
    <row r="69" spans="2:35" s="105" customFormat="1">
      <c r="B69" s="295" t="s">
        <v>552</v>
      </c>
      <c r="C69" s="149" t="e">
        <f t="shared" ref="C69:T69" si="40">+C71+C72-C73</f>
        <v>#DIV/0!</v>
      </c>
      <c r="D69" s="149" t="e">
        <f t="shared" si="40"/>
        <v>#DIV/0!</v>
      </c>
      <c r="E69" s="149" t="e">
        <f t="shared" si="40"/>
        <v>#DIV/0!</v>
      </c>
      <c r="F69" s="149" t="e">
        <f t="shared" si="40"/>
        <v>#DIV/0!</v>
      </c>
      <c r="G69" s="629">
        <f t="shared" si="40"/>
        <v>86.556805369466701</v>
      </c>
      <c r="H69" s="629">
        <f t="shared" si="40"/>
        <v>42.085283498105696</v>
      </c>
      <c r="I69" s="629">
        <f t="shared" si="40"/>
        <v>30.621351351207778</v>
      </c>
      <c r="J69" s="629">
        <f t="shared" si="40"/>
        <v>11.997099773465891</v>
      </c>
      <c r="K69" s="629">
        <f t="shared" si="40"/>
        <v>4.5652416908355775</v>
      </c>
      <c r="L69" s="629">
        <f t="shared" si="40"/>
        <v>9.4806738240492479</v>
      </c>
      <c r="M69" s="629">
        <f t="shared" si="40"/>
        <v>9.11417510461348</v>
      </c>
      <c r="N69" s="629">
        <f t="shared" si="40"/>
        <v>-0.58919763793454649</v>
      </c>
      <c r="O69" s="629">
        <f t="shared" si="40"/>
        <v>0.85394349362715616</v>
      </c>
      <c r="P69" s="629">
        <f t="shared" si="40"/>
        <v>12.33384806956721</v>
      </c>
      <c r="Q69" s="629">
        <f t="shared" si="40"/>
        <v>12.356394844524601</v>
      </c>
      <c r="R69" s="629">
        <f t="shared" si="40"/>
        <v>-3.6348735200102027</v>
      </c>
      <c r="S69" s="629">
        <f t="shared" si="40"/>
        <v>-11.896027125068713</v>
      </c>
      <c r="T69" s="629">
        <f t="shared" si="40"/>
        <v>-3.6762804360441521</v>
      </c>
      <c r="U69" s="629">
        <f t="shared" ref="U69:Z69" si="41">+U71+U72-U73</f>
        <v>-2.2448405717452857</v>
      </c>
      <c r="V69" s="629">
        <f t="shared" si="41"/>
        <v>-3.6348735200102027</v>
      </c>
      <c r="W69" s="629">
        <f t="shared" si="41"/>
        <v>-11.896027125068713</v>
      </c>
      <c r="X69" s="629">
        <f t="shared" si="41"/>
        <v>-3.6762804360441521</v>
      </c>
      <c r="Y69" s="629">
        <f t="shared" si="41"/>
        <v>-2.2448405717452857</v>
      </c>
      <c r="Z69" s="629">
        <f t="shared" si="41"/>
        <v>-3.6348735200102027</v>
      </c>
      <c r="AF69" s="629">
        <f>+AF71+AF72-AF73</f>
        <v>0.48341840443140427</v>
      </c>
      <c r="AG69" s="629">
        <f>+AG71+AG72-AG73</f>
        <v>-4.9928216037691158</v>
      </c>
      <c r="AH69" s="629">
        <f>+AH71+AH72-AH73</f>
        <v>-11.743276629640391</v>
      </c>
      <c r="AI69" s="748" t="e">
        <f>+AI71+AI72-AI73</f>
        <v>#REF!</v>
      </c>
    </row>
    <row r="70" spans="2:35">
      <c r="B70" s="110"/>
      <c r="C70" s="134"/>
      <c r="D70" s="134"/>
      <c r="E70" s="134"/>
      <c r="F70" s="134"/>
    </row>
    <row r="71" spans="2:35">
      <c r="B71" s="102" t="s">
        <v>553</v>
      </c>
      <c r="C71" s="132" t="e">
        <f>AVERAGE(B19:C19)/SUM(#REF!)*365</f>
        <v>#DIV/0!</v>
      </c>
      <c r="D71" s="132" t="e">
        <f>AVERAGE(C19:D19)/SUM(#REF!)*365</f>
        <v>#DIV/0!</v>
      </c>
      <c r="E71" s="132" t="e">
        <f>AVERAGE(D19:E19)/SUM(#REF!)*365</f>
        <v>#DIV/0!</v>
      </c>
      <c r="F71" s="132" t="e">
        <f>AVERAGE(E19:F19)/SUM(#REF!)*365</f>
        <v>#DIV/0!</v>
      </c>
      <c r="G71" s="194">
        <f>AVERAGE(F7:G7)/SUM('Avon IS'!D4:G4)*365</f>
        <v>121.24165502251202</v>
      </c>
      <c r="H71" s="194">
        <f>AVERAGE(G7:H7)/SUM('Avon IS'!E4:H4)*365</f>
        <v>60.187101176644155</v>
      </c>
      <c r="I71" s="194">
        <f>AVERAGE(H7:I7)/SUM('Avon IS'!F4:I4)*365</f>
        <v>43.114010554731379</v>
      </c>
      <c r="J71" s="194">
        <f>AVERAGE(I7:J7)/SUM('Avon IS'!G4:J4)*365</f>
        <v>31.031437389770719</v>
      </c>
      <c r="K71" s="194">
        <f>AVERAGE(J7:K7)/SUM('Avon IS'!H4:K4)*365</f>
        <v>29.2945459962495</v>
      </c>
      <c r="L71" s="194">
        <f>AVERAGE(K7:L7)/SUM('Avon IS'!I4:L4)*365</f>
        <v>29.20283335097562</v>
      </c>
      <c r="M71" s="194">
        <f>AVERAGE(L7:M7)/SUM('Avon IS'!J4:M4)*365</f>
        <v>29.693225863284002</v>
      </c>
      <c r="N71" s="194">
        <f>AVERAGE(M7:N7)/SUM('Avon IS'!K4:N4)*365</f>
        <v>29.908918823736578</v>
      </c>
      <c r="O71" s="194">
        <f>AVERAGE(N7:O7)/SUM('Avon IS'!L4:O4)*365</f>
        <v>28.238205817648495</v>
      </c>
      <c r="P71" s="194">
        <f>AVERAGE(O7:P7)/SUM('Avon IS'!M4:P4)*365</f>
        <v>26.201799485861184</v>
      </c>
      <c r="Q71" s="194">
        <f>AVERAGE(P7:Q7)/SUM('Avon IS'!N4:Q4)*365</f>
        <v>24.413137903140719</v>
      </c>
      <c r="R71" s="194">
        <f>AVERAGE(Q7:R7)/SUM('Avon IS'!O4:R4)*365</f>
        <v>23.933125633966092</v>
      </c>
      <c r="S71" s="194">
        <f>AVERAGE(R7:S7)/SUM('Avon IS'!P4:S4)*365</f>
        <v>23.647578662964143</v>
      </c>
      <c r="T71" s="194">
        <f>AVERAGE(S7:T7)/SUM('Avon IS'!Q4:T4)*365</f>
        <v>23.814645153792515</v>
      </c>
      <c r="U71" s="194">
        <f>AVERAGE(T7:U7)/SUM('Avon IS'!R4:U4)*365</f>
        <v>23.53477476015658</v>
      </c>
      <c r="V71" s="194">
        <f>+R71</f>
        <v>23.933125633966092</v>
      </c>
      <c r="W71" s="194">
        <f t="shared" ref="W71:Z73" si="42">+S71</f>
        <v>23.647578662964143</v>
      </c>
      <c r="X71" s="194">
        <f t="shared" si="42"/>
        <v>23.814645153792515</v>
      </c>
      <c r="Y71" s="194">
        <f t="shared" si="42"/>
        <v>23.53477476015658</v>
      </c>
      <c r="Z71" s="194">
        <f t="shared" si="42"/>
        <v>23.933125633966092</v>
      </c>
      <c r="AF71" s="194">
        <f>AVERAGE(AF7:AF7)/SUM('Avon IS'!AK4)*365</f>
        <v>29.867778174037088</v>
      </c>
      <c r="AG71" s="194">
        <f>AVERAGE(AF7:AG7)/SUM('Avon IS'!AL4)*365</f>
        <v>29.439734108117623</v>
      </c>
      <c r="AH71" s="194">
        <f>AVERAGE(AG7:AH7)/SUM('Avon IS'!AM4)*365</f>
        <v>27.512751289141317</v>
      </c>
      <c r="AI71" s="747" t="e">
        <f>+#REF!</f>
        <v>#REF!</v>
      </c>
    </row>
    <row r="72" spans="2:35">
      <c r="B72" s="102" t="s">
        <v>554</v>
      </c>
      <c r="C72" s="132" t="e">
        <f>-AVERAGE(B20:C20)/SUM(#REF!)*365</f>
        <v>#DIV/0!</v>
      </c>
      <c r="D72" s="132" t="e">
        <f>-AVERAGE(C20:D20)/SUM(A$6:D$6)*365</f>
        <v>#DIV/0!</v>
      </c>
      <c r="E72" s="132" t="e">
        <f>-AVERAGE(D20:E20)/SUM(B$6:E$6)*365</f>
        <v>#DIV/0!</v>
      </c>
      <c r="F72" s="132" t="e">
        <f>-AVERAGE(E20:F20)/SUM(C$6:F$6)*365</f>
        <v>#DIV/0!</v>
      </c>
      <c r="G72" s="194">
        <f>AVERAGE(F8:G8)/SUM('Avon IS'!D10:G10)*365</f>
        <v>480.94448727833469</v>
      </c>
      <c r="H72" s="194">
        <f>AVERAGE(G8:H8)/SUM('Avon IS'!E10:H10)*365</f>
        <v>227.17360214061637</v>
      </c>
      <c r="I72" s="194">
        <f>AVERAGE(H8:I8)/SUM('Avon IS'!F10:I10)*365</f>
        <v>153.16067168287762</v>
      </c>
      <c r="J72" s="194">
        <f>AVERAGE(I8:J8)/SUM('Avon IS'!G10:J10)*365</f>
        <v>104.5352237483385</v>
      </c>
      <c r="K72" s="194">
        <f>AVERAGE(J8:K8)/SUM('Avon IS'!H10:K10)*365</f>
        <v>98.464062430718741</v>
      </c>
      <c r="L72" s="194">
        <f>AVERAGE(K8:L8)/SUM('Avon IS'!I10:L10)*365</f>
        <v>104.40222543222137</v>
      </c>
      <c r="M72" s="194">
        <f>AVERAGE(L8:M8)/SUM('Avon IS'!J10:M10)*365</f>
        <v>107.09018244219652</v>
      </c>
      <c r="N72" s="194">
        <f>AVERAGE(M8:N8)/SUM('Avon IS'!K10:N10)*365</f>
        <v>104.42415921572187</v>
      </c>
      <c r="O72" s="194">
        <f>AVERAGE(N8:O8)/SUM('Avon IS'!L10:O10)*365</f>
        <v>104.31793106491902</v>
      </c>
      <c r="P72" s="194">
        <f>AVERAGE(O8:P8)/SUM('Avon IS'!M10:P10)*365</f>
        <v>108.76699114268173</v>
      </c>
      <c r="Q72" s="194">
        <f>AVERAGE(P8:Q8)/SUM('Avon IS'!N10:Q10)*365</f>
        <v>108.13265755839578</v>
      </c>
      <c r="R72" s="194">
        <f>AVERAGE(Q8:R8)/SUM('Avon IS'!O10:R10)*365</f>
        <v>94.507825719120135</v>
      </c>
      <c r="S72" s="194">
        <f>AVERAGE(R8:S8)/SUM('Avon IS'!P10:S10)*365</f>
        <v>85.195215747620892</v>
      </c>
      <c r="T72" s="194">
        <f>AVERAGE(S8:T8)/SUM('Avon IS'!Q10:T10)*365</f>
        <v>84.653955114868765</v>
      </c>
      <c r="U72" s="194">
        <f>AVERAGE(T8:U8)/SUM('Avon IS'!R10:U10)*365</f>
        <v>84.625839462743841</v>
      </c>
      <c r="V72" s="194">
        <f>+R72</f>
        <v>94.507825719120135</v>
      </c>
      <c r="W72" s="194">
        <f t="shared" si="42"/>
        <v>85.195215747620892</v>
      </c>
      <c r="X72" s="194">
        <f t="shared" si="42"/>
        <v>84.653955114868765</v>
      </c>
      <c r="Y72" s="194">
        <f t="shared" si="42"/>
        <v>84.625839462743841</v>
      </c>
      <c r="Z72" s="194">
        <f t="shared" si="42"/>
        <v>94.507825719120135</v>
      </c>
      <c r="AF72" s="194">
        <f>AVERAGE(AF8:AF8)/SUM('Avon IS'!AK10)*365</f>
        <v>94.832077979618958</v>
      </c>
      <c r="AG72" s="194">
        <f>AVERAGE(AF8:AG8)/SUM('Avon IS'!AL10)*365</f>
        <v>98.120773385376467</v>
      </c>
      <c r="AH72" s="194">
        <f>AVERAGE(AG8:AH8)/SUM('Avon IS'!AM10)*365</f>
        <v>88.023054145516085</v>
      </c>
      <c r="AI72" s="747" t="e">
        <f>+#REF!</f>
        <v>#REF!</v>
      </c>
    </row>
    <row r="73" spans="2:35">
      <c r="B73" s="102" t="s">
        <v>555</v>
      </c>
      <c r="C73" s="132" t="e">
        <f>-AVERAGE(B30:C30)/SUM(#REF!)*365</f>
        <v>#DIV/0!</v>
      </c>
      <c r="D73" s="132" t="e">
        <f>-AVERAGE(C30:D30)/SUM(A$6:D$6)*365</f>
        <v>#DIV/0!</v>
      </c>
      <c r="E73" s="132" t="e">
        <f>-AVERAGE(D30:E30)/SUM(B$6:E$6)*365</f>
        <v>#DIV/0!</v>
      </c>
      <c r="F73" s="132" t="e">
        <f>-AVERAGE(E30:F30)/SUM(C$6:F$6)*365</f>
        <v>#DIV/0!</v>
      </c>
      <c r="G73" s="194">
        <f>AVERAGE(F26:G26)/SUM('Avon IS'!D10:G10)*365</f>
        <v>515.62933693138007</v>
      </c>
      <c r="H73" s="194">
        <f>AVERAGE(G26:H26)/SUM('Avon IS'!E10:H10)*365</f>
        <v>245.27541981915482</v>
      </c>
      <c r="I73" s="194">
        <f>AVERAGE(H26:I26)/SUM('Avon IS'!F10:I10)*365</f>
        <v>165.65333088640122</v>
      </c>
      <c r="J73" s="194">
        <f>AVERAGE(I26:J26)/SUM('Avon IS'!G10:J10)*365</f>
        <v>123.56956136464333</v>
      </c>
      <c r="K73" s="194">
        <f>AVERAGE(J26:K26)/SUM('Avon IS'!H10:K10)*365</f>
        <v>123.19336673613266</v>
      </c>
      <c r="L73" s="194">
        <f>AVERAGE(K26:L26)/SUM('Avon IS'!I10:L10)*365</f>
        <v>124.12438495914775</v>
      </c>
      <c r="M73" s="194">
        <f>AVERAGE(L26:M26)/SUM('Avon IS'!J10:M10)*365</f>
        <v>127.66923320086704</v>
      </c>
      <c r="N73" s="194">
        <f>AVERAGE(M26:N26)/SUM('Avon IS'!K10:N10)*365</f>
        <v>134.922275677393</v>
      </c>
      <c r="O73" s="194">
        <f>AVERAGE(N26:O26)/SUM('Avon IS'!L10:O10)*365</f>
        <v>131.70219338894037</v>
      </c>
      <c r="P73" s="194">
        <f>AVERAGE(O26:P26)/SUM('Avon IS'!M10:P10)*365</f>
        <v>122.63494255897569</v>
      </c>
      <c r="Q73" s="194">
        <f>AVERAGE(P26:Q26)/SUM('Avon IS'!N10:Q10)*365</f>
        <v>120.1894006170119</v>
      </c>
      <c r="R73" s="194">
        <f>AVERAGE(Q26:R26)/SUM('Avon IS'!O10:R10)*365</f>
        <v>122.07582487309644</v>
      </c>
      <c r="S73" s="194">
        <f>AVERAGE(R26:S26)/SUM('Avon IS'!P10:S10)*365</f>
        <v>120.73882153565376</v>
      </c>
      <c r="T73" s="194">
        <f>AVERAGE(S26:T26)/SUM('Avon IS'!Q10:T10)*365</f>
        <v>112.14488070470543</v>
      </c>
      <c r="U73" s="194">
        <f>AVERAGE(T26:U26)/SUM('Avon IS'!R10:U10)*365</f>
        <v>110.40545479464571</v>
      </c>
      <c r="V73" s="194">
        <f>+R73</f>
        <v>122.07582487309644</v>
      </c>
      <c r="W73" s="194">
        <f t="shared" si="42"/>
        <v>120.73882153565376</v>
      </c>
      <c r="X73" s="194">
        <f t="shared" si="42"/>
        <v>112.14488070470543</v>
      </c>
      <c r="Y73" s="194">
        <f t="shared" si="42"/>
        <v>110.40545479464571</v>
      </c>
      <c r="Z73" s="194">
        <f t="shared" si="42"/>
        <v>122.07582487309644</v>
      </c>
      <c r="AF73" s="194">
        <f>AVERAGE(AF26:AF26)/SUM('Avon IS'!AK10)*365</f>
        <v>124.21643774922464</v>
      </c>
      <c r="AG73" s="194">
        <f>AVERAGE(AF26:AG26)/SUM('Avon IS'!AL10)*365</f>
        <v>132.5533290972632</v>
      </c>
      <c r="AH73" s="194">
        <f>AVERAGE(AG26:AH26)/SUM('Avon IS'!AM10)*365</f>
        <v>127.2790820642978</v>
      </c>
      <c r="AI73" s="747" t="e">
        <f>+#REF!</f>
        <v>#REF!</v>
      </c>
    </row>
    <row r="79" spans="2:35">
      <c r="B79" t="s">
        <v>637</v>
      </c>
    </row>
    <row r="80" spans="2:35">
      <c r="B80">
        <v>23</v>
      </c>
      <c r="G80" s="228">
        <v>7.0000000000000007E-2</v>
      </c>
    </row>
    <row r="81" spans="2:2">
      <c r="B81">
        <v>22</v>
      </c>
    </row>
  </sheetData>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D4:P30"/>
  <sheetViews>
    <sheetView workbookViewId="0">
      <selection activeCell="D4" sqref="D4:P32"/>
    </sheetView>
  </sheetViews>
  <sheetFormatPr defaultColWidth="9.140625" defaultRowHeight="15"/>
  <cols>
    <col min="1" max="3" width="9.140625" style="277"/>
    <col min="4" max="4" width="12.7109375" style="277" bestFit="1" customWidth="1"/>
    <col min="5" max="5" width="14.140625" style="277" bestFit="1" customWidth="1"/>
    <col min="6" max="9" width="9.140625" style="277"/>
    <col min="10" max="10" width="0" style="277" hidden="1" customWidth="1"/>
    <col min="11" max="16384" width="9.140625" style="277"/>
  </cols>
  <sheetData>
    <row r="4" spans="4:16">
      <c r="D4" s="105" t="s">
        <v>811</v>
      </c>
      <c r="E4" s="1211"/>
      <c r="F4"/>
      <c r="G4"/>
      <c r="H4"/>
      <c r="I4"/>
      <c r="J4"/>
      <c r="K4" s="1211"/>
      <c r="L4" s="1212"/>
      <c r="M4" s="1213"/>
      <c r="N4" s="1155"/>
      <c r="O4" s="1214"/>
      <c r="P4" s="1215"/>
    </row>
    <row r="5" spans="4:16">
      <c r="D5" s="1216" t="s">
        <v>2</v>
      </c>
      <c r="E5" s="1216" t="s">
        <v>812</v>
      </c>
      <c r="F5" s="1217" t="s">
        <v>813</v>
      </c>
      <c r="G5" s="1217" t="s">
        <v>814</v>
      </c>
      <c r="H5" s="1217" t="s">
        <v>815</v>
      </c>
      <c r="I5" s="1217" t="s">
        <v>816</v>
      </c>
      <c r="J5" s="1217" t="s">
        <v>817</v>
      </c>
      <c r="K5" s="1216" t="s">
        <v>818</v>
      </c>
      <c r="L5" s="1218" t="s">
        <v>819</v>
      </c>
      <c r="M5" s="1219"/>
      <c r="N5" s="1216" t="s">
        <v>820</v>
      </c>
      <c r="O5" s="1218" t="s">
        <v>819</v>
      </c>
      <c r="P5" s="1220" t="s">
        <v>821</v>
      </c>
    </row>
    <row r="6" spans="4:16">
      <c r="D6" s="1002" t="s">
        <v>822</v>
      </c>
      <c r="E6" s="1221">
        <f>+FAT!AB57</f>
        <v>9517.2000000000007</v>
      </c>
      <c r="F6" s="1002">
        <v>9624.2848332559206</v>
      </c>
      <c r="G6" s="1002">
        <v>9171</v>
      </c>
      <c r="H6" s="1002">
        <v>9019</v>
      </c>
      <c r="I6" s="1002">
        <v>8999</v>
      </c>
      <c r="J6" s="1002">
        <v>9055</v>
      </c>
      <c r="K6" s="1221">
        <f>+AVERAGE(F6:J6)</f>
        <v>9173.6569666511841</v>
      </c>
      <c r="L6" s="1212">
        <f>+K6/E6-1</f>
        <v>-3.6097069868114229E-2</v>
      </c>
      <c r="M6" s="1213"/>
      <c r="N6" s="1222">
        <v>9517</v>
      </c>
      <c r="O6" s="1223">
        <f>+N6/E6-1</f>
        <v>-2.1014584121403779E-5</v>
      </c>
      <c r="P6" s="1215">
        <f>+N6/K6-1</f>
        <v>3.7427062576785186E-2</v>
      </c>
    </row>
    <row r="7" spans="4:16">
      <c r="D7" s="709" t="s">
        <v>108</v>
      </c>
      <c r="E7" s="1224">
        <f>+FAT!AB58</f>
        <v>0.36211017446437022</v>
      </c>
      <c r="F7" s="706">
        <v>0.37742048054521637</v>
      </c>
      <c r="G7" s="706"/>
      <c r="H7" s="706"/>
      <c r="I7" s="706"/>
      <c r="J7" s="706"/>
      <c r="K7" s="1224">
        <f>+AVERAGE(F7:J7)</f>
        <v>0.37742048054521637</v>
      </c>
      <c r="L7" s="1225">
        <f>+K7-E7</f>
        <v>1.5310306080846159E-2</v>
      </c>
      <c r="M7" s="1226"/>
      <c r="N7" s="760">
        <v>0.36199999999999999</v>
      </c>
      <c r="O7" s="1225"/>
      <c r="P7" s="1227"/>
    </row>
    <row r="8" spans="4:16">
      <c r="D8" s="1002" t="s">
        <v>823</v>
      </c>
      <c r="E8" s="1221">
        <f>+FAT!AB121</f>
        <v>811.2</v>
      </c>
      <c r="F8" s="1002">
        <v>807.02646183680997</v>
      </c>
      <c r="G8" s="1002">
        <v>759</v>
      </c>
      <c r="H8" s="1002">
        <v>705</v>
      </c>
      <c r="I8" s="1002">
        <v>797</v>
      </c>
      <c r="J8" s="1002">
        <v>727</v>
      </c>
      <c r="K8" s="1221">
        <f>+AVERAGE(F8:J8)</f>
        <v>759.00529236736202</v>
      </c>
      <c r="L8" s="1212">
        <f>+K8/E8-1</f>
        <v>-6.4342588304534098E-2</v>
      </c>
      <c r="M8" s="1213"/>
      <c r="N8" s="1222">
        <v>811</v>
      </c>
      <c r="O8" s="1223">
        <f>+N8/E8-1</f>
        <v>-2.4654832347148492E-4</v>
      </c>
      <c r="P8" s="1215">
        <f>+N8/K8-1</f>
        <v>6.8503748465922776E-2</v>
      </c>
    </row>
    <row r="9" spans="4:16">
      <c r="D9" s="709" t="s">
        <v>113</v>
      </c>
      <c r="E9" s="1224">
        <f>+E8/E6</f>
        <v>8.5235153196318247E-2</v>
      </c>
      <c r="F9" s="706">
        <f t="shared" ref="F9:K9" si="0">+F8/F6</f>
        <v>8.3853135668657347E-2</v>
      </c>
      <c r="G9" s="706">
        <f t="shared" si="0"/>
        <v>8.2760876676480216E-2</v>
      </c>
      <c r="H9" s="706">
        <f t="shared" si="0"/>
        <v>7.8168311342720925E-2</v>
      </c>
      <c r="I9" s="706">
        <f t="shared" si="0"/>
        <v>8.8565396155128345E-2</v>
      </c>
      <c r="J9" s="706">
        <f t="shared" si="0"/>
        <v>8.0287134180011044E-2</v>
      </c>
      <c r="K9" s="1224">
        <f t="shared" si="0"/>
        <v>8.27374835495331E-2</v>
      </c>
      <c r="L9" s="1225">
        <f>+K9-E9</f>
        <v>-2.4976696467851472E-3</v>
      </c>
      <c r="M9" s="1226"/>
      <c r="N9" s="760">
        <f>+N8/N6</f>
        <v>8.5215929389513501E-2</v>
      </c>
      <c r="O9" s="1225">
        <f>+N9-E9</f>
        <v>-1.9223806804746779E-5</v>
      </c>
      <c r="P9" s="1227">
        <f>+N9-K9</f>
        <v>2.4784458399804005E-3</v>
      </c>
    </row>
    <row r="10" spans="4:16">
      <c r="D10" s="1002" t="s">
        <v>194</v>
      </c>
      <c r="E10" s="1221">
        <f>+PROJ!AB42</f>
        <v>229.39999999999961</v>
      </c>
      <c r="F10" s="1002">
        <v>-93.129406149189293</v>
      </c>
      <c r="G10" s="1002">
        <v>-112</v>
      </c>
      <c r="H10" s="1002">
        <v>-84</v>
      </c>
      <c r="I10" s="1002">
        <v>-278</v>
      </c>
      <c r="J10" s="1002">
        <v>-235</v>
      </c>
      <c r="K10" s="1221">
        <f>+AVERAGE(F10:J10)</f>
        <v>-160.42588122983787</v>
      </c>
      <c r="L10" s="1228">
        <f>+K10/E10-1</f>
        <v>-1.6993281657795909</v>
      </c>
      <c r="M10" s="1229"/>
      <c r="N10" s="1222">
        <v>50</v>
      </c>
      <c r="O10" s="1223">
        <f>+N10/E10-1</f>
        <v>-0.78204010462074947</v>
      </c>
      <c r="P10" s="1215">
        <f>+N10/K10-1</f>
        <v>-1.3116704088934774</v>
      </c>
    </row>
    <row r="11" spans="4:16">
      <c r="D11" s="1216" t="s">
        <v>4</v>
      </c>
      <c r="E11" s="1209"/>
      <c r="F11" s="1209"/>
      <c r="G11" s="1209"/>
      <c r="H11" s="1209"/>
      <c r="I11" s="1209"/>
      <c r="J11" s="1209"/>
      <c r="K11" s="1209"/>
      <c r="L11" s="1218"/>
      <c r="M11" s="1213"/>
      <c r="N11" s="1209"/>
      <c r="O11" s="1218"/>
      <c r="P11" s="1230"/>
    </row>
    <row r="12" spans="4:16">
      <c r="D12" s="1002" t="s">
        <v>822</v>
      </c>
      <c r="E12" s="1221">
        <f>+FAT!AB144</f>
        <v>5533.7</v>
      </c>
      <c r="F12" s="1002">
        <v>5397.1697341079334</v>
      </c>
      <c r="G12" s="1002">
        <v>5415</v>
      </c>
      <c r="H12" s="1002">
        <v>5243</v>
      </c>
      <c r="I12" s="1002">
        <v>5142</v>
      </c>
      <c r="J12" s="1002"/>
      <c r="K12" s="1221">
        <f>+AVERAGE(F12:J12)</f>
        <v>5299.2924335269836</v>
      </c>
      <c r="L12" s="1212">
        <f>+K12/E12-1</f>
        <v>-4.2360006229650415E-2</v>
      </c>
      <c r="M12" s="1213"/>
      <c r="N12" s="1222">
        <v>5533.7</v>
      </c>
      <c r="O12" s="1223">
        <f>+N12/E12-1</f>
        <v>0</v>
      </c>
      <c r="P12" s="1215">
        <f>+N12/K12-1</f>
        <v>4.4233748073609247E-2</v>
      </c>
    </row>
    <row r="13" spans="4:16">
      <c r="D13" s="709" t="s">
        <v>108</v>
      </c>
      <c r="E13" s="1224"/>
      <c r="F13" s="706"/>
      <c r="G13" s="706">
        <v>0.36199999999999999</v>
      </c>
      <c r="H13" s="706"/>
      <c r="I13" s="706"/>
      <c r="J13" s="706"/>
      <c r="K13" s="1224">
        <f>+AVERAGE(F13:J13)</f>
        <v>0.36199999999999999</v>
      </c>
      <c r="L13" s="1225">
        <f>+K13-E13</f>
        <v>0.36199999999999999</v>
      </c>
      <c r="M13" s="1226"/>
      <c r="N13" s="760">
        <v>0.39200000000000002</v>
      </c>
      <c r="O13" s="1225"/>
      <c r="P13" s="1227"/>
    </row>
    <row r="14" spans="4:16">
      <c r="D14" s="1002" t="s">
        <v>114</v>
      </c>
      <c r="E14" s="1221">
        <f>+FAT!AB233</f>
        <v>559.90762590669442</v>
      </c>
      <c r="F14" s="1002">
        <v>505.8685858922305</v>
      </c>
      <c r="G14" s="1002">
        <v>603</v>
      </c>
      <c r="H14" s="1002">
        <v>503</v>
      </c>
      <c r="I14" s="1002">
        <v>531</v>
      </c>
      <c r="J14" s="1002"/>
      <c r="K14" s="1221">
        <f>+AVERAGE(F14:J14)</f>
        <v>535.7171464730576</v>
      </c>
      <c r="L14" s="1212">
        <f>+K14/E14-1</f>
        <v>-4.3204411432088641E-2</v>
      </c>
      <c r="M14" s="1213"/>
      <c r="N14" s="1222">
        <v>598</v>
      </c>
      <c r="O14" s="1223">
        <f>+N14/E14-1</f>
        <v>6.8033318945460275E-2</v>
      </c>
      <c r="P14" s="1215">
        <f>+N14/K14-1</f>
        <v>0.11626070574180281</v>
      </c>
    </row>
    <row r="15" spans="4:16">
      <c r="D15" s="709" t="s">
        <v>113</v>
      </c>
      <c r="E15" s="1224">
        <f t="shared" ref="E15:K15" si="1">+E14/E12</f>
        <v>0.1011814203709443</v>
      </c>
      <c r="F15" s="706">
        <f t="shared" si="1"/>
        <v>9.3728493046150704E-2</v>
      </c>
      <c r="G15" s="706">
        <f t="shared" si="1"/>
        <v>0.1113573407202216</v>
      </c>
      <c r="H15" s="706">
        <f t="shared" si="1"/>
        <v>9.5937440396719434E-2</v>
      </c>
      <c r="I15" s="706">
        <f t="shared" si="1"/>
        <v>0.10326721120186698</v>
      </c>
      <c r="J15" s="706" t="e">
        <f t="shared" si="1"/>
        <v>#DIV/0!</v>
      </c>
      <c r="K15" s="1224">
        <f t="shared" si="1"/>
        <v>0.10109220300501648</v>
      </c>
      <c r="L15" s="1225">
        <f>+K15-E15</f>
        <v>-8.9217365927818371E-5</v>
      </c>
      <c r="M15" s="1226"/>
      <c r="N15" s="760">
        <f>+N14/N12</f>
        <v>0.10806512821439543</v>
      </c>
      <c r="O15" s="1225">
        <f>+N15-E15</f>
        <v>6.8837078434511312E-3</v>
      </c>
      <c r="P15" s="1227">
        <f>+N15-K15</f>
        <v>6.9729252093789496E-3</v>
      </c>
    </row>
    <row r="16" spans="4:16">
      <c r="D16" s="1216" t="s">
        <v>824</v>
      </c>
      <c r="E16" s="1209"/>
      <c r="F16" s="1209"/>
      <c r="G16" s="1209"/>
      <c r="H16" s="1209"/>
      <c r="I16" s="1209"/>
      <c r="J16" s="1209"/>
      <c r="K16" s="1209"/>
      <c r="L16" s="1218"/>
      <c r="M16" s="1213"/>
      <c r="N16" s="1209"/>
      <c r="O16" s="1218"/>
      <c r="P16" s="1230"/>
    </row>
    <row r="17" spans="4:16">
      <c r="D17" s="1002" t="s">
        <v>822</v>
      </c>
      <c r="E17" s="1221">
        <f>+FAT!AB470</f>
        <v>2204</v>
      </c>
      <c r="F17" s="1002">
        <v>2346.2722793450353</v>
      </c>
      <c r="G17" s="1002">
        <v>2023</v>
      </c>
      <c r="H17" s="1002">
        <v>2105</v>
      </c>
      <c r="I17" s="1002">
        <v>2119</v>
      </c>
      <c r="J17" s="1002"/>
      <c r="K17" s="1221">
        <f>+AVERAGE(F17:J17)</f>
        <v>2148.3180698362589</v>
      </c>
      <c r="L17" s="1212">
        <f>+K17/E17-1</f>
        <v>-2.5264033649610274E-2</v>
      </c>
      <c r="M17" s="1213"/>
      <c r="N17" s="1222">
        <v>2204</v>
      </c>
      <c r="O17" s="1223">
        <f>+N17/E17-1</f>
        <v>0</v>
      </c>
      <c r="P17" s="1215">
        <f>+N17/K17-1</f>
        <v>2.5918848305355846E-2</v>
      </c>
    </row>
    <row r="18" spans="4:16">
      <c r="D18" s="709" t="s">
        <v>108</v>
      </c>
      <c r="E18" s="1224">
        <f>+FAT!AB471</f>
        <v>0.3357575757575757</v>
      </c>
      <c r="F18" s="706"/>
      <c r="G18" s="706">
        <v>0.22600000000000001</v>
      </c>
      <c r="H18" s="706"/>
      <c r="I18" s="706"/>
      <c r="J18" s="706"/>
      <c r="K18" s="1224">
        <f>+AVERAGE(F18:J18)</f>
        <v>0.22600000000000001</v>
      </c>
      <c r="L18" s="1225">
        <f>+K18-E18</f>
        <v>-0.10975757575757569</v>
      </c>
      <c r="M18" s="1226"/>
      <c r="N18" s="760">
        <v>0.33600000000000002</v>
      </c>
      <c r="O18" s="1225"/>
      <c r="P18" s="1227"/>
    </row>
    <row r="19" spans="4:16">
      <c r="D19" s="1002" t="s">
        <v>114</v>
      </c>
      <c r="E19" s="1221">
        <f>+FAT!AB498</f>
        <v>-33.028706385523634</v>
      </c>
      <c r="F19" s="1002">
        <v>36.542076595048314</v>
      </c>
      <c r="G19" s="1002">
        <v>94</v>
      </c>
      <c r="H19" s="1002">
        <v>89</v>
      </c>
      <c r="I19" s="1002">
        <v>93</v>
      </c>
      <c r="J19" s="1002"/>
      <c r="K19" s="1221">
        <f>+AVERAGE(F19:J19)</f>
        <v>78.135519148762086</v>
      </c>
      <c r="L19" s="1212">
        <f>+K19/E19-1</f>
        <v>-3.3656851175681712</v>
      </c>
      <c r="M19" s="1213"/>
      <c r="N19" s="1222">
        <v>94</v>
      </c>
      <c r="O19" s="1223">
        <f>+N19/E19-1</f>
        <v>-3.8460091322619849</v>
      </c>
      <c r="P19" s="1215">
        <f>+N19/K19-1</f>
        <v>0.20303801682092315</v>
      </c>
    </row>
    <row r="20" spans="4:16">
      <c r="D20" s="709" t="s">
        <v>113</v>
      </c>
      <c r="E20" s="1224">
        <f>+E19/E17</f>
        <v>-1.4985801445337402E-2</v>
      </c>
      <c r="F20" s="706">
        <f t="shared" ref="F20" si="2">+F19/F17</f>
        <v>1.5574525137913268E-2</v>
      </c>
      <c r="G20" s="706">
        <f t="shared" ref="G20" si="3">+G19/G17</f>
        <v>4.6465645081562035E-2</v>
      </c>
      <c r="H20" s="706">
        <f t="shared" ref="H20" si="4">+H19/H17</f>
        <v>4.2280285035629452E-2</v>
      </c>
      <c r="I20" s="706">
        <f t="shared" ref="I20" si="5">+I19/I17</f>
        <v>4.38886267107126E-2</v>
      </c>
      <c r="J20" s="706" t="e">
        <f t="shared" ref="J20" si="6">+J19/J17</f>
        <v>#DIV/0!</v>
      </c>
      <c r="K20" s="1224">
        <f t="shared" ref="K20" si="7">+K19/K17</f>
        <v>3.6370554363357115E-2</v>
      </c>
      <c r="L20" s="1225">
        <f>+K20-E20</f>
        <v>5.135635580869452E-2</v>
      </c>
      <c r="M20" s="1226"/>
      <c r="N20" s="760">
        <f>+N19/N17</f>
        <v>4.26497277676951E-2</v>
      </c>
      <c r="O20" s="1225">
        <f>+N20-E20</f>
        <v>5.7635529213032499E-2</v>
      </c>
      <c r="P20" s="1227">
        <f>+N20-K20</f>
        <v>6.2791734043379857E-3</v>
      </c>
    </row>
    <row r="21" spans="4:16">
      <c r="D21" s="1216" t="s">
        <v>5</v>
      </c>
      <c r="E21" s="1209"/>
      <c r="F21" s="1209"/>
      <c r="G21" s="1209"/>
      <c r="H21" s="1209"/>
      <c r="I21" s="1209"/>
      <c r="J21" s="1209"/>
      <c r="K21" s="1209"/>
      <c r="L21" s="1218"/>
      <c r="M21" s="1213"/>
      <c r="N21" s="1209"/>
      <c r="O21" s="1218"/>
      <c r="P21" s="1230"/>
    </row>
    <row r="22" spans="4:16">
      <c r="D22" s="1002" t="s">
        <v>822</v>
      </c>
      <c r="E22" s="1221">
        <f>+FAT!AB541</f>
        <v>561.9</v>
      </c>
      <c r="F22" s="1002">
        <v>520.43263070172884</v>
      </c>
      <c r="G22" s="1002">
        <v>535</v>
      </c>
      <c r="H22" s="1002">
        <v>531</v>
      </c>
      <c r="I22" s="1002">
        <v>495</v>
      </c>
      <c r="J22" s="1002"/>
      <c r="K22" s="1221">
        <f>+AVERAGE(F22:J22)</f>
        <v>520.35815767543227</v>
      </c>
      <c r="L22" s="1212">
        <f>+K22/E22-1</f>
        <v>-7.3931023891382286E-2</v>
      </c>
      <c r="M22" s="1213"/>
      <c r="N22" s="1222">
        <v>561.9</v>
      </c>
      <c r="O22" s="1223">
        <f>+N22/E22-1</f>
        <v>0</v>
      </c>
      <c r="P22" s="1215">
        <f>+N22/K22-1</f>
        <v>7.9833172040860045E-2</v>
      </c>
    </row>
    <row r="23" spans="4:16">
      <c r="D23" s="709" t="s">
        <v>108</v>
      </c>
      <c r="E23" s="1224">
        <f>+FAT!AB542</f>
        <v>0.47017268445839866</v>
      </c>
      <c r="F23" s="706">
        <v>0.36167616614790377</v>
      </c>
      <c r="G23" s="706">
        <v>0.4</v>
      </c>
      <c r="H23" s="706"/>
      <c r="I23" s="706"/>
      <c r="J23" s="706"/>
      <c r="K23" s="1224">
        <f>+AVERAGE(F23:J23)</f>
        <v>0.38083808307395189</v>
      </c>
      <c r="L23" s="1225">
        <f>+K23-E23</f>
        <v>-8.9334601384446766E-2</v>
      </c>
      <c r="M23" s="1226"/>
      <c r="N23" s="760">
        <v>0.47</v>
      </c>
      <c r="O23" s="1225"/>
      <c r="P23" s="1227"/>
    </row>
    <row r="24" spans="4:16">
      <c r="D24" s="1002" t="s">
        <v>114</v>
      </c>
      <c r="E24" s="1221">
        <f>+FAT!AB573</f>
        <v>117.80000000000001</v>
      </c>
      <c r="F24" s="1002">
        <v>149.66979003731257</v>
      </c>
      <c r="G24" s="1002">
        <v>102</v>
      </c>
      <c r="H24" s="1002">
        <v>107</v>
      </c>
      <c r="I24" s="1002">
        <v>100</v>
      </c>
      <c r="J24" s="1002"/>
      <c r="K24" s="1221">
        <f>+AVERAGE(F24:J24)</f>
        <v>114.66744750932814</v>
      </c>
      <c r="L24" s="1212">
        <f>+K24/E24-1</f>
        <v>-2.6592126406382643E-2</v>
      </c>
      <c r="M24" s="1213"/>
      <c r="N24" s="1222">
        <v>118</v>
      </c>
      <c r="O24" s="1223">
        <f>+N24/E24-1</f>
        <v>1.6977928692698541E-3</v>
      </c>
      <c r="P24" s="1215">
        <f>+N24/K24-1</f>
        <v>2.9062759859556087E-2</v>
      </c>
    </row>
    <row r="25" spans="4:16">
      <c r="D25" s="709" t="s">
        <v>113</v>
      </c>
      <c r="E25" s="1224">
        <f>+E24/E22</f>
        <v>0.20964584445630899</v>
      </c>
      <c r="F25" s="706">
        <f t="shared" ref="F25" si="8">+F24/F22</f>
        <v>0.28758725185141504</v>
      </c>
      <c r="G25" s="706">
        <f t="shared" ref="G25" si="9">+G24/G22</f>
        <v>0.19065420560747665</v>
      </c>
      <c r="H25" s="706">
        <f t="shared" ref="H25" si="10">+H24/H22</f>
        <v>0.20150659133709981</v>
      </c>
      <c r="I25" s="706">
        <f t="shared" ref="I25" si="11">+I24/I22</f>
        <v>0.20202020202020202</v>
      </c>
      <c r="J25" s="706" t="e">
        <f t="shared" ref="J25" si="12">+J24/J22</f>
        <v>#DIV/0!</v>
      </c>
      <c r="K25" s="1224">
        <f t="shared" ref="K25" si="13">+K24/K22</f>
        <v>0.22036254417837092</v>
      </c>
      <c r="L25" s="1225">
        <f>+K25-E25</f>
        <v>1.0716699722061934E-2</v>
      </c>
      <c r="M25" s="1226"/>
      <c r="N25" s="760">
        <f>+N24/N22</f>
        <v>0.21000177967609895</v>
      </c>
      <c r="O25" s="1225">
        <f>+N25-E25</f>
        <v>3.5593521978996567E-4</v>
      </c>
      <c r="P25" s="1227">
        <f>+N25-K25</f>
        <v>-1.0360764502271969E-2</v>
      </c>
    </row>
    <row r="26" spans="4:16">
      <c r="D26" s="1216" t="s">
        <v>187</v>
      </c>
      <c r="E26" s="1209"/>
      <c r="F26" s="1209"/>
      <c r="G26" s="1209"/>
      <c r="H26" s="1209"/>
      <c r="I26" s="1209"/>
      <c r="J26" s="1209"/>
      <c r="K26" s="1209"/>
      <c r="L26" s="1218"/>
      <c r="M26" s="1213"/>
      <c r="N26" s="1209"/>
      <c r="O26" s="1218"/>
      <c r="P26" s="1230"/>
    </row>
    <row r="27" spans="4:16">
      <c r="D27" s="1002" t="s">
        <v>822</v>
      </c>
      <c r="E27" s="1221">
        <f>+FAT!AB609</f>
        <v>1217.5999999999999</v>
      </c>
      <c r="F27" s="1002">
        <v>1360.4101891012267</v>
      </c>
      <c r="G27" s="1002">
        <v>1198</v>
      </c>
      <c r="H27" s="1002">
        <v>1140</v>
      </c>
      <c r="I27" s="1002">
        <v>1242</v>
      </c>
      <c r="J27" s="1002"/>
      <c r="K27" s="1221">
        <f>+AVERAGE(F27:J27)</f>
        <v>1235.1025472753067</v>
      </c>
      <c r="L27" s="1212">
        <f>+K27/E27-1</f>
        <v>1.4374628182742155E-2</v>
      </c>
      <c r="M27" s="1213"/>
      <c r="N27" s="1222">
        <v>1217.5999999999999</v>
      </c>
      <c r="O27" s="1223">
        <f>+N27/E27-1</f>
        <v>0</v>
      </c>
      <c r="P27" s="1215">
        <f>+N27/K27-1</f>
        <v>-1.4170926384953431E-2</v>
      </c>
    </row>
    <row r="28" spans="4:16">
      <c r="D28" s="709" t="s">
        <v>108</v>
      </c>
      <c r="E28" s="1224">
        <f>+FAT!AB610</f>
        <v>0.2434640522875815</v>
      </c>
      <c r="F28" s="706">
        <v>0.38930779115729841</v>
      </c>
      <c r="G28" s="706">
        <v>0.223</v>
      </c>
      <c r="H28" s="706"/>
      <c r="I28" s="706"/>
      <c r="J28" s="706"/>
      <c r="K28" s="1224">
        <f>+AVERAGE(F28:J28)</f>
        <v>0.30615389557864919</v>
      </c>
      <c r="L28" s="1225">
        <f>+K28-E28</f>
        <v>6.2689843291067693E-2</v>
      </c>
      <c r="M28" s="1226"/>
      <c r="N28" s="760">
        <v>0.24299999999999999</v>
      </c>
      <c r="O28" s="1225"/>
      <c r="P28" s="1227"/>
    </row>
    <row r="29" spans="4:16">
      <c r="D29" s="1002" t="s">
        <v>114</v>
      </c>
      <c r="E29" s="1221">
        <f>+FAT!AB641</f>
        <v>158.59999999999997</v>
      </c>
      <c r="F29" s="1002">
        <v>230.88899336755466</v>
      </c>
      <c r="G29" s="1002">
        <v>140</v>
      </c>
      <c r="H29" s="1002">
        <v>146</v>
      </c>
      <c r="I29" s="1002">
        <v>182</v>
      </c>
      <c r="J29" s="1002"/>
      <c r="K29" s="1221">
        <f>+AVERAGE(F29:J29)</f>
        <v>174.72224834188867</v>
      </c>
      <c r="L29" s="1212">
        <f>+K29/E29-1</f>
        <v>0.10165352044066012</v>
      </c>
      <c r="M29" s="1213"/>
      <c r="N29" s="1222">
        <v>159</v>
      </c>
      <c r="O29" s="1223">
        <f>+N29/E29-1</f>
        <v>2.5220680958388808E-3</v>
      </c>
      <c r="P29" s="1215">
        <f>+N29/K29-1</f>
        <v>-8.9984237789363153E-2</v>
      </c>
    </row>
    <row r="30" spans="4:16">
      <c r="D30" s="709" t="s">
        <v>113</v>
      </c>
      <c r="E30" s="1224">
        <f>+E29/E27</f>
        <v>0.1302562417871222</v>
      </c>
      <c r="F30" s="706">
        <f t="shared" ref="F30:K30" si="14">+F29/F27</f>
        <v>0.16972012942662137</v>
      </c>
      <c r="G30" s="706">
        <f t="shared" si="14"/>
        <v>0.11686143572621036</v>
      </c>
      <c r="H30" s="706">
        <f t="shared" si="14"/>
        <v>0.1280701754385965</v>
      </c>
      <c r="I30" s="706">
        <f t="shared" si="14"/>
        <v>0.14653784219001612</v>
      </c>
      <c r="J30" s="706" t="e">
        <f t="shared" si="14"/>
        <v>#DIV/0!</v>
      </c>
      <c r="K30" s="1224">
        <f t="shared" si="14"/>
        <v>0.14146375839587896</v>
      </c>
      <c r="L30" s="1225">
        <f>+K30-E30</f>
        <v>1.1207516608756768E-2</v>
      </c>
      <c r="M30" s="1226"/>
      <c r="N30" s="760">
        <f>+N29/N27</f>
        <v>0.13058475689881735</v>
      </c>
      <c r="O30" s="1225">
        <f>+N30-E30</f>
        <v>3.2851511169515457E-4</v>
      </c>
      <c r="P30" s="1227">
        <f>+N30-K30</f>
        <v>-1.0879001497061613E-2</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BS693"/>
  <sheetViews>
    <sheetView workbookViewId="0">
      <pane xSplit="2" ySplit="2" topLeftCell="AD3" activePane="bottomRight" state="frozen"/>
      <selection pane="topRight" activeCell="C1" sqref="C1"/>
      <selection pane="bottomLeft" activeCell="A3" sqref="A3"/>
      <selection pane="bottomRight" activeCell="AU4" activeCellId="1" sqref="AU43 AU4"/>
    </sheetView>
  </sheetViews>
  <sheetFormatPr defaultColWidth="9.140625" defaultRowHeight="12.75"/>
  <cols>
    <col min="1" max="1" width="2.7109375" style="164" customWidth="1"/>
    <col min="2" max="2" width="40.5703125" style="164" bestFit="1" customWidth="1"/>
    <col min="3" max="49" width="9.7109375" style="164" customWidth="1"/>
    <col min="50" max="50" width="8" style="164" bestFit="1" customWidth="1"/>
    <col min="51" max="54" width="5.140625" style="164" customWidth="1"/>
    <col min="55" max="56" width="9.7109375" style="164" customWidth="1"/>
    <col min="57" max="62" width="9.28515625" style="164" bestFit="1" customWidth="1"/>
    <col min="63" max="16384" width="9.140625" style="164"/>
  </cols>
  <sheetData>
    <row r="2" spans="2:71" ht="15.75">
      <c r="B2" s="161" t="s">
        <v>825</v>
      </c>
      <c r="C2" s="162" t="s">
        <v>223</v>
      </c>
      <c r="D2" s="162" t="s">
        <v>224</v>
      </c>
      <c r="E2" s="162" t="s">
        <v>225</v>
      </c>
      <c r="F2" s="162" t="s">
        <v>226</v>
      </c>
      <c r="G2" s="162" t="s">
        <v>6</v>
      </c>
      <c r="H2" s="162" t="s">
        <v>7</v>
      </c>
      <c r="I2" s="162" t="s">
        <v>8</v>
      </c>
      <c r="J2" s="162" t="s">
        <v>9</v>
      </c>
      <c r="K2" s="162" t="s">
        <v>826</v>
      </c>
      <c r="L2" s="162" t="s">
        <v>827</v>
      </c>
      <c r="M2" s="162" t="s">
        <v>828</v>
      </c>
      <c r="N2" s="885" t="s">
        <v>829</v>
      </c>
      <c r="O2" s="885" t="s">
        <v>830</v>
      </c>
      <c r="P2" s="885" t="s">
        <v>831</v>
      </c>
      <c r="Q2" s="885" t="s">
        <v>832</v>
      </c>
      <c r="R2" s="885" t="s">
        <v>833</v>
      </c>
      <c r="S2" s="885" t="s">
        <v>834</v>
      </c>
      <c r="T2" s="885" t="s">
        <v>835</v>
      </c>
      <c r="U2" s="885" t="s">
        <v>836</v>
      </c>
      <c r="V2" s="885" t="s">
        <v>837</v>
      </c>
      <c r="W2" s="885" t="s">
        <v>838</v>
      </c>
      <c r="X2" s="885" t="s">
        <v>839</v>
      </c>
      <c r="Y2" s="885" t="s">
        <v>840</v>
      </c>
      <c r="Z2" s="885" t="s">
        <v>841</v>
      </c>
      <c r="AA2" s="885" t="s">
        <v>842</v>
      </c>
      <c r="AB2" s="885" t="s">
        <v>811</v>
      </c>
      <c r="AC2" s="885" t="s">
        <v>843</v>
      </c>
      <c r="AD2" s="885" t="s">
        <v>844</v>
      </c>
      <c r="AE2" s="885" t="s">
        <v>845</v>
      </c>
      <c r="AF2" s="885" t="s">
        <v>846</v>
      </c>
      <c r="AG2" s="885" t="s">
        <v>847</v>
      </c>
      <c r="AH2" s="885" t="s">
        <v>848</v>
      </c>
      <c r="AI2" s="885" t="s">
        <v>849</v>
      </c>
      <c r="AJ2" s="885" t="s">
        <v>850</v>
      </c>
      <c r="AK2" s="885" t="s">
        <v>851</v>
      </c>
      <c r="AL2" s="885" t="s">
        <v>852</v>
      </c>
      <c r="AM2" s="885" t="s">
        <v>853</v>
      </c>
      <c r="AN2" s="885" t="s">
        <v>854</v>
      </c>
      <c r="AO2" s="163" t="s">
        <v>855</v>
      </c>
      <c r="AP2" s="163" t="s">
        <v>856</v>
      </c>
      <c r="AQ2" s="163" t="s">
        <v>857</v>
      </c>
      <c r="AR2" s="163" t="s">
        <v>858</v>
      </c>
      <c r="AS2" s="163" t="s">
        <v>859</v>
      </c>
      <c r="AT2" s="163" t="s">
        <v>860</v>
      </c>
      <c r="AU2" s="163" t="s">
        <v>948</v>
      </c>
      <c r="AV2" s="163" t="s">
        <v>949</v>
      </c>
      <c r="AW2" s="163" t="s">
        <v>950</v>
      </c>
      <c r="AX2" s="163" t="s">
        <v>951</v>
      </c>
      <c r="AY2" s="163"/>
      <c r="AZ2" s="163"/>
      <c r="BA2" s="163"/>
      <c r="BB2" s="163"/>
      <c r="BC2" s="162">
        <v>2014</v>
      </c>
      <c r="BD2" s="162">
        <v>2015</v>
      </c>
      <c r="BE2" s="162">
        <v>2016</v>
      </c>
      <c r="BF2" s="162">
        <v>2017</v>
      </c>
      <c r="BG2" s="162">
        <v>2018</v>
      </c>
      <c r="BH2" s="885">
        <v>2019</v>
      </c>
      <c r="BI2" s="885">
        <v>2020</v>
      </c>
      <c r="BJ2" s="885">
        <v>2021</v>
      </c>
      <c r="BK2" s="885">
        <v>2022</v>
      </c>
      <c r="BL2" s="163">
        <v>2023</v>
      </c>
      <c r="BM2" s="163">
        <v>2024</v>
      </c>
      <c r="BN2" s="163">
        <v>2025</v>
      </c>
      <c r="BO2" s="163">
        <v>2026</v>
      </c>
      <c r="BP2" s="163">
        <v>2027</v>
      </c>
      <c r="BQ2" s="163">
        <v>2028</v>
      </c>
      <c r="BR2" s="163">
        <v>2029</v>
      </c>
      <c r="BS2" s="163">
        <v>2030</v>
      </c>
    </row>
    <row r="3" spans="2:71" s="171" customFormat="1" ht="15.75">
      <c r="B3" s="168" t="s">
        <v>861</v>
      </c>
      <c r="C3" s="169">
        <v>2.8725000000000001</v>
      </c>
      <c r="D3" s="169">
        <v>3.0699000000000001</v>
      </c>
      <c r="E3" s="169">
        <v>3.53</v>
      </c>
      <c r="F3" s="169">
        <v>3.8447</v>
      </c>
      <c r="G3" s="169">
        <v>3.8988999999999998</v>
      </c>
      <c r="H3" s="169">
        <v>3.5002</v>
      </c>
      <c r="I3" s="169">
        <v>3.2465000000000002</v>
      </c>
      <c r="J3" s="169">
        <v>3.294</v>
      </c>
      <c r="K3" s="169">
        <v>3.1442000000000001</v>
      </c>
      <c r="L3" s="169">
        <v>3.2176</v>
      </c>
      <c r="M3" s="169">
        <v>3.1631</v>
      </c>
      <c r="N3" s="887">
        <v>3.2504</v>
      </c>
      <c r="O3" s="887">
        <v>3.2425000000000002</v>
      </c>
      <c r="P3" s="887">
        <v>3.6088</v>
      </c>
      <c r="Q3" s="887">
        <v>3.9478</v>
      </c>
      <c r="R3" s="887">
        <v>3.8115999999999999</v>
      </c>
      <c r="S3" s="887">
        <v>3.7658999999999998</v>
      </c>
      <c r="T3" s="887">
        <v>3.9216000000000002</v>
      </c>
      <c r="U3" s="887">
        <v>3.9723999999999999</v>
      </c>
      <c r="V3" s="887">
        <v>4.1166999999999998</v>
      </c>
      <c r="W3" s="887">
        <v>4.4725999999999999</v>
      </c>
      <c r="X3" s="887">
        <v>5.3856000000000002</v>
      </c>
      <c r="Y3" s="887">
        <v>5.3802000000000003</v>
      </c>
      <c r="Z3" s="887">
        <v>5.3956</v>
      </c>
      <c r="AA3" s="887">
        <v>5.4848999999999997</v>
      </c>
      <c r="AB3" s="887">
        <v>5.2935999999999996</v>
      </c>
      <c r="AC3" s="887">
        <v>5.2323000000000004</v>
      </c>
      <c r="AD3" s="887">
        <v>5.5853000000000002</v>
      </c>
      <c r="AE3" s="887">
        <v>5.2249999999999996</v>
      </c>
      <c r="AF3" s="887">
        <v>4.9273999999999996</v>
      </c>
      <c r="AG3" s="887">
        <v>5.25</v>
      </c>
      <c r="AH3" s="887">
        <v>5.2632000000000003</v>
      </c>
      <c r="AI3" s="1326">
        <f>+[2]Planilha1!AT2</f>
        <v>5.1897000000000002</v>
      </c>
      <c r="AJ3" s="1326">
        <f>+[2]Planilha1!AU2</f>
        <v>4.9428000000000001</v>
      </c>
      <c r="AK3" s="1326">
        <f>+[2]Planilha1!AV2</f>
        <v>4.8849999999999998</v>
      </c>
      <c r="AL3" s="1326">
        <f>+[2]Planilha1!AW2</f>
        <v>4.9558</v>
      </c>
      <c r="AM3" s="1326">
        <f>+[2]Planilha1!AX2</f>
        <v>4.9515000000000002</v>
      </c>
      <c r="AN3" s="1326">
        <f>+[2]Planilha1!AY2</f>
        <v>5.1539999999999999</v>
      </c>
      <c r="AO3" s="1326">
        <f>+[2]Planilha1!AZ2</f>
        <v>5.5462999999999996</v>
      </c>
      <c r="AP3" s="1326">
        <f>+[2]Planilha1!BA2</f>
        <v>5.8349000000000002</v>
      </c>
      <c r="AQ3" s="1326">
        <f>+[2]Planilha1!BB2</f>
        <v>5.85</v>
      </c>
      <c r="AR3" s="1326">
        <f>+[2]Planilha1!BC2</f>
        <v>5.65</v>
      </c>
      <c r="AS3" s="1326">
        <f>+[2]Planilha1!BD2</f>
        <v>5.4493</v>
      </c>
      <c r="AT3" s="1326">
        <f>+[2]Planilha1!BE2</f>
        <v>5.3971999999999998</v>
      </c>
      <c r="AU3" s="1326">
        <f>+[2]Planilha1!BF2</f>
        <v>5.3</v>
      </c>
      <c r="AV3" s="1326">
        <f>+[2]Planilha1!BG2</f>
        <v>5.3067232313310093</v>
      </c>
      <c r="AW3" s="1326">
        <f>+[2]Planilha1!BH2</f>
        <v>5.3162016664439689</v>
      </c>
      <c r="AX3" s="1326">
        <f>+[2]Planilha1!BI2</f>
        <v>5.3363420627358398</v>
      </c>
      <c r="AY3" s="1326"/>
      <c r="AZ3" s="1326"/>
      <c r="BA3" s="1326"/>
      <c r="BB3" s="1326"/>
      <c r="BC3" s="889">
        <v>2.3533000000000004</v>
      </c>
      <c r="BD3" s="889">
        <v>3.329275</v>
      </c>
      <c r="BE3" s="889">
        <v>3.4849000000000001</v>
      </c>
      <c r="BF3" s="889">
        <v>3.1938250000000004</v>
      </c>
      <c r="BG3" s="889">
        <v>3.6526749999999999</v>
      </c>
      <c r="BH3" s="889">
        <v>3.94415</v>
      </c>
      <c r="BI3" s="889">
        <v>5.1585000000000001</v>
      </c>
      <c r="BJ3" s="889">
        <v>5.399025</v>
      </c>
      <c r="BK3" s="889">
        <v>5.1664000000000003</v>
      </c>
      <c r="BL3" s="170">
        <f>+[2]Planilha1!BU2</f>
        <v>4.9933250000000005</v>
      </c>
      <c r="BM3" s="170">
        <f>+[2]Planilha1!BV2</f>
        <v>5.3716749999999998</v>
      </c>
      <c r="BN3" s="170">
        <f>+[2]Planilha1!BW2</f>
        <v>5.5866249999999997</v>
      </c>
      <c r="BO3" s="170">
        <f>+[2]Planilha1!BX2</f>
        <v>5.3148167401277053</v>
      </c>
      <c r="BP3" s="170">
        <f>+[2]Planilha1!BY2</f>
        <v>5.4005723687291631</v>
      </c>
      <c r="BQ3" s="170">
        <f>+[2]Planilha1!BZ2</f>
        <v>5.4882731133291589</v>
      </c>
      <c r="BR3" s="170">
        <f>+[2]Planilha1!CA2</f>
        <v>5.5705972100290966</v>
      </c>
      <c r="BS3" s="170">
        <f>+[2]Planilha1!CB2</f>
        <v>5.6541561681795338</v>
      </c>
    </row>
    <row r="4" spans="2:71" s="171" customFormat="1" ht="15.75">
      <c r="B4" s="168" t="s">
        <v>862</v>
      </c>
      <c r="C4" s="169">
        <v>3.1974</v>
      </c>
      <c r="D4" s="169">
        <v>3.1030000000000002</v>
      </c>
      <c r="E4" s="169">
        <v>3.9470999999999998</v>
      </c>
      <c r="F4" s="169">
        <v>3.964</v>
      </c>
      <c r="G4" s="169">
        <v>3.5928</v>
      </c>
      <c r="H4" s="169">
        <v>3.2126000000000001</v>
      </c>
      <c r="I4" s="169">
        <v>3.2612999999999999</v>
      </c>
      <c r="J4" s="169">
        <v>3.25</v>
      </c>
      <c r="K4" s="169">
        <v>3.1223999999999998</v>
      </c>
      <c r="L4" s="169">
        <v>3.3071999999999999</v>
      </c>
      <c r="M4" s="169">
        <v>3.1623000000000001</v>
      </c>
      <c r="N4" s="887">
        <v>3.3085</v>
      </c>
      <c r="O4" s="887">
        <v>3.3062999999999998</v>
      </c>
      <c r="P4" s="887">
        <v>3.8765000000000001</v>
      </c>
      <c r="Q4" s="887">
        <v>4.0492999999999997</v>
      </c>
      <c r="R4" s="887">
        <v>3.8814000000000002</v>
      </c>
      <c r="S4" s="887">
        <v>3.9209999999999998</v>
      </c>
      <c r="T4" s="887">
        <v>3.8496999999999999</v>
      </c>
      <c r="U4" s="887">
        <v>4.157</v>
      </c>
      <c r="V4" s="887">
        <v>4.0231000000000003</v>
      </c>
      <c r="W4" s="887">
        <v>5.2053000000000003</v>
      </c>
      <c r="X4" s="887">
        <v>5.4659000000000004</v>
      </c>
      <c r="Y4" s="887">
        <v>5.61</v>
      </c>
      <c r="Z4" s="887">
        <v>5.1935000000000002</v>
      </c>
      <c r="AA4" s="887">
        <v>5.6344000000000003</v>
      </c>
      <c r="AB4" s="887">
        <v>4.9690000000000003</v>
      </c>
      <c r="AC4" s="887">
        <v>5.4429999999999996</v>
      </c>
      <c r="AD4" s="887">
        <v>5.6273999999999997</v>
      </c>
      <c r="AE4" s="887">
        <v>4.7411000000000003</v>
      </c>
      <c r="AF4" s="887">
        <v>5.2558999999999996</v>
      </c>
      <c r="AG4" s="887">
        <v>5.4154999999999998</v>
      </c>
      <c r="AH4" s="887">
        <v>5.2859999999999996</v>
      </c>
      <c r="AI4" s="1326">
        <f>+[2]Planilha1!AT3</f>
        <v>5.0640000000000001</v>
      </c>
      <c r="AJ4" s="1326">
        <f>+[2]Planilha1!AU3</f>
        <v>4.7874999999999996</v>
      </c>
      <c r="AK4" s="1326">
        <f>+[2]Planilha1!AV3</f>
        <v>5.0324999999999998</v>
      </c>
      <c r="AL4" s="1326">
        <f>+[2]Planilha1!AW3</f>
        <v>4.8525999999999998</v>
      </c>
      <c r="AM4" s="1326">
        <f>+[2]Planilha1!AX3</f>
        <v>5.0145</v>
      </c>
      <c r="AN4" s="1326">
        <f>+[2]Planilha1!AY3</f>
        <v>5.5941000000000001</v>
      </c>
      <c r="AO4" s="1326">
        <f>+[2]Planilha1!AZ3</f>
        <v>5.45</v>
      </c>
      <c r="AP4" s="1326">
        <f>+[2]Planilha1!BA3</f>
        <v>6.1736000000000004</v>
      </c>
      <c r="AQ4" s="1326">
        <f>+[2]Planilha1!BB3</f>
        <v>5.75</v>
      </c>
      <c r="AR4" s="1326">
        <f>+[2]Planilha1!BC3</f>
        <v>5.47</v>
      </c>
      <c r="AS4" s="1326">
        <f>+[2]Planilha1!BD3</f>
        <v>5.3216999999999999</v>
      </c>
      <c r="AT4" s="1326">
        <f>+[2]Planilha1!BE3</f>
        <v>5.4752999999999998</v>
      </c>
      <c r="AU4" s="1326">
        <f>+[2]Planilha1!BF3</f>
        <v>5.3</v>
      </c>
      <c r="AV4" s="1326">
        <f>+[2]Planilha1!BG3</f>
        <v>5.3134464626620197</v>
      </c>
      <c r="AW4" s="1326">
        <f>+[2]Planilha1!BH3</f>
        <v>5.318956870225918</v>
      </c>
      <c r="AX4" s="1326">
        <f>+[2]Planilha1!BI3</f>
        <v>5.3537272552457624</v>
      </c>
      <c r="AY4" s="1326"/>
      <c r="AZ4" s="1326"/>
      <c r="BA4" s="1326"/>
      <c r="BB4" s="1326"/>
      <c r="BC4" s="889">
        <v>2.6581999999999999</v>
      </c>
      <c r="BD4" s="889">
        <v>3.964</v>
      </c>
      <c r="BE4" s="889">
        <v>3.2612999999999999</v>
      </c>
      <c r="BF4" s="889">
        <v>3.3085</v>
      </c>
      <c r="BG4" s="889">
        <v>3.8814000000000002</v>
      </c>
      <c r="BH4" s="889">
        <v>4.0231000000000003</v>
      </c>
      <c r="BI4" s="889">
        <v>5.1935000000000002</v>
      </c>
      <c r="BJ4" s="889">
        <v>5.6273999999999997</v>
      </c>
      <c r="BK4" s="889">
        <v>5.2859999999999996</v>
      </c>
      <c r="BL4" s="170">
        <f>+[2]Planilha1!BU3</f>
        <v>4.8525999999999998</v>
      </c>
      <c r="BM4" s="170">
        <f>+[2]Planilha1!BV3</f>
        <v>6.1736000000000004</v>
      </c>
      <c r="BN4" s="170">
        <f>+[2]Planilha1!BW3</f>
        <v>5.4752999999999998</v>
      </c>
      <c r="BO4" s="170">
        <f>+[2]Planilha1!BX3</f>
        <v>5.3537272552457624</v>
      </c>
      <c r="BP4" s="170">
        <f>+[2]Planilha1!BY3</f>
        <v>5.4474174822125638</v>
      </c>
      <c r="BQ4" s="170">
        <f>+[2]Planilha1!BZ3</f>
        <v>5.5291287444457531</v>
      </c>
      <c r="BR4" s="170">
        <f>+[2]Planilha1!CA3</f>
        <v>5.6120656756124401</v>
      </c>
      <c r="BS4" s="170">
        <f>+[2]Planilha1!CB3</f>
        <v>5.6962466607466276</v>
      </c>
    </row>
    <row r="5" spans="2:71" ht="15.75">
      <c r="B5" s="165" t="s">
        <v>863</v>
      </c>
      <c r="C5" s="166">
        <v>0.12280000000000001</v>
      </c>
      <c r="D5" s="166">
        <v>0.13250000000000001</v>
      </c>
      <c r="E5" s="166">
        <v>0.14249999999999999</v>
      </c>
      <c r="F5" s="166">
        <v>0.14249999999999999</v>
      </c>
      <c r="G5" s="166">
        <v>0.14249999999999999</v>
      </c>
      <c r="H5" s="166">
        <v>0.14249999999999999</v>
      </c>
      <c r="I5" s="166">
        <v>0.14249999999999999</v>
      </c>
      <c r="J5" s="166">
        <v>0.1396</v>
      </c>
      <c r="K5" s="166">
        <v>0.12770000000000001</v>
      </c>
      <c r="L5" s="166">
        <v>0.11020000000000001</v>
      </c>
      <c r="M5" s="166">
        <v>9.2499999999999999E-2</v>
      </c>
      <c r="N5" s="886">
        <v>7.5499999999999998E-2</v>
      </c>
      <c r="O5" s="886">
        <v>6.8250000000000005E-2</v>
      </c>
      <c r="P5" s="886">
        <v>6.5000000000000002E-2</v>
      </c>
      <c r="Q5" s="886">
        <v>6.5000000000000002E-2</v>
      </c>
      <c r="R5" s="886">
        <v>6.5000000000000002E-2</v>
      </c>
      <c r="S5" s="886">
        <f>+[3]Planilha1!AD4</f>
        <v>6.5000000000000002E-2</v>
      </c>
      <c r="T5" s="886">
        <f>+[3]Planilha1!AE4</f>
        <v>6.5000000000000002E-2</v>
      </c>
      <c r="U5" s="886">
        <f>+[3]Planilha1!AF4</f>
        <v>6.0999999999999999E-2</v>
      </c>
      <c r="V5" s="886">
        <f>+[3]Planilha1!AG4</f>
        <v>5.0500000000000003E-2</v>
      </c>
      <c r="W5" s="886">
        <f>+[3]Planilha1!AH4</f>
        <v>4.2700000000000002E-2</v>
      </c>
      <c r="X5" s="886">
        <f>+[3]Planilha1!AI4</f>
        <v>3.1699999999999999E-2</v>
      </c>
      <c r="Y5" s="886">
        <f>+[3]Planilha1!AJ4</f>
        <v>2.0899999999999998E-2</v>
      </c>
      <c r="Z5" s="886">
        <f>+[3]Planilha1!AK4</f>
        <v>0.02</v>
      </c>
      <c r="AA5" s="886">
        <f>+[3]Planilha1!AL4</f>
        <v>2.1299999999999999E-2</v>
      </c>
      <c r="AB5" s="886">
        <f>+[3]Planilha1!AM4</f>
        <v>3.3500000000000002E-2</v>
      </c>
      <c r="AC5" s="886">
        <f>+[3]Planilha1!AN4</f>
        <v>4.99E-2</v>
      </c>
      <c r="AD5" s="886">
        <f>+[3]Planilha1!AO4</f>
        <v>7.6799999999999993E-2</v>
      </c>
      <c r="AE5" s="886">
        <f>+[3]Planilha1!AP4</f>
        <v>0.1042</v>
      </c>
      <c r="AF5" s="886">
        <f>+[3]Planilha1!AQ4</f>
        <v>0.1249</v>
      </c>
      <c r="AG5" s="886">
        <f>+[3]Planilha1!AR4</f>
        <v>0.13600000000000001</v>
      </c>
      <c r="AH5" s="886">
        <f>+[3]Planilha1!AS4</f>
        <v>0.13750000000000001</v>
      </c>
      <c r="AI5" s="1327">
        <f>+[2]Planilha1!AT4</f>
        <v>0.13750000000000001</v>
      </c>
      <c r="AJ5" s="1327">
        <f>+[2]Planilha1!AU4</f>
        <v>0.13750000000000001</v>
      </c>
      <c r="AK5" s="1327">
        <f>+[2]Planilha1!AV4</f>
        <v>0.1336</v>
      </c>
      <c r="AL5" s="1327">
        <f>+[2]Planilha1!AW4</f>
        <v>0.12330000000000001</v>
      </c>
      <c r="AM5" s="1327">
        <f>+[2]Planilha1!AX4</f>
        <v>0.1135</v>
      </c>
      <c r="AN5" s="1327">
        <f>+[2]Planilha1!AY4</f>
        <v>0.106</v>
      </c>
      <c r="AO5" s="1327">
        <f>+[2]Planilha1!AZ4</f>
        <v>0.1053</v>
      </c>
      <c r="AP5" s="1327">
        <f>+[2]Planilha1!BA4</f>
        <v>0.11269999999999999</v>
      </c>
      <c r="AQ5" s="1327">
        <f>+[2]Planilha1!BB4</f>
        <v>0.13583333333333333</v>
      </c>
      <c r="AR5" s="1327">
        <f>+[2]Planilha1!BC4</f>
        <v>0.14749999999999999</v>
      </c>
      <c r="AS5" s="1327">
        <f>+[2]Planilha1!BD4</f>
        <v>0.15</v>
      </c>
      <c r="AT5" s="1327">
        <f>+[2]Planilha1!BE4</f>
        <v>0.15</v>
      </c>
      <c r="AU5" s="1327">
        <f>+[2]Planilha1!BF4</f>
        <v>0.14749999999999999</v>
      </c>
      <c r="AV5" s="1327">
        <f>+[2]Planilha1!BG4</f>
        <v>0.13750000000000001</v>
      </c>
      <c r="AW5" s="1327">
        <f>+[2]Planilha1!BH4</f>
        <v>0.13</v>
      </c>
      <c r="AX5" s="1327">
        <f>+[2]Planilha1!BI4</f>
        <v>0.125</v>
      </c>
      <c r="AY5" s="1327"/>
      <c r="AZ5" s="1327"/>
      <c r="BA5" s="1327"/>
      <c r="BB5" s="1327"/>
      <c r="BC5" s="888">
        <v>0.1096</v>
      </c>
      <c r="BD5" s="888">
        <v>0.135075</v>
      </c>
      <c r="BE5" s="888">
        <v>0.14177499999999998</v>
      </c>
      <c r="BF5" s="888">
        <v>0.10147500000000001</v>
      </c>
      <c r="BG5" s="888">
        <v>6.5812499999999996E-2</v>
      </c>
      <c r="BH5" s="888">
        <v>6.0374999999999998E-2</v>
      </c>
      <c r="BI5" s="888">
        <v>2.8825E-2</v>
      </c>
      <c r="BJ5" s="888">
        <v>4.5374999999999999E-2</v>
      </c>
      <c r="BK5" s="888">
        <v>0.12564999999999998</v>
      </c>
      <c r="BL5" s="167">
        <f>+[2]Planilha1!BU4</f>
        <v>0.13297500000000001</v>
      </c>
      <c r="BM5" s="167">
        <f>+[2]Planilha1!BV4</f>
        <v>0.109375</v>
      </c>
      <c r="BN5" s="167">
        <f>+[2]Planilha1!BW4</f>
        <v>0.14583333333333334</v>
      </c>
      <c r="BO5" s="167">
        <f>+[2]Planilha1!BX4</f>
        <v>0.13500000000000001</v>
      </c>
      <c r="BP5" s="167">
        <f>+[2]Planilha1!BY4</f>
        <v>0.115</v>
      </c>
      <c r="BQ5" s="167">
        <f>+[2]Planilha1!BZ4</f>
        <v>0.11</v>
      </c>
      <c r="BR5" s="167">
        <f>+[2]Planilha1!CA4</f>
        <v>0.1</v>
      </c>
      <c r="BS5" s="167">
        <f>+[2]Planilha1!CB4</f>
        <v>0.09</v>
      </c>
    </row>
    <row r="6" spans="2:71" ht="15.75">
      <c r="B6" s="165" t="s">
        <v>864</v>
      </c>
      <c r="C6" s="166">
        <v>2.9379703664283552E-2</v>
      </c>
      <c r="D6" s="166">
        <v>3.1595770003753909E-2</v>
      </c>
      <c r="E6" s="166">
        <v>3.386552139124821E-2</v>
      </c>
      <c r="F6" s="166">
        <v>3.386552139124821E-2</v>
      </c>
      <c r="G6" s="166">
        <v>3.386552139124821E-2</v>
      </c>
      <c r="H6" s="166">
        <v>3.386552139124821E-2</v>
      </c>
      <c r="I6" s="166">
        <v>3.386552139124821E-2</v>
      </c>
      <c r="J6" s="166">
        <v>3.3208832524481258E-2</v>
      </c>
      <c r="K6" s="166">
        <v>3.0500946736911727E-2</v>
      </c>
      <c r="L6" s="166">
        <v>2.6479559859692303E-2</v>
      </c>
      <c r="M6" s="166">
        <v>2.2363559609957839E-2</v>
      </c>
      <c r="N6" s="886">
        <v>1.8362980987926658E-2</v>
      </c>
      <c r="O6" s="886">
        <v>1.6642416339083699E-2</v>
      </c>
      <c r="P6" s="886">
        <v>1.586828478278357E-2</v>
      </c>
      <c r="Q6" s="886">
        <v>1.586828478278357E-2</v>
      </c>
      <c r="R6" s="886">
        <v>1.586828478278357E-2</v>
      </c>
      <c r="S6" s="886">
        <v>1.586828478278357E-2</v>
      </c>
      <c r="T6" s="886">
        <v>1.586828478278357E-2</v>
      </c>
      <c r="U6" s="886">
        <v>1.4913071423088509E-2</v>
      </c>
      <c r="V6" s="886">
        <v>1.2392721514959071E-2</v>
      </c>
      <c r="W6" s="886">
        <v>1.0508203112448822E-2</v>
      </c>
      <c r="X6" s="886">
        <v>7.8324965478326902E-3</v>
      </c>
      <c r="Y6" s="886">
        <v>5.1845412595541429E-3</v>
      </c>
      <c r="Z6" s="886">
        <v>4.9629315732038215E-3</v>
      </c>
      <c r="AA6" s="886">
        <v>5.2829874231419272E-3</v>
      </c>
      <c r="AB6" s="886">
        <v>8.2717988664033903E-3</v>
      </c>
      <c r="AC6" s="886">
        <v>1.2248131848348498E-2</v>
      </c>
      <c r="AD6" s="886">
        <v>1.8670575645447718E-2</v>
      </c>
      <c r="AE6" s="886">
        <v>2.5089855568062536E-2</v>
      </c>
      <c r="AF6" s="886">
        <v>2.9860684889043698E-2</v>
      </c>
      <c r="AG6" s="886">
        <v>3.2391886619581145E-2</v>
      </c>
      <c r="AH6" s="886">
        <v>3.2732516378310317E-2</v>
      </c>
      <c r="AI6" s="1327">
        <f>+[2]Planilha1!AT5</f>
        <v>3.2732516378310317E-2</v>
      </c>
      <c r="AJ6" s="1327">
        <f>+[2]Planilha1!AU5</f>
        <v>3.2732516378310317E-2</v>
      </c>
      <c r="AK6" s="1327">
        <f>+[2]Planilha1!AV5</f>
        <v>3.1846176683566041E-2</v>
      </c>
      <c r="AL6" s="1327">
        <f>+[2]Planilha1!AW5</f>
        <v>2.9494284160460849E-2</v>
      </c>
      <c r="AM6" s="1327">
        <f>+[2]Planilha1!AX5</f>
        <v>2.7241497638393453E-2</v>
      </c>
      <c r="AN6" s="1327">
        <f>+[2]Planilha1!AY5</f>
        <v>2.5507360290891512E-2</v>
      </c>
      <c r="AO6" s="1327">
        <f>+[2]Planilha1!AZ5</f>
        <v>2.5345057941852822E-2</v>
      </c>
      <c r="AP6" s="1327">
        <f>+[2]Planilha1!BA5</f>
        <v>2.70569411275976E-2</v>
      </c>
      <c r="AQ6" s="1327">
        <f>+[2]Planilha1!BB5</f>
        <v>3.2354018049627786E-2</v>
      </c>
      <c r="AR6" s="1327">
        <f>+[2]Planilha1!BC5</f>
        <v>3.4994813649531054E-2</v>
      </c>
      <c r="AS6" s="1327">
        <f>+[2]Planilha1!BD5</f>
        <v>3.5558076341622114E-2</v>
      </c>
      <c r="AT6" s="1327">
        <f>+[2]Planilha1!BE5</f>
        <v>3.5558076341622114E-2</v>
      </c>
      <c r="AU6" s="1327">
        <f>+[2]Planilha1!BF5</f>
        <v>3.4994813649531054E-2</v>
      </c>
      <c r="AV6" s="1327">
        <f>+[2]Planilha1!BG5</f>
        <v>3.2732516378310317E-2</v>
      </c>
      <c r="AW6" s="1327">
        <f>+[2]Planilha1!BH5</f>
        <v>3.1025984771220427E-2</v>
      </c>
      <c r="AX6" s="1327">
        <f>+[2]Planilha1!BI5</f>
        <v>2.9883571953558841E-2</v>
      </c>
      <c r="AY6" s="1327"/>
      <c r="AZ6" s="1327"/>
      <c r="BA6" s="1327"/>
      <c r="BB6" s="1327"/>
      <c r="BC6" s="888">
        <v>0.1096</v>
      </c>
      <c r="BD6" s="888">
        <v>0.135075</v>
      </c>
      <c r="BE6" s="888">
        <v>0.14177499999999998</v>
      </c>
      <c r="BF6" s="888">
        <v>0.10147500000000001</v>
      </c>
      <c r="BG6" s="888">
        <v>6.5812499999999996E-2</v>
      </c>
      <c r="BH6" s="888">
        <v>6.0374999999999998E-2</v>
      </c>
      <c r="BI6" s="888">
        <v>2.8825E-2</v>
      </c>
      <c r="BJ6" s="888">
        <v>4.5374999999999999E-2</v>
      </c>
      <c r="BK6" s="888">
        <v>0.12564999999999998</v>
      </c>
      <c r="BL6" s="167">
        <f t="shared" ref="BL6:BS6" si="0">+BL5</f>
        <v>0.13297500000000001</v>
      </c>
      <c r="BM6" s="167">
        <f t="shared" si="0"/>
        <v>0.109375</v>
      </c>
      <c r="BN6" s="167">
        <f t="shared" si="0"/>
        <v>0.14583333333333334</v>
      </c>
      <c r="BO6" s="167">
        <f t="shared" si="0"/>
        <v>0.13500000000000001</v>
      </c>
      <c r="BP6" s="167">
        <f t="shared" si="0"/>
        <v>0.115</v>
      </c>
      <c r="BQ6" s="167">
        <f t="shared" si="0"/>
        <v>0.11</v>
      </c>
      <c r="BR6" s="167">
        <f t="shared" si="0"/>
        <v>0.1</v>
      </c>
      <c r="BS6" s="167">
        <f t="shared" si="0"/>
        <v>0.09</v>
      </c>
    </row>
    <row r="7" spans="2:71" ht="15.75">
      <c r="B7" s="165" t="s">
        <v>865</v>
      </c>
      <c r="C7" s="166">
        <v>1.3475174441242466E-2</v>
      </c>
      <c r="D7" s="166">
        <v>1.3475174441242466E-2</v>
      </c>
      <c r="E7" s="166">
        <v>1.3475174441242466E-2</v>
      </c>
      <c r="F7" s="166">
        <v>1.3475174441242466E-2</v>
      </c>
      <c r="G7" s="166">
        <v>2.9499999999999998E-2</v>
      </c>
      <c r="H7" s="166">
        <v>2.8399999999999998E-2</v>
      </c>
      <c r="I7" s="166">
        <v>5.3E-3</v>
      </c>
      <c r="J7" s="166">
        <v>7.4178940399998172E-3</v>
      </c>
      <c r="K7" s="166">
        <v>8.6077612160000427E-3</v>
      </c>
      <c r="L7" s="166">
        <v>-2.4899999999999999E-2</v>
      </c>
      <c r="M7" s="166">
        <v>-2.7000000000000001E-3</v>
      </c>
      <c r="N7" s="886">
        <v>1.03E-2</v>
      </c>
      <c r="O7" s="886">
        <v>1.26E-2</v>
      </c>
      <c r="P7" s="886">
        <v>3.4872339899999938E-2</v>
      </c>
      <c r="Q7" s="886">
        <v>2.7520162640000123E-2</v>
      </c>
      <c r="R7" s="886">
        <v>-6.7999999999999996E-3</v>
      </c>
      <c r="S7" s="886">
        <v>2.1499999999999998E-2</v>
      </c>
      <c r="T7" s="886">
        <v>2.1700000000000001E-2</v>
      </c>
      <c r="U7" s="886">
        <v>-4.7999999999999996E-3</v>
      </c>
      <c r="V7" s="886">
        <v>3.0700000000000002E-2</v>
      </c>
      <c r="W7" s="886">
        <v>5.4000000000000003E-3</v>
      </c>
      <c r="X7" s="886">
        <v>-4.3E-3</v>
      </c>
      <c r="Y7" s="886">
        <v>1.24E-2</v>
      </c>
      <c r="Z7" s="886">
        <v>3.1E-2</v>
      </c>
      <c r="AA7" s="886">
        <v>2.0400000000000001E-2</v>
      </c>
      <c r="AB7" s="886">
        <v>1.67E-2</v>
      </c>
      <c r="AC7" s="886">
        <v>2.9900000000000003E-2</v>
      </c>
      <c r="AD7" s="886">
        <v>2.9300000000000003E-2</v>
      </c>
      <c r="AE7" s="886">
        <v>3.2199999999999999E-2</v>
      </c>
      <c r="AF7" s="886">
        <v>2.2000000000000002E-2</v>
      </c>
      <c r="AG7" s="886">
        <v>-1.3299999999999999E-2</v>
      </c>
      <c r="AH7" s="886">
        <v>1.6200000000000003E-2</v>
      </c>
      <c r="AI7" s="1327">
        <f>+[2]Planilha1!AT6</f>
        <v>6.5062336999999193E-3</v>
      </c>
      <c r="AJ7" s="1327">
        <f>+[2]Planilha1!AU6</f>
        <v>-2.7E-2</v>
      </c>
      <c r="AK7" s="1327">
        <f>+[2]Planilha1!AV6</f>
        <v>-4.8999999999999998E-3</v>
      </c>
      <c r="AL7" s="1327">
        <f>+[2]Planilha1!AW6</f>
        <v>1.83E-2</v>
      </c>
      <c r="AM7" s="1327">
        <f>+[2]Planilha1!AX6</f>
        <v>-9.1999999999999998E-3</v>
      </c>
      <c r="AN7" s="1327">
        <f>+[2]Planilha1!AY6</f>
        <v>2.01E-2</v>
      </c>
      <c r="AO7" s="1327">
        <f>+[2]Planilha1!AZ6</f>
        <v>1.52E-2</v>
      </c>
      <c r="AP7" s="1327">
        <f>+[2]Planilha1!BA6</f>
        <v>3.7599999999999995E-2</v>
      </c>
      <c r="AQ7" s="1327">
        <f>+[2]Planilha1!BB6</f>
        <v>9.8999999999999991E-3</v>
      </c>
      <c r="AR7" s="1327">
        <f>+[2]Planilha1!BC6</f>
        <v>-1.9200000000000002E-2</v>
      </c>
      <c r="AS7" s="1327">
        <f>+[2]Planilha1!BD6</f>
        <v>0</v>
      </c>
      <c r="AT7" s="1327">
        <f>+[2]Planilha1!BE6</f>
        <v>6.0105353459998234E-3</v>
      </c>
      <c r="AU7" s="1327">
        <f>+[2]Planilha1!BF6</f>
        <v>1.4E-2</v>
      </c>
      <c r="AV7" s="1327">
        <f>+[2]Planilha1!BG6</f>
        <v>7.4999999999999997E-3</v>
      </c>
      <c r="AW7" s="1327">
        <f>+[2]Planilha1!BH6</f>
        <v>6.0000000000000001E-3</v>
      </c>
      <c r="AX7" s="1327">
        <f>+[2]Planilha1!BI6</f>
        <v>1.15E-2</v>
      </c>
      <c r="AY7" s="1327"/>
      <c r="AZ7" s="1327"/>
      <c r="BA7" s="1327"/>
      <c r="BB7" s="1327"/>
      <c r="BC7" s="888">
        <v>3.6900000000000002E-2</v>
      </c>
      <c r="BD7" s="888">
        <v>0.10539999999999999</v>
      </c>
      <c r="BE7" s="888">
        <v>7.2244339262070412E-2</v>
      </c>
      <c r="BF7" s="888">
        <v>-9.0593729380010757E-3</v>
      </c>
      <c r="BG7" s="888">
        <v>6.9428529720650278E-2</v>
      </c>
      <c r="BH7" s="888">
        <v>7.0543718942192024E-2</v>
      </c>
      <c r="BI7" s="888">
        <v>4.4908326166231971E-2</v>
      </c>
      <c r="BJ7" s="888">
        <v>9.9766038912527666E-2</v>
      </c>
      <c r="BK7" s="888">
        <v>5.7740343796135907E-2</v>
      </c>
      <c r="BL7" s="167">
        <f>+[2]Planilha1!BU6</f>
        <v>-7.6342216054713363E-3</v>
      </c>
      <c r="BM7" s="167">
        <f>+[2]Planilha1!BV6</f>
        <v>6.4658480106521754E-2</v>
      </c>
      <c r="BN7" s="167">
        <f>+[2]Planilha1!BW6</f>
        <v>-3.5365851152765471E-3</v>
      </c>
      <c r="BO7" s="167">
        <f>+[2]Planilha1!BX6</f>
        <v>3.9553578245000276E-2</v>
      </c>
      <c r="BP7" s="167">
        <f>+[2]Planilha1!BY6</f>
        <v>3.9553578245000276E-2</v>
      </c>
      <c r="BQ7" s="167">
        <f>+[2]Planilha1!BZ6</f>
        <v>3.9553578245000276E-2</v>
      </c>
      <c r="BR7" s="167">
        <f>+[2]Planilha1!CA6</f>
        <v>3.9553578245000276E-2</v>
      </c>
      <c r="BS7" s="167">
        <f>+[2]Planilha1!CB6</f>
        <v>3.9553578245000276E-2</v>
      </c>
    </row>
    <row r="8" spans="2:71" ht="15.75">
      <c r="B8" s="165" t="s">
        <v>221</v>
      </c>
      <c r="C8" s="166">
        <v>1.3475174441242466E-2</v>
      </c>
      <c r="D8" s="166">
        <v>1.3475174441242466E-2</v>
      </c>
      <c r="E8" s="166">
        <v>1.3475174441242466E-2</v>
      </c>
      <c r="F8" s="166">
        <v>1.3475174441242466E-2</v>
      </c>
      <c r="G8" s="166">
        <v>2.5999999999999999E-2</v>
      </c>
      <c r="H8" s="166">
        <v>1.7496396530000125E-2</v>
      </c>
      <c r="I8" s="166">
        <v>1.043057830399996E-2</v>
      </c>
      <c r="J8" s="166">
        <v>7.4178940399998172E-3</v>
      </c>
      <c r="K8" s="166">
        <v>9.6303213499999707E-3</v>
      </c>
      <c r="L8" s="166">
        <v>2.1939800180001967E-3</v>
      </c>
      <c r="M8" s="166">
        <v>5.9114472960000164E-3</v>
      </c>
      <c r="N8" s="886">
        <v>1.1442611743999853E-2</v>
      </c>
      <c r="O8" s="886">
        <v>7.0147783519998175E-3</v>
      </c>
      <c r="P8" s="886">
        <v>1.1239843999999888E-2</v>
      </c>
      <c r="Q8" s="886">
        <v>8.1158400000000963E-3</v>
      </c>
      <c r="R8" s="886">
        <v>3.8999999999999998E-3</v>
      </c>
      <c r="S8" s="886">
        <v>1.4999999999999999E-2</v>
      </c>
      <c r="T8" s="886">
        <v>7.1000000000000004E-3</v>
      </c>
      <c r="U8" s="886">
        <v>2.5999999999999999E-3</v>
      </c>
      <c r="V8" s="886">
        <v>1.7600000000000001E-2</v>
      </c>
      <c r="W8" s="886">
        <v>5.4000000000000003E-3</v>
      </c>
      <c r="X8" s="886">
        <v>-4.3E-3</v>
      </c>
      <c r="Y8" s="886">
        <v>1.24E-2</v>
      </c>
      <c r="Z8" s="886">
        <v>3.1E-2</v>
      </c>
      <c r="AA8" s="886">
        <v>2.0400000000000001E-2</v>
      </c>
      <c r="AB8" s="886">
        <v>1.67E-2</v>
      </c>
      <c r="AC8" s="886">
        <v>2.9900000000000003E-2</v>
      </c>
      <c r="AD8" s="886">
        <v>2.9300000000000003E-2</v>
      </c>
      <c r="AE8" s="886">
        <v>3.2199999999999999E-2</v>
      </c>
      <c r="AF8" s="886">
        <v>2.2000000000000002E-2</v>
      </c>
      <c r="AG8" s="886">
        <v>-1.3299999999999999E-2</v>
      </c>
      <c r="AH8" s="886">
        <v>1.6200000000000003E-2</v>
      </c>
      <c r="AI8" s="1327">
        <f>+[2]Planilha1!AT7</f>
        <v>2.0799999999999999E-2</v>
      </c>
      <c r="AJ8" s="1327">
        <f>+[2]Planilha1!AU7</f>
        <v>7.6E-3</v>
      </c>
      <c r="AK8" s="1327">
        <f>+[2]Planilha1!AV7</f>
        <v>6.0999999999999995E-3</v>
      </c>
      <c r="AL8" s="1327">
        <f>+[2]Planilha1!AW7</f>
        <v>1.2E-2</v>
      </c>
      <c r="AM8" s="1327">
        <f>+[2]Planilha1!AX7</f>
        <v>1.4154915775999921E-2</v>
      </c>
      <c r="AN8" s="1327">
        <f>+[2]Planilha1!AY7</f>
        <v>1.0535156707999871E-2</v>
      </c>
      <c r="AO8" s="1327">
        <f>+[2]Planilha1!AZ7</f>
        <v>6.2002865600001567E-3</v>
      </c>
      <c r="AP8" s="1327">
        <f>+[2]Planilha1!BA7</f>
        <v>1.4771353568000301E-2</v>
      </c>
      <c r="AQ8" s="1327">
        <f>+[2]Planilha1!BB7</f>
        <v>2.0403397376000054E-2</v>
      </c>
      <c r="AR8" s="1327">
        <f>+[2]Planilha1!BC7</f>
        <v>9.327766831999762E-3</v>
      </c>
      <c r="AS8" s="1327">
        <f>+[2]Planilha1!BD7</f>
        <v>6.3043262719999493E-3</v>
      </c>
      <c r="AT8" s="1327">
        <f>+[2]Planilha1!BE7</f>
        <v>6.0105353459998234E-3</v>
      </c>
      <c r="AU8" s="1327">
        <f>+[2]Planilha1!BF7</f>
        <v>1.4E-2</v>
      </c>
      <c r="AV8" s="1327">
        <f>+[2]Planilha1!BG7</f>
        <v>7.4999999999999997E-3</v>
      </c>
      <c r="AW8" s="1327">
        <f>+[2]Planilha1!BH7</f>
        <v>6.0000000000000001E-3</v>
      </c>
      <c r="AX8" s="1327">
        <f>+[2]Planilha1!BI7</f>
        <v>1.15E-2</v>
      </c>
      <c r="AY8" s="1327"/>
      <c r="AZ8" s="1327"/>
      <c r="BA8" s="1327"/>
      <c r="BB8" s="1327"/>
      <c r="BC8" s="888">
        <v>6.4100000000000004E-2</v>
      </c>
      <c r="BD8" s="888">
        <v>0.1067</v>
      </c>
      <c r="BE8" s="888">
        <v>6.2665012362475903E-2</v>
      </c>
      <c r="BF8" s="888">
        <v>2.9473499083459087E-2</v>
      </c>
      <c r="BG8" s="888">
        <v>3.0601831439692972E-2</v>
      </c>
      <c r="BH8" s="888">
        <v>4.2901847469440035E-2</v>
      </c>
      <c r="BI8" s="888">
        <v>4.4908326166231971E-2</v>
      </c>
      <c r="BJ8" s="888">
        <v>9.9766038912527666E-2</v>
      </c>
      <c r="BK8" s="888">
        <v>5.7740343796135907E-2</v>
      </c>
      <c r="BL8" s="167">
        <f>+[2]Planilha1!BU7</f>
        <v>4.7250271699456059E-2</v>
      </c>
      <c r="BM8" s="167">
        <f>+[2]Planilha1!BV7</f>
        <v>4.6425617126184315E-2</v>
      </c>
      <c r="BN8" s="167">
        <f>+[2]Planilha1!BW7</f>
        <v>4.2643849045688853E-2</v>
      </c>
      <c r="BO8" s="167">
        <f>+[2]Planilha1!BX7</f>
        <v>3.9553578245000276E-2</v>
      </c>
      <c r="BP8" s="167">
        <f>+[2]Planilha1!BY7</f>
        <v>4.2500000000000003E-2</v>
      </c>
      <c r="BQ8" s="167">
        <f>+[2]Planilha1!BZ7</f>
        <v>0.04</v>
      </c>
      <c r="BR8" s="167">
        <f>+[2]Planilha1!CA7</f>
        <v>0.04</v>
      </c>
      <c r="BS8" s="167">
        <f>+[2]Planilha1!CB7</f>
        <v>0.04</v>
      </c>
    </row>
    <row r="9" spans="2:71" ht="15.75">
      <c r="B9" s="165" t="s">
        <v>866</v>
      </c>
      <c r="C9" s="166">
        <v>1.5625E-2</v>
      </c>
      <c r="D9" s="166">
        <v>1.5625E-2</v>
      </c>
      <c r="E9" s="166">
        <v>1.5625E-2</v>
      </c>
      <c r="F9" s="166">
        <v>1.5625E-2</v>
      </c>
      <c r="G9" s="166">
        <v>1.8749999999999999E-2</v>
      </c>
      <c r="H9" s="166">
        <v>1.8749999999999999E-2</v>
      </c>
      <c r="I9" s="166">
        <v>1.8749999999999999E-2</v>
      </c>
      <c r="J9" s="166">
        <v>1.8749999999999999E-2</v>
      </c>
      <c r="K9" s="166">
        <v>1.7812500000000002E-2</v>
      </c>
      <c r="L9" s="166">
        <v>1.7500000000000002E-2</v>
      </c>
      <c r="M9" s="166">
        <v>1.7500000000000002E-2</v>
      </c>
      <c r="N9" s="886">
        <v>1.7500000000000002E-2</v>
      </c>
      <c r="O9" s="886">
        <v>1.6875000000000001E-2</v>
      </c>
      <c r="P9" s="886">
        <v>1.6500000000000001E-2</v>
      </c>
      <c r="Q9" s="886">
        <v>1.6399999999999998E-2</v>
      </c>
      <c r="R9" s="886">
        <v>1.745E-2</v>
      </c>
      <c r="S9" s="886">
        <v>1.7575E-2</v>
      </c>
      <c r="T9" s="886">
        <v>1.5650000000000001E-2</v>
      </c>
      <c r="U9" s="886">
        <v>1.4875000000000001E-2</v>
      </c>
      <c r="V9" s="886">
        <v>1.375E-2</v>
      </c>
      <c r="W9" s="886">
        <v>1.2749999999999999E-2</v>
      </c>
      <c r="X9" s="886">
        <v>1.2350000000000002E-2</v>
      </c>
      <c r="Y9" s="886">
        <v>1.2275000000000001E-2</v>
      </c>
      <c r="Z9" s="886">
        <v>1.1375E-2</v>
      </c>
      <c r="AA9" s="886">
        <v>1.0974999999999999E-2</v>
      </c>
      <c r="AB9" s="886">
        <v>1.1525000000000001E-2</v>
      </c>
      <c r="AC9" s="886">
        <v>1.2199999999999999E-2</v>
      </c>
      <c r="AD9" s="886">
        <v>1.3300000000000001E-2</v>
      </c>
      <c r="AE9" s="886">
        <v>1.5175000000000001E-2</v>
      </c>
      <c r="AF9" s="886">
        <v>1.7049999999999999E-2</v>
      </c>
      <c r="AG9" s="886">
        <v>1.7524999999999999E-2</v>
      </c>
      <c r="AH9" s="886">
        <v>1.8000000000000002E-2</v>
      </c>
      <c r="AI9" s="1327">
        <f>+[2]Planilha1!AT8</f>
        <v>1.8425E-2</v>
      </c>
      <c r="AJ9" s="1327">
        <f>+[2]Planilha1!AU8</f>
        <v>1.8200000000000001E-2</v>
      </c>
      <c r="AK9" s="1327">
        <f>+[2]Planilha1!AV8</f>
        <v>1.7500000000000002E-2</v>
      </c>
      <c r="AL9" s="1327">
        <f>+[2]Planilha1!AW8</f>
        <v>1.6375000000000001E-2</v>
      </c>
      <c r="AM9" s="1327">
        <f>+[2]Planilha1!AX8</f>
        <v>1.6324999999999999E-2</v>
      </c>
      <c r="AN9" s="1327">
        <f>+[2]Planilha1!AY8</f>
        <v>1.6674999999999999E-2</v>
      </c>
      <c r="AO9" s="1327">
        <f>+[2]Planilha1!AZ8</f>
        <v>1.7274999999999999E-2</v>
      </c>
      <c r="AP9" s="1327">
        <f>+[2]Planilha1!BA8</f>
        <v>1.8574999999999998E-2</v>
      </c>
      <c r="AQ9" s="1327">
        <f>+[2]Planilha1!BB8</f>
        <v>1.9924999999999998E-2</v>
      </c>
      <c r="AR9" s="1327">
        <f>+[2]Planilha1!BC8</f>
        <v>2.1625000000000002E-2</v>
      </c>
      <c r="AS9" s="1327">
        <f>+[2]Planilha1!BD8</f>
        <v>2.2400000000000003E-2</v>
      </c>
      <c r="AT9" s="1327">
        <f>+[2]Planilha1!BE8</f>
        <v>2.2400000000000003E-2</v>
      </c>
      <c r="AU9" s="1327">
        <f>+[2]Planilha1!BF8</f>
        <v>1.7999999999999999E-2</v>
      </c>
      <c r="AV9" s="1327">
        <f>+[2]Planilha1!BG8</f>
        <v>1.7999999999999999E-2</v>
      </c>
      <c r="AW9" s="1327">
        <f>+[2]Planilha1!BH8</f>
        <v>1.7999999999999999E-2</v>
      </c>
      <c r="AX9" s="1327">
        <f>+[2]Planilha1!BI8</f>
        <v>1.7999999999999999E-2</v>
      </c>
      <c r="AY9" s="1327"/>
      <c r="AZ9" s="1327"/>
      <c r="BA9" s="1327"/>
      <c r="BB9" s="1327"/>
      <c r="BC9" s="888">
        <v>0.05</v>
      </c>
      <c r="BD9" s="888">
        <v>6.25E-2</v>
      </c>
      <c r="BE9" s="888">
        <v>7.4999999999999997E-2</v>
      </c>
      <c r="BF9" s="888">
        <v>7.1250000000000008E-2</v>
      </c>
      <c r="BG9" s="888">
        <v>6.7500000000000004E-2</v>
      </c>
      <c r="BH9" s="888">
        <v>6.1850000000000002E-2</v>
      </c>
      <c r="BI9" s="888">
        <v>4.8750000000000002E-2</v>
      </c>
      <c r="BJ9" s="888">
        <v>4.7999999999999994E-2</v>
      </c>
      <c r="BK9" s="888">
        <v>6.7750000000000005E-2</v>
      </c>
      <c r="BL9" s="167">
        <f>+[2]Planilha1!BU8</f>
        <v>7.0500000000000007E-2</v>
      </c>
      <c r="BM9" s="167">
        <f>+[2]Planilha1!BV8</f>
        <v>6.8849999999999995E-2</v>
      </c>
      <c r="BN9" s="167">
        <f>+[2]Planilha1!BW8</f>
        <v>8.635000000000001E-2</v>
      </c>
      <c r="BO9" s="167">
        <f>+[2]Planilha1!BX8</f>
        <v>7.1999999999999995E-2</v>
      </c>
      <c r="BP9" s="167">
        <f>+[2]Planilha1!BY8</f>
        <v>7.0000000000000007E-2</v>
      </c>
      <c r="BQ9" s="167">
        <f>+[2]Planilha1!BZ8</f>
        <v>7.0000000000000007E-2</v>
      </c>
      <c r="BR9" s="167">
        <f>+[2]Planilha1!CA8</f>
        <v>7.0000000000000007E-2</v>
      </c>
      <c r="BS9" s="167">
        <f>+[2]Planilha1!CB8</f>
        <v>7.0000000000000007E-2</v>
      </c>
    </row>
    <row r="10" spans="2:71" ht="15.75">
      <c r="B10" s="165" t="s">
        <v>867</v>
      </c>
      <c r="C10" s="166">
        <v>9.8534065489688238E-3</v>
      </c>
      <c r="D10" s="166">
        <v>9.8534065489688238E-3</v>
      </c>
      <c r="E10" s="166">
        <v>9.8534065489688238E-3</v>
      </c>
      <c r="F10" s="166">
        <v>9.8534065489688238E-3</v>
      </c>
      <c r="G10" s="166">
        <v>0.01</v>
      </c>
      <c r="H10" s="166">
        <v>0.01</v>
      </c>
      <c r="I10" s="166">
        <v>0.01</v>
      </c>
      <c r="J10" s="166">
        <v>0.01</v>
      </c>
      <c r="K10" s="166">
        <v>1.7475399999999999E-2</v>
      </c>
      <c r="L10" s="166">
        <v>1.7522300000000001E-2</v>
      </c>
      <c r="M10" s="166">
        <v>1.7347999999999999E-2</v>
      </c>
      <c r="N10" s="886">
        <v>1.9140999999999998E-2</v>
      </c>
      <c r="O10" s="886">
        <v>2.2499999999999999E-2</v>
      </c>
      <c r="P10" s="886">
        <v>2.35E-2</v>
      </c>
      <c r="Q10" s="886">
        <v>2.39838E-2</v>
      </c>
      <c r="R10" s="886">
        <v>2.6196199999999999E-2</v>
      </c>
      <c r="S10" s="886">
        <v>2.6870600000000001E-2</v>
      </c>
      <c r="T10" s="886">
        <v>2.5066600000000001E-2</v>
      </c>
      <c r="U10" s="886">
        <v>0.02</v>
      </c>
      <c r="V10" s="886">
        <v>1.9E-2</v>
      </c>
      <c r="W10" s="886">
        <v>1.7999999999999999E-2</v>
      </c>
      <c r="X10" s="886">
        <v>1.7999999999999999E-2</v>
      </c>
      <c r="Y10" s="886">
        <v>1.7999999999999999E-2</v>
      </c>
      <c r="Z10" s="886">
        <v>1.7999999999999999E-2</v>
      </c>
      <c r="AA10" s="886">
        <v>1.7999999999999999E-2</v>
      </c>
      <c r="AB10" s="886">
        <v>1.7999999999999999E-2</v>
      </c>
      <c r="AC10" s="886">
        <v>1.7999999999999999E-2</v>
      </c>
      <c r="AD10" s="886">
        <v>1.7999999999999999E-2</v>
      </c>
      <c r="AE10" s="886">
        <v>5.1998000000000001E-3</v>
      </c>
      <c r="AF10" s="886">
        <v>1.5346800000000001E-2</v>
      </c>
      <c r="AG10" s="886">
        <v>0.03</v>
      </c>
      <c r="AH10" s="886">
        <v>4.49694E-2</v>
      </c>
      <c r="AI10" s="1327">
        <f>+[2]Planilha1!AT9</f>
        <v>4.9099999999999998E-2</v>
      </c>
      <c r="AJ10" s="1327">
        <f>+[2]Planilha1!AU9</f>
        <v>5.3931600000000003E-2</v>
      </c>
      <c r="AK10" s="1327">
        <f>+[2]Planilha1!AV9</f>
        <v>5.6296300000000001E-2</v>
      </c>
      <c r="AL10" s="1327">
        <f>+[2]Planilha1!AW9</f>
        <v>5.6440700000000003E-2</v>
      </c>
      <c r="AM10" s="1327">
        <f>+[2]Planilha1!AX9</f>
        <v>5.5808900000000002E-2</v>
      </c>
      <c r="AN10" s="1327">
        <f>+[2]Planilha1!AY9</f>
        <v>5.5899999999999998E-2</v>
      </c>
      <c r="AO10" s="1327">
        <f>+[2]Planilha1!AZ9</f>
        <v>5.0900000000000001E-2</v>
      </c>
      <c r="AP10" s="1327">
        <f>+[2]Planilha1!BA9</f>
        <v>5.33E-2</v>
      </c>
      <c r="AQ10" s="1327">
        <f>+[2]Planilha1!BB9</f>
        <v>4.3299999999999998E-2</v>
      </c>
      <c r="AR10" s="1327">
        <f>+[2]Planilha1!BC9</f>
        <v>4.3200000000000002E-2</v>
      </c>
      <c r="AS10" s="1327">
        <f>+[2]Planilha1!BD9</f>
        <v>4.3200000000000002E-2</v>
      </c>
      <c r="AT10" s="1327">
        <f>+[2]Planilha1!BE9</f>
        <v>4.3200000000000002E-2</v>
      </c>
      <c r="AU10" s="1327">
        <f>+[2]Planilha1!BF9</f>
        <v>4.3200000000000002E-2</v>
      </c>
      <c r="AV10" s="1327">
        <f>+[2]Planilha1!BG9</f>
        <v>4.3200000000000002E-2</v>
      </c>
      <c r="AW10" s="1327">
        <f>+[2]Planilha1!BH9</f>
        <v>4.3200000000000002E-2</v>
      </c>
      <c r="AX10" s="1327">
        <f>+[2]Planilha1!BI9</f>
        <v>4.3200000000000002E-2</v>
      </c>
      <c r="AY10" s="1327"/>
      <c r="AZ10" s="1327"/>
      <c r="BA10" s="1327"/>
      <c r="BB10" s="1327"/>
      <c r="BC10" s="888">
        <v>0</v>
      </c>
      <c r="BD10" s="888">
        <v>9.9633516372422074E-3</v>
      </c>
      <c r="BE10" s="888">
        <v>0.01</v>
      </c>
      <c r="BF10" s="888">
        <v>1.7871674999999997E-2</v>
      </c>
      <c r="BG10" s="888">
        <v>2.4045E-2</v>
      </c>
      <c r="BH10" s="888">
        <v>2.2734300000000002E-2</v>
      </c>
      <c r="BI10" s="888">
        <v>1.7999999999999999E-2</v>
      </c>
      <c r="BJ10" s="888">
        <v>1.7999999999999999E-2</v>
      </c>
      <c r="BK10" s="888">
        <v>2.3878999999999997E-2</v>
      </c>
      <c r="BL10" s="167">
        <f>+[2]Planilha1!BU9</f>
        <v>5.3942150000000001E-2</v>
      </c>
      <c r="BM10" s="167">
        <f>+[2]Planilha1!BV9</f>
        <v>5.3977225000000004E-2</v>
      </c>
      <c r="BN10" s="167">
        <f>+[2]Planilha1!BW9</f>
        <v>4.3225E-2</v>
      </c>
      <c r="BO10" s="167">
        <f>+[2]Planilha1!BX9</f>
        <v>4.3200000000000002E-2</v>
      </c>
      <c r="BP10" s="167">
        <f>+[2]Planilha1!BY9</f>
        <v>4.3200000000000002E-2</v>
      </c>
      <c r="BQ10" s="167">
        <f>+[2]Planilha1!BZ9</f>
        <v>4.3200000000000002E-2</v>
      </c>
      <c r="BR10" s="167">
        <f>+[2]Planilha1!CA9</f>
        <v>4.3200000000000002E-2</v>
      </c>
      <c r="BS10" s="167">
        <f>+[2]Planilha1!CB9</f>
        <v>4.3200000000000002E-2</v>
      </c>
    </row>
    <row r="11" spans="2:71" ht="15.75">
      <c r="B11" s="165" t="s">
        <v>868</v>
      </c>
      <c r="C11" s="166">
        <v>-1.6199999999999999E-2</v>
      </c>
      <c r="D11" s="166">
        <v>-2.7400000000000001E-2</v>
      </c>
      <c r="E11" s="166">
        <v>-4.2599999999999999E-2</v>
      </c>
      <c r="F11" s="166">
        <v>-5.5199999999999999E-2</v>
      </c>
      <c r="G11" s="166">
        <v>-5.1400000000000001E-2</v>
      </c>
      <c r="H11" s="166">
        <v>-3.2399999999999998E-2</v>
      </c>
      <c r="I11" s="166">
        <v>-2.4500000000000001E-2</v>
      </c>
      <c r="J11" s="166">
        <v>-2.2100000000000002E-2</v>
      </c>
      <c r="K11" s="166">
        <v>3.8999999999999998E-3</v>
      </c>
      <c r="L11" s="166">
        <v>8.8000000000000005E-3</v>
      </c>
      <c r="M11" s="166">
        <v>1.6299999999999999E-2</v>
      </c>
      <c r="N11" s="886">
        <v>2.3800000000000002E-2</v>
      </c>
      <c r="O11" s="886">
        <v>1.4500000000000001E-2</v>
      </c>
      <c r="P11" s="886">
        <v>1.0500000000000001E-2</v>
      </c>
      <c r="Q11" s="886">
        <v>1.54E-2</v>
      </c>
      <c r="R11" s="886">
        <v>1.2200000000000001E-2</v>
      </c>
      <c r="S11" s="886">
        <v>1.1900000000000001E-2</v>
      </c>
      <c r="T11" s="886">
        <v>1.49E-2</v>
      </c>
      <c r="U11" s="886">
        <v>1.3299999999999999E-2</v>
      </c>
      <c r="V11" s="886">
        <v>1.6400000000000001E-2</v>
      </c>
      <c r="W11" s="886">
        <v>-1.2999999999999999E-3</v>
      </c>
      <c r="X11" s="886">
        <v>-0.10730000000000001</v>
      </c>
      <c r="Y11" s="886">
        <v>-3.6999999999999998E-2</v>
      </c>
      <c r="Z11" s="886">
        <v>-9.2999999999999992E-3</v>
      </c>
      <c r="AA11" s="886">
        <v>1.29E-2</v>
      </c>
      <c r="AB11" s="886">
        <v>0.1241</v>
      </c>
      <c r="AC11" s="886">
        <v>4.4299999999999999E-2</v>
      </c>
      <c r="AD11" s="886">
        <v>2.1399999999999999E-2</v>
      </c>
      <c r="AE11" s="886">
        <v>2.4299999999999999E-2</v>
      </c>
      <c r="AF11" s="886">
        <v>3.6900000000000002E-2</v>
      </c>
      <c r="AG11" s="886">
        <v>3.5799999999999998E-2</v>
      </c>
      <c r="AH11" s="886">
        <v>1.9099999999999999E-2</v>
      </c>
      <c r="AI11" s="1327">
        <f>+[2]Planilha1!AT10</f>
        <v>4.4400000000000002E-2</v>
      </c>
      <c r="AJ11" s="1327">
        <f>+[2]Planilha1!AU10</f>
        <v>3.85E-2</v>
      </c>
      <c r="AK11" s="1327">
        <f>+[2]Planilha1!AV10</f>
        <v>2.35E-2</v>
      </c>
      <c r="AL11" s="1327">
        <f>+[2]Planilha1!AW10</f>
        <v>2.3800000000000002E-2</v>
      </c>
      <c r="AM11" s="1327">
        <f>+[2]Planilha1!AX10</f>
        <v>2.5600000000000001E-2</v>
      </c>
      <c r="AN11" s="1327">
        <f>+[2]Planilha1!AY10</f>
        <v>3.3399999999999999E-2</v>
      </c>
      <c r="AO11" s="1327">
        <f>+[2]Planilha1!AZ10</f>
        <v>4.0500000000000001E-2</v>
      </c>
      <c r="AP11" s="1327">
        <f>+[2]Planilha1!BA10</f>
        <v>3.61E-2</v>
      </c>
      <c r="AQ11" s="1327">
        <f>+[2]Planilha1!BB10</f>
        <v>2.8500000000000001E-2</v>
      </c>
      <c r="AR11" s="1327">
        <f>+[2]Planilha1!BC10</f>
        <v>2.5000000000000001E-2</v>
      </c>
      <c r="AS11" s="1327">
        <f>+[2]Planilha1!BD10</f>
        <v>2.1999999999999999E-2</v>
      </c>
      <c r="AT11" s="1327">
        <f>+[2]Planilha1!BE10</f>
        <v>0.02</v>
      </c>
      <c r="AU11" s="1327">
        <f>+[2]Planilha1!BF10</f>
        <v>1.7999999999999999E-2</v>
      </c>
      <c r="AV11" s="1327">
        <f>+[2]Planilha1!BG10</f>
        <v>1.7999999999999999E-2</v>
      </c>
      <c r="AW11" s="1327">
        <f>+[2]Planilha1!BH10</f>
        <v>1.7999999999999999E-2</v>
      </c>
      <c r="AX11" s="1327">
        <f>+[2]Planilha1!BI10</f>
        <v>1.7999999999999999E-2</v>
      </c>
      <c r="AY11" s="1327"/>
      <c r="AZ11" s="1327"/>
      <c r="BA11" s="1327"/>
      <c r="BB11" s="1327"/>
      <c r="BC11" s="888">
        <v>0</v>
      </c>
      <c r="BD11" s="888">
        <v>-3.8399999999999997E-2</v>
      </c>
      <c r="BE11" s="888">
        <v>-3.2600000000000004E-2</v>
      </c>
      <c r="BF11" s="888">
        <v>1.32E-2</v>
      </c>
      <c r="BG11" s="888">
        <v>1.3150000000000002E-2</v>
      </c>
      <c r="BH11" s="888">
        <v>1.4124999999999999E-2</v>
      </c>
      <c r="BI11" s="888">
        <v>-3.8725000000000002E-2</v>
      </c>
      <c r="BJ11" s="888">
        <v>5.0675000000000005E-2</v>
      </c>
      <c r="BK11" s="888">
        <v>2.9025000000000002E-2</v>
      </c>
      <c r="BL11" s="167">
        <f>+[2]Planilha1!BU10</f>
        <v>3.2549999999999996E-2</v>
      </c>
      <c r="BM11" s="167">
        <f>+[2]Planilha1!BV10</f>
        <v>3.39E-2</v>
      </c>
      <c r="BN11" s="167">
        <f>+[2]Planilha1!BW10</f>
        <v>2.3875000000000004E-2</v>
      </c>
      <c r="BO11" s="167">
        <f>+[2]Planilha1!BX10</f>
        <v>1.7999999999999999E-2</v>
      </c>
      <c r="BP11" s="167">
        <f>+[2]Planilha1!BY10</f>
        <v>1.7500000000000002E-2</v>
      </c>
      <c r="BQ11" s="167">
        <f>+[2]Planilha1!BZ10</f>
        <v>0.02</v>
      </c>
      <c r="BR11" s="167">
        <f>+[2]Planilha1!CA10</f>
        <v>2.2499999999999999E-2</v>
      </c>
      <c r="BS11" s="167">
        <f>+[2]Planilha1!CB10</f>
        <v>2.2499999999999999E-2</v>
      </c>
    </row>
    <row r="12" spans="2:71" ht="15.75">
      <c r="B12" s="165" t="s">
        <v>92</v>
      </c>
      <c r="C12" s="166">
        <v>4.9629315732038215E-3</v>
      </c>
      <c r="D12" s="166">
        <v>4.9629315732038215E-3</v>
      </c>
      <c r="E12" s="166">
        <v>4.9629315732038215E-3</v>
      </c>
      <c r="F12" s="166">
        <v>4.9629315732038215E-3</v>
      </c>
      <c r="G12" s="166">
        <v>4.9629315732038215E-3</v>
      </c>
      <c r="H12" s="166">
        <v>4.9629315732038215E-3</v>
      </c>
      <c r="I12" s="166">
        <v>4.9629315732038215E-3</v>
      </c>
      <c r="J12" s="166">
        <v>4.9629315732038215E-3</v>
      </c>
      <c r="K12" s="166">
        <v>4.9629315732038215E-3</v>
      </c>
      <c r="L12" s="166">
        <v>4.9629315732038215E-3</v>
      </c>
      <c r="M12" s="166">
        <v>4.9629315732038215E-3</v>
      </c>
      <c r="N12" s="886">
        <v>4.9629315732038215E-3</v>
      </c>
      <c r="O12" s="886">
        <v>4.9629315732038215E-3</v>
      </c>
      <c r="P12" s="886">
        <v>4.9629315732038215E-3</v>
      </c>
      <c r="Q12" s="886">
        <v>4.9629315732038215E-3</v>
      </c>
      <c r="R12" s="886">
        <v>4.9629315732038215E-3</v>
      </c>
      <c r="S12" s="886">
        <v>4.9629315732038215E-3</v>
      </c>
      <c r="T12" s="886">
        <v>4.9629315732038215E-3</v>
      </c>
      <c r="U12" s="886">
        <v>4.9629315732038215E-3</v>
      </c>
      <c r="V12" s="886">
        <v>4.9629315732038215E-3</v>
      </c>
      <c r="W12" s="886">
        <v>4.9629315732038215E-3</v>
      </c>
      <c r="X12" s="886">
        <v>4.9629315732038215E-3</v>
      </c>
      <c r="Y12" s="886">
        <v>4.9629315732038215E-3</v>
      </c>
      <c r="Z12" s="886">
        <v>4.9629315732038215E-3</v>
      </c>
      <c r="AA12" s="886">
        <v>4.9629315732038215E-3</v>
      </c>
      <c r="AB12" s="886">
        <v>4.9629315732038215E-3</v>
      </c>
      <c r="AC12" s="886">
        <v>4.9629315732038215E-3</v>
      </c>
      <c r="AD12" s="886">
        <v>4.9629315732038215E-3</v>
      </c>
      <c r="AE12" s="886">
        <v>4.9629315732038215E-3</v>
      </c>
      <c r="AF12" s="886">
        <v>4.9629315732038215E-3</v>
      </c>
      <c r="AG12" s="886">
        <v>4.9629315732038215E-3</v>
      </c>
      <c r="AH12" s="886">
        <v>4.9629315732038215E-3</v>
      </c>
      <c r="AI12" s="1327">
        <f>+[2]Planilha1!AT11</f>
        <v>4.9629315732038215E-3</v>
      </c>
      <c r="AJ12" s="1327">
        <f>+[2]Planilha1!AU11</f>
        <v>4.9629315732038215E-3</v>
      </c>
      <c r="AK12" s="1327">
        <f>+[2]Planilha1!AV11</f>
        <v>4.9629315732038215E-3</v>
      </c>
      <c r="AL12" s="1327">
        <f>+[2]Planilha1!AW11</f>
        <v>4.9629315732038215E-3</v>
      </c>
      <c r="AM12" s="1327">
        <f>+[2]Planilha1!AX11</f>
        <v>4.9629315732038215E-3</v>
      </c>
      <c r="AN12" s="1327">
        <f>+[2]Planilha1!AY11</f>
        <v>4.9629315732038215E-3</v>
      </c>
      <c r="AO12" s="1327">
        <f>+[2]Planilha1!AZ11</f>
        <v>4.9629315732038215E-3</v>
      </c>
      <c r="AP12" s="1327">
        <f>+[2]Planilha1!BA11</f>
        <v>4.9629315732038215E-3</v>
      </c>
      <c r="AQ12" s="1327">
        <f>+[2]Planilha1!BB11</f>
        <v>4.9629315732038215E-3</v>
      </c>
      <c r="AR12" s="1327">
        <f>+[2]Planilha1!BC11</f>
        <v>4.9629315732038215E-3</v>
      </c>
      <c r="AS12" s="1327">
        <f>+[2]Planilha1!BD11</f>
        <v>4.9629315732038215E-3</v>
      </c>
      <c r="AT12" s="1327">
        <f>+[2]Planilha1!BE11</f>
        <v>4.9629315732038215E-3</v>
      </c>
      <c r="AU12" s="1327">
        <f>+[2]Planilha1!BF11</f>
        <v>4.9629315732038215E-3</v>
      </c>
      <c r="AV12" s="1327">
        <f>+[2]Planilha1!BG11</f>
        <v>4.9629315732038215E-3</v>
      </c>
      <c r="AW12" s="1327">
        <f>+[2]Planilha1!BH11</f>
        <v>4.9629315732038215E-3</v>
      </c>
      <c r="AX12" s="1327">
        <f>+[2]Planilha1!BI11</f>
        <v>4.9629315732038215E-3</v>
      </c>
      <c r="AY12" s="1327"/>
      <c r="AZ12" s="1327"/>
      <c r="BA12" s="1327"/>
      <c r="BB12" s="1327"/>
      <c r="BC12" s="888">
        <v>8.0000000000000002E-3</v>
      </c>
      <c r="BD12" s="888">
        <v>7.0000000000000001E-3</v>
      </c>
      <c r="BE12" s="888">
        <v>2.1000000000000001E-2</v>
      </c>
      <c r="BF12" s="888">
        <v>2.1000000000000001E-2</v>
      </c>
      <c r="BG12" s="888">
        <v>1.9E-2</v>
      </c>
      <c r="BH12" s="888">
        <v>2.3E-2</v>
      </c>
      <c r="BI12" s="888">
        <v>1.4E-2</v>
      </c>
      <c r="BJ12" s="888">
        <v>7.0000000000000007E-2</v>
      </c>
      <c r="BK12" s="888">
        <v>6.5000000000000002E-2</v>
      </c>
      <c r="BL12" s="167">
        <f>+[2]Planilha1!BU11</f>
        <v>2.5000000000000001E-2</v>
      </c>
      <c r="BM12" s="167">
        <f>+[2]Planilha1!BV11</f>
        <v>2.5000000000000001E-2</v>
      </c>
      <c r="BN12" s="167">
        <f>+[2]Planilha1!BW11</f>
        <v>2.5000000000000001E-2</v>
      </c>
      <c r="BO12" s="167">
        <f>+[2]Planilha1!BX11</f>
        <v>2.5000000000000001E-2</v>
      </c>
      <c r="BP12" s="167">
        <f>+[2]Planilha1!BY11</f>
        <v>2.5000000000000001E-2</v>
      </c>
      <c r="BQ12" s="167">
        <f>+[2]Planilha1!BZ11</f>
        <v>2.5000000000000001E-2</v>
      </c>
      <c r="BR12" s="167">
        <f>+[2]Planilha1!CA11</f>
        <v>2.5000000000000001E-2</v>
      </c>
      <c r="BS12" s="167">
        <f>+[2]Planilha1!CB11</f>
        <v>2.5000000000000001E-2</v>
      </c>
    </row>
    <row r="13" spans="2:71" ht="15.75">
      <c r="B13" s="161"/>
      <c r="C13" s="162"/>
      <c r="D13" s="162"/>
      <c r="E13" s="162"/>
      <c r="F13" s="162"/>
      <c r="G13" s="162"/>
      <c r="H13" s="162"/>
      <c r="I13" s="162"/>
      <c r="J13" s="162"/>
      <c r="K13" s="162"/>
      <c r="L13" s="162"/>
      <c r="M13" s="162"/>
      <c r="N13" s="885"/>
      <c r="O13" s="885"/>
      <c r="P13" s="885"/>
      <c r="Q13" s="885"/>
      <c r="R13" s="885"/>
      <c r="S13" s="885"/>
      <c r="T13" s="885"/>
      <c r="U13" s="885"/>
      <c r="V13" s="885"/>
      <c r="W13" s="885"/>
      <c r="X13" s="885"/>
      <c r="Y13" s="885"/>
      <c r="Z13" s="885"/>
      <c r="AA13" s="885"/>
      <c r="AB13" s="885"/>
      <c r="AC13" s="885"/>
      <c r="AD13" s="885"/>
      <c r="AE13" s="885"/>
      <c r="AF13" s="885"/>
      <c r="AG13" s="885"/>
      <c r="AH13" s="885"/>
      <c r="AI13" s="885"/>
      <c r="AJ13" s="885"/>
      <c r="AK13" s="885"/>
      <c r="AL13" s="885"/>
      <c r="AM13" s="885"/>
      <c r="AN13" s="885"/>
      <c r="AO13" s="885"/>
      <c r="AP13" s="885"/>
      <c r="AQ13" s="885"/>
      <c r="AR13" s="885"/>
      <c r="AS13" s="885"/>
      <c r="AT13" s="885"/>
      <c r="AU13" s="163"/>
      <c r="AV13" s="163"/>
      <c r="AW13" s="163"/>
      <c r="AX13" s="162"/>
      <c r="AY13" s="162"/>
      <c r="AZ13" s="162"/>
      <c r="BA13" s="162"/>
      <c r="BB13" s="162"/>
      <c r="BC13" s="162"/>
      <c r="BD13" s="162"/>
      <c r="BE13" s="162"/>
      <c r="BF13" s="162"/>
      <c r="BG13" s="162"/>
      <c r="BH13" s="885"/>
      <c r="BI13" s="885"/>
      <c r="BJ13" s="885"/>
      <c r="BK13" s="163"/>
      <c r="BL13" s="163"/>
      <c r="BM13" s="163"/>
      <c r="BN13" s="163"/>
      <c r="BO13" s="163"/>
      <c r="BP13" s="163"/>
    </row>
    <row r="14" spans="2:71" s="171" customFormat="1" ht="15.75">
      <c r="B14" s="175" t="s">
        <v>371</v>
      </c>
      <c r="C14" s="440" t="e">
        <f>+C3/#REF!-1</f>
        <v>#REF!</v>
      </c>
      <c r="D14" s="440">
        <f t="shared" ref="D14:AL14" si="1">+D3/C3-1</f>
        <v>6.8720626631853854E-2</v>
      </c>
      <c r="E14" s="440">
        <f t="shared" si="1"/>
        <v>0.14987458874881909</v>
      </c>
      <c r="F14" s="440">
        <f t="shared" si="1"/>
        <v>8.9150141643059566E-2</v>
      </c>
      <c r="G14" s="440">
        <f t="shared" si="1"/>
        <v>1.4097328790282582E-2</v>
      </c>
      <c r="H14" s="440">
        <f t="shared" si="1"/>
        <v>-0.10225961168534714</v>
      </c>
      <c r="I14" s="440">
        <f t="shared" si="1"/>
        <v>-7.2481572481572387E-2</v>
      </c>
      <c r="J14" s="440">
        <f t="shared" si="1"/>
        <v>1.4631141229015876E-2</v>
      </c>
      <c r="K14" s="440">
        <f t="shared" si="1"/>
        <v>-4.5476624165148749E-2</v>
      </c>
      <c r="L14" s="440">
        <f t="shared" si="1"/>
        <v>2.3344570956046029E-2</v>
      </c>
      <c r="M14" s="440">
        <f t="shared" si="1"/>
        <v>-1.6938090502237713E-2</v>
      </c>
      <c r="N14" s="440">
        <f t="shared" si="1"/>
        <v>2.7599506812936658E-2</v>
      </c>
      <c r="O14" s="440">
        <f t="shared" si="1"/>
        <v>-2.4304700959880687E-3</v>
      </c>
      <c r="P14" s="440">
        <f t="shared" si="1"/>
        <v>0.11296838858905156</v>
      </c>
      <c r="Q14" s="440">
        <f t="shared" si="1"/>
        <v>9.3937042784304925E-2</v>
      </c>
      <c r="R14" s="440">
        <f t="shared" si="1"/>
        <v>-3.4500227975074793E-2</v>
      </c>
      <c r="S14" s="440">
        <f t="shared" si="1"/>
        <v>-1.1989715604995288E-2</v>
      </c>
      <c r="T14" s="440">
        <f t="shared" si="1"/>
        <v>4.1344698478451569E-2</v>
      </c>
      <c r="U14" s="440">
        <f t="shared" si="1"/>
        <v>1.2953896368828932E-2</v>
      </c>
      <c r="V14" s="440">
        <f t="shared" si="1"/>
        <v>3.6325646964051828E-2</v>
      </c>
      <c r="W14" s="440">
        <f t="shared" si="1"/>
        <v>8.6452741273350009E-2</v>
      </c>
      <c r="X14" s="440">
        <f t="shared" si="1"/>
        <v>0.20413182488932624</v>
      </c>
      <c r="Y14" s="440">
        <f t="shared" si="1"/>
        <v>-1.0026737967914201E-3</v>
      </c>
      <c r="Z14" s="440">
        <f t="shared" si="1"/>
        <v>2.8623471246420618E-3</v>
      </c>
      <c r="AA14" s="440">
        <f t="shared" si="1"/>
        <v>1.6550522648083543E-2</v>
      </c>
      <c r="AB14" s="440">
        <f t="shared" si="1"/>
        <v>-3.487757297307148E-2</v>
      </c>
      <c r="AC14" s="440">
        <f t="shared" si="1"/>
        <v>-1.1580021157624132E-2</v>
      </c>
      <c r="AD14" s="440">
        <f t="shared" si="1"/>
        <v>6.7465550522714635E-2</v>
      </c>
      <c r="AE14" s="440">
        <f t="shared" si="1"/>
        <v>-6.450862084400133E-2</v>
      </c>
      <c r="AF14" s="440">
        <f t="shared" si="1"/>
        <v>-5.6956937799043095E-2</v>
      </c>
      <c r="AG14" s="440">
        <f t="shared" si="1"/>
        <v>6.5470633599870265E-2</v>
      </c>
      <c r="AH14" s="440">
        <f t="shared" si="1"/>
        <v>2.5142857142856911E-3</v>
      </c>
      <c r="AI14" s="440">
        <f t="shared" si="1"/>
        <v>-1.3964888280893817E-2</v>
      </c>
      <c r="AJ14" s="440">
        <f t="shared" si="1"/>
        <v>-4.7575004335510762E-2</v>
      </c>
      <c r="AK14" s="440">
        <f t="shared" si="1"/>
        <v>-1.1693776806668388E-2</v>
      </c>
      <c r="AL14" s="440">
        <f t="shared" si="1"/>
        <v>1.4493346980552824E-2</v>
      </c>
      <c r="AM14" s="440">
        <f t="shared" ref="AM14:AT14" si="2">+AM3/AL3-1</f>
        <v>-8.6767020460865041E-4</v>
      </c>
      <c r="AN14" s="440">
        <f t="shared" si="2"/>
        <v>4.0896697970312035E-2</v>
      </c>
      <c r="AO14" s="440">
        <f t="shared" si="2"/>
        <v>7.6115638339153913E-2</v>
      </c>
      <c r="AP14" s="440">
        <f t="shared" si="2"/>
        <v>5.2034689793195588E-2</v>
      </c>
      <c r="AQ14" s="440">
        <f t="shared" si="2"/>
        <v>2.5878763989100051E-3</v>
      </c>
      <c r="AR14" s="440">
        <f t="shared" si="2"/>
        <v>-3.4188034188034067E-2</v>
      </c>
      <c r="AS14" s="440">
        <f t="shared" si="2"/>
        <v>-3.552212389380538E-2</v>
      </c>
      <c r="AT14" s="440">
        <f t="shared" si="2"/>
        <v>-9.5608610280220052E-3</v>
      </c>
      <c r="AU14" s="440"/>
      <c r="AV14" s="440"/>
      <c r="AW14" s="440"/>
      <c r="AX14" s="457"/>
      <c r="AY14" s="457"/>
      <c r="AZ14" s="457"/>
      <c r="BA14" s="457"/>
      <c r="BB14" s="457"/>
    </row>
    <row r="15" spans="2:71" s="171" customFormat="1" ht="15.75">
      <c r="B15" s="175" t="s">
        <v>372</v>
      </c>
      <c r="C15" s="440" t="e">
        <f>+(C3)/(#REF!)-1</f>
        <v>#REF!</v>
      </c>
      <c r="D15" s="440" t="e">
        <f>+(D3)/(#REF!)-1</f>
        <v>#REF!</v>
      </c>
      <c r="E15" s="440" t="e">
        <f>+(E3)/(#REF!)-1</f>
        <v>#REF!</v>
      </c>
      <c r="F15" s="440" t="e">
        <f>+(F3)/(#REF!)-1</f>
        <v>#REF!</v>
      </c>
      <c r="G15" s="440">
        <f t="shared" ref="G15:AL15" si="3">+(G3)/(C3)-1</f>
        <v>0.35731940818102692</v>
      </c>
      <c r="H15" s="440">
        <f t="shared" si="3"/>
        <v>0.14016743216391414</v>
      </c>
      <c r="I15" s="440">
        <f t="shared" si="3"/>
        <v>-8.0311614730878111E-2</v>
      </c>
      <c r="J15" s="440">
        <f t="shared" si="3"/>
        <v>-0.14323614326215306</v>
      </c>
      <c r="K15" s="440">
        <f t="shared" si="3"/>
        <v>-0.19356741645079378</v>
      </c>
      <c r="L15" s="440">
        <f t="shared" si="3"/>
        <v>-8.0738243528941211E-2</v>
      </c>
      <c r="M15" s="440">
        <f t="shared" si="3"/>
        <v>-2.5689203757893186E-2</v>
      </c>
      <c r="N15" s="440">
        <f t="shared" si="3"/>
        <v>-1.3236187006678835E-2</v>
      </c>
      <c r="O15" s="440">
        <f t="shared" si="3"/>
        <v>3.1263914509255253E-2</v>
      </c>
      <c r="P15" s="440">
        <f t="shared" si="3"/>
        <v>0.12158130283441082</v>
      </c>
      <c r="Q15" s="440">
        <f t="shared" si="3"/>
        <v>0.24807941576301729</v>
      </c>
      <c r="R15" s="440">
        <f t="shared" si="3"/>
        <v>0.1726556731479203</v>
      </c>
      <c r="S15" s="440">
        <f t="shared" si="3"/>
        <v>0.16141865844255965</v>
      </c>
      <c r="T15" s="440">
        <f t="shared" si="3"/>
        <v>8.6677011749057842E-2</v>
      </c>
      <c r="U15" s="440">
        <f t="shared" si="3"/>
        <v>6.2313187091544986E-3</v>
      </c>
      <c r="V15" s="440">
        <f t="shared" si="3"/>
        <v>8.0045125406653428E-2</v>
      </c>
      <c r="W15" s="440">
        <f t="shared" si="3"/>
        <v>0.18765766483443547</v>
      </c>
      <c r="X15" s="440">
        <f t="shared" si="3"/>
        <v>0.37331701346389234</v>
      </c>
      <c r="Y15" s="440">
        <f t="shared" si="3"/>
        <v>0.3543953277615548</v>
      </c>
      <c r="Z15" s="440">
        <f t="shared" si="3"/>
        <v>0.31066145213399077</v>
      </c>
      <c r="AA15" s="440">
        <f t="shared" si="3"/>
        <v>0.22633367616151667</v>
      </c>
      <c r="AB15" s="440">
        <f t="shared" si="3"/>
        <v>-1.7082590612002457E-2</v>
      </c>
      <c r="AC15" s="440">
        <f t="shared" si="3"/>
        <v>-2.7489684398349534E-2</v>
      </c>
      <c r="AD15" s="440">
        <f t="shared" si="3"/>
        <v>3.5158277114686109E-2</v>
      </c>
      <c r="AE15" s="440">
        <f t="shared" si="3"/>
        <v>-4.7384637823843612E-2</v>
      </c>
      <c r="AF15" s="440">
        <f t="shared" si="3"/>
        <v>-6.9177875170016612E-2</v>
      </c>
      <c r="AG15" s="440">
        <f t="shared" si="3"/>
        <v>3.3828335531218556E-3</v>
      </c>
      <c r="AH15" s="440">
        <f t="shared" si="3"/>
        <v>-5.7669238894956343E-2</v>
      </c>
      <c r="AI15" s="440">
        <f t="shared" si="3"/>
        <v>-6.7559808612439598E-3</v>
      </c>
      <c r="AJ15" s="440">
        <f t="shared" si="3"/>
        <v>3.1253805252264844E-3</v>
      </c>
      <c r="AK15" s="440">
        <f t="shared" si="3"/>
        <v>-6.9523809523809543E-2</v>
      </c>
      <c r="AL15" s="440">
        <f t="shared" si="3"/>
        <v>-5.840553275573801E-2</v>
      </c>
      <c r="AM15" s="440">
        <f t="shared" ref="AM15:AT15" si="4">+(AM3)/(AI3)-1</f>
        <v>-4.5898606855887647E-2</v>
      </c>
      <c r="AN15" s="440">
        <f t="shared" si="4"/>
        <v>4.2728817674192676E-2</v>
      </c>
      <c r="AO15" s="440">
        <f t="shared" si="4"/>
        <v>0.13537359263050153</v>
      </c>
      <c r="AP15" s="440">
        <f t="shared" si="4"/>
        <v>0.17738811090035922</v>
      </c>
      <c r="AQ15" s="440">
        <f t="shared" si="4"/>
        <v>0.18146016358679184</v>
      </c>
      <c r="AR15" s="440">
        <f t="shared" si="4"/>
        <v>9.6235933255723882E-2</v>
      </c>
      <c r="AS15" s="440">
        <f t="shared" si="4"/>
        <v>-1.7489136902078761E-2</v>
      </c>
      <c r="AT15" s="440">
        <f t="shared" si="4"/>
        <v>-7.5014139059795482E-2</v>
      </c>
      <c r="AU15" s="440"/>
      <c r="AV15" s="440"/>
      <c r="AW15" s="440"/>
      <c r="AX15" s="457"/>
      <c r="AY15" s="457"/>
      <c r="AZ15" s="457"/>
      <c r="BA15" s="457"/>
      <c r="BB15" s="457"/>
      <c r="BC15" s="440"/>
      <c r="BD15" s="440">
        <f t="shared" ref="BD15:BP15" si="5">+BD3/BC3-1</f>
        <v>0.41472612926528685</v>
      </c>
      <c r="BE15" s="440">
        <f t="shared" si="5"/>
        <v>4.6744411320783108E-2</v>
      </c>
      <c r="BF15" s="440">
        <f t="shared" si="5"/>
        <v>-8.3524634853223811E-2</v>
      </c>
      <c r="BG15" s="440">
        <f t="shared" si="5"/>
        <v>0.14366785907180235</v>
      </c>
      <c r="BH15" s="440">
        <f t="shared" si="5"/>
        <v>7.9797682520344804E-2</v>
      </c>
      <c r="BI15" s="440">
        <f t="shared" si="5"/>
        <v>0.30788636334825004</v>
      </c>
      <c r="BJ15" s="440">
        <f t="shared" si="5"/>
        <v>4.6626926432102422E-2</v>
      </c>
      <c r="BK15" s="440">
        <f t="shared" si="5"/>
        <v>-4.30864832076161E-2</v>
      </c>
      <c r="BL15" s="440">
        <f t="shared" si="5"/>
        <v>-3.3500116135026348E-2</v>
      </c>
      <c r="BM15" s="440">
        <f t="shared" si="5"/>
        <v>7.5771154491245607E-2</v>
      </c>
      <c r="BN15" s="440">
        <f t="shared" si="5"/>
        <v>4.0015451418784709E-2</v>
      </c>
      <c r="BO15" s="440">
        <f t="shared" si="5"/>
        <v>-4.8653392678458696E-2</v>
      </c>
      <c r="BP15" s="440">
        <f t="shared" si="5"/>
        <v>1.613519953641851E-2</v>
      </c>
    </row>
    <row r="16" spans="2:71" s="171" customFormat="1" ht="15.75">
      <c r="B16" s="455"/>
      <c r="C16" s="440"/>
      <c r="D16" s="440"/>
      <c r="E16" s="440"/>
      <c r="F16" s="440"/>
      <c r="G16" s="440"/>
      <c r="H16" s="440"/>
      <c r="I16" s="440"/>
      <c r="J16" s="440"/>
      <c r="K16" s="440"/>
      <c r="L16" s="440"/>
      <c r="M16" s="440"/>
      <c r="N16" s="440"/>
      <c r="O16" s="440"/>
      <c r="P16" s="440"/>
      <c r="Q16" s="440"/>
      <c r="R16" s="440"/>
      <c r="S16" s="440"/>
      <c r="T16" s="440"/>
      <c r="U16" s="440"/>
      <c r="V16" s="440"/>
      <c r="W16" s="440"/>
      <c r="X16" s="440"/>
      <c r="Y16" s="440"/>
      <c r="Z16" s="440"/>
      <c r="AA16" s="440"/>
      <c r="AB16" s="440"/>
      <c r="AC16" s="440"/>
      <c r="AD16" s="440"/>
      <c r="AE16" s="440"/>
      <c r="AF16" s="440"/>
      <c r="AG16" s="440"/>
      <c r="AH16" s="440"/>
      <c r="AI16" s="440"/>
      <c r="AJ16" s="440"/>
      <c r="AK16" s="440"/>
      <c r="AL16" s="440"/>
      <c r="AM16" s="440"/>
      <c r="AN16" s="440"/>
      <c r="AO16" s="440"/>
      <c r="AP16" s="440"/>
      <c r="AQ16" s="440"/>
      <c r="AR16" s="440"/>
      <c r="AS16" s="440"/>
      <c r="AT16" s="440"/>
      <c r="AU16" s="440"/>
      <c r="AV16" s="440"/>
      <c r="AW16" s="440"/>
      <c r="AX16" s="457"/>
      <c r="AY16" s="457"/>
      <c r="AZ16" s="457"/>
      <c r="BA16" s="457"/>
      <c r="BB16" s="457"/>
      <c r="BC16" s="456"/>
      <c r="BD16" s="456"/>
      <c r="BE16" s="456"/>
      <c r="BF16" s="456"/>
      <c r="BG16" s="456"/>
      <c r="BH16" s="456"/>
      <c r="BI16" s="458"/>
      <c r="BJ16" s="458"/>
      <c r="BK16" s="458"/>
      <c r="BL16" s="458"/>
      <c r="BM16" s="458"/>
      <c r="BN16" s="458"/>
      <c r="BO16" s="458"/>
      <c r="BP16" s="458"/>
    </row>
    <row r="17" spans="2:68" s="171" customFormat="1" ht="15.75">
      <c r="B17" s="455"/>
      <c r="C17" s="440"/>
      <c r="D17" s="440"/>
      <c r="E17" s="440"/>
      <c r="F17" s="440"/>
      <c r="G17" s="440"/>
      <c r="H17" s="440"/>
      <c r="I17" s="440"/>
      <c r="J17" s="440"/>
      <c r="K17" s="440"/>
      <c r="L17" s="440"/>
      <c r="M17" s="440"/>
      <c r="N17" s="440"/>
      <c r="O17" s="440"/>
      <c r="P17" s="440"/>
      <c r="Q17" s="440"/>
      <c r="R17" s="440"/>
      <c r="S17" s="440"/>
      <c r="T17" s="440"/>
      <c r="U17" s="440"/>
      <c r="V17" s="440"/>
      <c r="W17" s="440"/>
      <c r="X17" s="440"/>
      <c r="Y17" s="440"/>
      <c r="Z17" s="440"/>
      <c r="AA17" s="440"/>
      <c r="AB17" s="440"/>
      <c r="AC17" s="440"/>
      <c r="AD17" s="440"/>
      <c r="AE17" s="440"/>
      <c r="AF17" s="440"/>
      <c r="AG17" s="440"/>
      <c r="AH17" s="440"/>
      <c r="AI17" s="440"/>
      <c r="AJ17" s="440"/>
      <c r="AK17" s="440"/>
      <c r="AL17" s="440"/>
      <c r="AM17" s="440"/>
      <c r="AN17" s="440"/>
      <c r="AO17" s="440"/>
      <c r="AP17" s="440"/>
      <c r="AQ17" s="440"/>
      <c r="AR17" s="440"/>
      <c r="AS17" s="440"/>
      <c r="AT17" s="440"/>
      <c r="AU17" s="440"/>
      <c r="AV17" s="440"/>
      <c r="AW17" s="440"/>
      <c r="AX17" s="457"/>
      <c r="AY17" s="457"/>
      <c r="AZ17" s="457"/>
      <c r="BA17" s="457"/>
      <c r="BB17" s="457"/>
      <c r="BC17" s="456"/>
      <c r="BD17" s="456"/>
      <c r="BE17" s="456"/>
      <c r="BF17" s="456"/>
      <c r="BG17" s="456"/>
      <c r="BH17" s="456"/>
      <c r="BI17" s="458"/>
      <c r="BJ17" s="458"/>
      <c r="BK17" s="458"/>
      <c r="BL17" s="458"/>
      <c r="BM17" s="458"/>
      <c r="BN17" s="458"/>
      <c r="BO17" s="458"/>
      <c r="BP17" s="458"/>
    </row>
    <row r="18" spans="2:68">
      <c r="B18" s="173"/>
    </row>
    <row r="19" spans="2:68">
      <c r="B19" s="172" t="s">
        <v>869</v>
      </c>
      <c r="C19" s="164">
        <v>100</v>
      </c>
      <c r="D19" s="164">
        <f>+C19*(1+D8)</f>
        <v>101.34751744412425</v>
      </c>
      <c r="E19" s="164">
        <f t="shared" ref="E19:G19" si="6">+D19*(1+E8)</f>
        <v>102.71319292087068</v>
      </c>
      <c r="F19" s="164">
        <f t="shared" si="6"/>
        <v>104.09727111289641</v>
      </c>
      <c r="G19" s="164">
        <f t="shared" si="6"/>
        <v>106.80380016183172</v>
      </c>
      <c r="H19" s="164">
        <f t="shared" ref="H19:AT19" si="7">+G19*(1+H8)</f>
        <v>108.67248180037402</v>
      </c>
      <c r="I19" s="164">
        <f t="shared" si="7"/>
        <v>109.80599863128283</v>
      </c>
      <c r="J19" s="164">
        <f t="shared" si="7"/>
        <v>110.62052789408605</v>
      </c>
      <c r="K19" s="164">
        <f t="shared" si="7"/>
        <v>111.68583912561273</v>
      </c>
      <c r="L19" s="164">
        <f t="shared" si="7"/>
        <v>111.93087562494792</v>
      </c>
      <c r="M19" s="164">
        <f t="shared" si="7"/>
        <v>112.59254909699993</v>
      </c>
      <c r="N19" s="164">
        <f t="shared" si="7"/>
        <v>113.88090192158414</v>
      </c>
      <c r="O19" s="164">
        <f t="shared" si="7"/>
        <v>114.67975120708988</v>
      </c>
      <c r="P19" s="164">
        <f t="shared" si="7"/>
        <v>115.96873372061637</v>
      </c>
      <c r="Q19" s="164">
        <f t="shared" si="7"/>
        <v>116.9099174084955</v>
      </c>
      <c r="R19" s="164">
        <f t="shared" si="7"/>
        <v>117.36586608638864</v>
      </c>
      <c r="S19" s="164">
        <f t="shared" si="7"/>
        <v>119.12635407768445</v>
      </c>
      <c r="T19" s="164">
        <f t="shared" si="7"/>
        <v>119.97215119163603</v>
      </c>
      <c r="U19" s="164">
        <f t="shared" si="7"/>
        <v>120.28407878473428</v>
      </c>
      <c r="V19" s="164">
        <f t="shared" si="7"/>
        <v>122.40107857134561</v>
      </c>
      <c r="W19" s="164">
        <f t="shared" si="7"/>
        <v>123.06204439563088</v>
      </c>
      <c r="X19" s="164">
        <f t="shared" si="7"/>
        <v>122.53287760472966</v>
      </c>
      <c r="Y19" s="164">
        <f t="shared" si="7"/>
        <v>124.05228528702831</v>
      </c>
      <c r="Z19" s="164">
        <f t="shared" si="7"/>
        <v>127.89790613092617</v>
      </c>
      <c r="AA19" s="164">
        <f t="shared" si="7"/>
        <v>130.50702341599705</v>
      </c>
      <c r="AB19" s="164">
        <f t="shared" si="7"/>
        <v>132.68649070704419</v>
      </c>
      <c r="AC19" s="164">
        <f t="shared" si="7"/>
        <v>136.65381677918481</v>
      </c>
      <c r="AD19" s="164">
        <f t="shared" si="7"/>
        <v>140.65777361081493</v>
      </c>
      <c r="AE19" s="164">
        <f t="shared" si="7"/>
        <v>145.18695392108316</v>
      </c>
      <c r="AF19" s="164">
        <f t="shared" si="7"/>
        <v>148.38106690734699</v>
      </c>
      <c r="AG19" s="164">
        <f t="shared" si="7"/>
        <v>146.40759871747929</v>
      </c>
      <c r="AH19" s="164">
        <f t="shared" si="7"/>
        <v>148.77940181670246</v>
      </c>
      <c r="AI19" s="164">
        <f t="shared" si="7"/>
        <v>151.87401337448986</v>
      </c>
      <c r="AJ19" s="164">
        <f t="shared" si="7"/>
        <v>153.028255876136</v>
      </c>
      <c r="AK19" s="164">
        <f t="shared" si="7"/>
        <v>153.96172823698043</v>
      </c>
      <c r="AL19" s="164">
        <f t="shared" si="7"/>
        <v>155.80926897582421</v>
      </c>
      <c r="AM19" s="164">
        <f t="shared" si="7"/>
        <v>158.01473605529711</v>
      </c>
      <c r="AN19" s="164">
        <f t="shared" si="7"/>
        <v>159.67944606181291</v>
      </c>
      <c r="AO19" s="164">
        <f t="shared" si="7"/>
        <v>160.66950438513823</v>
      </c>
      <c r="AP19" s="164">
        <f t="shared" si="7"/>
        <v>163.04281044200647</v>
      </c>
      <c r="AQ19" s="164">
        <f t="shared" si="7"/>
        <v>166.36943769275459</v>
      </c>
      <c r="AR19" s="164">
        <f t="shared" si="7"/>
        <v>167.9212930155235</v>
      </c>
      <c r="AS19" s="164">
        <f t="shared" si="7"/>
        <v>168.97992363470948</v>
      </c>
      <c r="AT19" s="164">
        <f t="shared" si="7"/>
        <v>169.99558343848025</v>
      </c>
      <c r="AU19" s="164">
        <f t="shared" ref="AU19" si="8">+AT19*(1+AU8)</f>
        <v>172.37552160661897</v>
      </c>
      <c r="AV19" s="164">
        <f t="shared" ref="AV19" si="9">+AU19*(1+AV8)</f>
        <v>173.66833801866863</v>
      </c>
      <c r="AW19" s="164">
        <f t="shared" ref="AW19" si="10">+AV19*(1+AW8)</f>
        <v>174.71034804678064</v>
      </c>
      <c r="AX19" s="164">
        <f t="shared" ref="AX19" si="11">+AW19*(1+AX8)</f>
        <v>176.71951704931863</v>
      </c>
    </row>
    <row r="20" spans="2:68">
      <c r="B20" s="173"/>
      <c r="G20" s="846">
        <f>+G19/C19-1</f>
        <v>6.8038001618317079E-2</v>
      </c>
      <c r="H20" s="846">
        <f t="shared" ref="H20:AT20" si="12">+H19/D19-1</f>
        <v>7.2275715685766295E-2</v>
      </c>
      <c r="I20" s="846">
        <f t="shared" si="12"/>
        <v>6.9054475951072725E-2</v>
      </c>
      <c r="J20" s="846">
        <f t="shared" si="12"/>
        <v>6.2665012362475681E-2</v>
      </c>
      <c r="K20" s="846">
        <f t="shared" si="12"/>
        <v>4.5710348848857718E-2</v>
      </c>
      <c r="L20" s="846">
        <f t="shared" si="12"/>
        <v>2.9983614716367679E-2</v>
      </c>
      <c r="M20" s="846">
        <f t="shared" si="12"/>
        <v>2.5377033135266513E-2</v>
      </c>
      <c r="N20" s="846">
        <f t="shared" si="12"/>
        <v>2.9473499083458865E-2</v>
      </c>
      <c r="O20" s="846">
        <f t="shared" si="12"/>
        <v>2.6806550453633671E-2</v>
      </c>
      <c r="P20" s="846">
        <f t="shared" si="12"/>
        <v>3.6074568997372047E-2</v>
      </c>
      <c r="Q20" s="846">
        <f t="shared" si="12"/>
        <v>3.8345062316478051E-2</v>
      </c>
      <c r="R20" s="846">
        <f t="shared" si="12"/>
        <v>3.060183143969275E-2</v>
      </c>
      <c r="S20" s="846">
        <f t="shared" si="12"/>
        <v>3.8774088919715677E-2</v>
      </c>
      <c r="T20" s="846">
        <f t="shared" si="12"/>
        <v>3.4521524402123749E-2</v>
      </c>
      <c r="U20" s="846">
        <f t="shared" si="12"/>
        <v>2.8861207423910074E-2</v>
      </c>
      <c r="V20" s="846">
        <f t="shared" si="12"/>
        <v>4.2901847469440035E-2</v>
      </c>
      <c r="W20" s="846">
        <f t="shared" si="12"/>
        <v>3.3037948222438551E-2</v>
      </c>
      <c r="X20" s="846">
        <f t="shared" si="12"/>
        <v>2.1344340229452863E-2</v>
      </c>
      <c r="Y20" s="846">
        <f t="shared" si="12"/>
        <v>3.1327558396467392E-2</v>
      </c>
      <c r="Z20" s="846">
        <f t="shared" si="12"/>
        <v>4.4908326166231971E-2</v>
      </c>
      <c r="AA20" s="846">
        <f t="shared" si="12"/>
        <v>6.0497768072431679E-2</v>
      </c>
      <c r="AB20" s="846">
        <f t="shared" si="12"/>
        <v>8.2864397709391691E-2</v>
      </c>
      <c r="AC20" s="846">
        <f t="shared" si="12"/>
        <v>0.10158242117829164</v>
      </c>
      <c r="AD20" s="846">
        <f t="shared" si="12"/>
        <v>9.9766038912527444E-2</v>
      </c>
      <c r="AE20" s="846">
        <f t="shared" si="12"/>
        <v>0.11248383512888172</v>
      </c>
      <c r="AF20" s="846">
        <f t="shared" si="12"/>
        <v>0.11828315088198793</v>
      </c>
      <c r="AG20" s="846">
        <f t="shared" si="12"/>
        <v>7.1375847145604077E-2</v>
      </c>
      <c r="AH20" s="846">
        <f t="shared" si="12"/>
        <v>5.7740343796136129E-2</v>
      </c>
      <c r="AI20" s="846">
        <f t="shared" si="12"/>
        <v>4.6058266757504018E-2</v>
      </c>
      <c r="AJ20" s="846">
        <f t="shared" si="12"/>
        <v>3.1319285308083478E-2</v>
      </c>
      <c r="AK20" s="846">
        <f t="shared" si="12"/>
        <v>5.1596567293465734E-2</v>
      </c>
      <c r="AL20" s="846">
        <f t="shared" si="12"/>
        <v>4.7250271699456059E-2</v>
      </c>
      <c r="AM20" s="846">
        <f t="shared" si="12"/>
        <v>4.0433004596154953E-2</v>
      </c>
      <c r="AN20" s="846">
        <f t="shared" si="12"/>
        <v>4.3463804430081909E-2</v>
      </c>
      <c r="AO20" s="846">
        <f t="shared" si="12"/>
        <v>4.3567815358847239E-2</v>
      </c>
      <c r="AP20" s="846">
        <f t="shared" si="12"/>
        <v>4.6425617126184093E-2</v>
      </c>
      <c r="AQ20" s="846">
        <f t="shared" si="12"/>
        <v>5.2872927209356879E-2</v>
      </c>
      <c r="AR20" s="846">
        <f t="shared" si="12"/>
        <v>5.1614952061645569E-2</v>
      </c>
      <c r="AS20" s="846">
        <f t="shared" si="12"/>
        <v>5.1723687586976652E-2</v>
      </c>
      <c r="AT20" s="846">
        <f t="shared" si="12"/>
        <v>4.2643849045688853E-2</v>
      </c>
      <c r="AU20" s="846">
        <f t="shared" ref="AU20" si="13">+AU19/AQ19-1</f>
        <v>3.6100884856966386E-2</v>
      </c>
      <c r="AV20" s="846">
        <f t="shared" ref="AV20" si="14">+AV19/AR19-1</f>
        <v>3.4224635243928603E-2</v>
      </c>
      <c r="AW20" s="846">
        <f t="shared" ref="AW20" si="15">+AW19/AS19-1</f>
        <v>3.3911865319923074E-2</v>
      </c>
      <c r="AX20" s="846">
        <f t="shared" ref="AX20" si="16">+AX19/AT19-1</f>
        <v>3.9553578245000054E-2</v>
      </c>
    </row>
    <row r="31" spans="2:68" ht="15.75">
      <c r="B31" s="1319"/>
      <c r="C31" s="1320"/>
      <c r="D31" s="1320"/>
      <c r="E31" s="1320"/>
      <c r="F31" s="1320"/>
      <c r="G31" s="1320"/>
      <c r="H31" s="1320"/>
      <c r="I31" s="1320"/>
      <c r="J31" s="1320"/>
      <c r="K31" s="1320"/>
      <c r="L31" s="1320"/>
      <c r="M31" s="1320"/>
      <c r="N31" s="1321"/>
      <c r="O31" s="1321"/>
      <c r="P31" s="1321"/>
      <c r="Q31" s="1321"/>
      <c r="R31" s="1321"/>
      <c r="S31" s="1321"/>
      <c r="T31" s="1321"/>
      <c r="U31" s="1321"/>
      <c r="V31" s="1321"/>
      <c r="W31" s="1321"/>
      <c r="X31" s="1321"/>
      <c r="Y31" s="1321"/>
      <c r="Z31" s="1321"/>
      <c r="AA31" s="1321"/>
      <c r="AB31" s="1321"/>
      <c r="AC31" s="1321"/>
      <c r="AD31" s="1321"/>
      <c r="AE31" s="1321"/>
      <c r="AF31" s="1321"/>
      <c r="AG31" s="1321"/>
      <c r="AH31" s="1321"/>
      <c r="AI31" s="1321"/>
      <c r="AJ31" s="1321"/>
      <c r="AK31" s="1321"/>
      <c r="AL31" s="1321"/>
      <c r="AM31" s="1321"/>
      <c r="AN31" s="1321"/>
      <c r="AO31" s="1321"/>
      <c r="AP31" s="1321"/>
      <c r="AQ31" s="1321"/>
      <c r="AR31" s="1321"/>
      <c r="AS31" s="1321"/>
      <c r="AT31" s="1321"/>
      <c r="AU31" s="1321"/>
      <c r="AV31" s="1321"/>
      <c r="AW31" s="1321"/>
      <c r="AX31" s="1321"/>
      <c r="AY31" s="1325"/>
      <c r="AZ31" s="1325"/>
      <c r="BA31" s="1325"/>
      <c r="BB31" s="1325"/>
      <c r="BC31" s="1322"/>
      <c r="BD31" s="1322"/>
      <c r="BE31" s="1322"/>
      <c r="BF31" s="1322"/>
      <c r="BG31" s="1322"/>
      <c r="BH31" s="1323"/>
      <c r="BI31" s="1323"/>
      <c r="BJ31" s="1323"/>
      <c r="BK31" s="1324"/>
      <c r="BL31" s="1324"/>
      <c r="BM31" s="1324"/>
      <c r="BN31" s="1324"/>
      <c r="BO31" s="1324"/>
      <c r="BP31" s="1324"/>
    </row>
    <row r="32" spans="2:68">
      <c r="B32" s="175"/>
    </row>
    <row r="33" spans="2:71">
      <c r="B33" s="175" t="s">
        <v>870</v>
      </c>
      <c r="C33" s="438">
        <v>626.58000000000004</v>
      </c>
      <c r="D33" s="438">
        <v>639.04</v>
      </c>
      <c r="E33" s="438">
        <v>698.72</v>
      </c>
      <c r="F33" s="438">
        <v>710.16</v>
      </c>
      <c r="G33" s="438">
        <v>669.8</v>
      </c>
      <c r="H33" s="438">
        <v>661.37</v>
      </c>
      <c r="I33" s="438">
        <v>658.02</v>
      </c>
      <c r="J33" s="438">
        <v>673.36</v>
      </c>
      <c r="K33" s="438">
        <v>663.97</v>
      </c>
      <c r="L33" s="438">
        <v>664.29</v>
      </c>
      <c r="M33" s="438">
        <v>637.92999999999995</v>
      </c>
      <c r="N33" s="438">
        <v>615.22</v>
      </c>
      <c r="O33" s="438">
        <v>603.39</v>
      </c>
      <c r="P33" s="438">
        <v>647.95000000000005</v>
      </c>
      <c r="Q33" s="438">
        <v>660.42</v>
      </c>
      <c r="R33" s="438">
        <v>694.77</v>
      </c>
      <c r="S33" s="438">
        <v>678.53</v>
      </c>
      <c r="T33" s="438">
        <v>679.15</v>
      </c>
      <c r="U33" s="1092">
        <v>715.09</v>
      </c>
      <c r="V33" s="1092">
        <v>749.3</v>
      </c>
      <c r="W33" s="1092">
        <v>856.2</v>
      </c>
      <c r="X33" s="1092">
        <v>822.3</v>
      </c>
      <c r="Y33" s="1092">
        <v>805</v>
      </c>
      <c r="Z33" s="1092">
        <v>711</v>
      </c>
      <c r="AA33" s="438">
        <v>719.04</v>
      </c>
      <c r="AB33" s="438">
        <v>734.38</v>
      </c>
      <c r="AC33" s="438">
        <v>810.06</v>
      </c>
      <c r="AD33" s="438">
        <v>852</v>
      </c>
      <c r="AE33" s="438">
        <v>786.05</v>
      </c>
      <c r="AF33" s="438">
        <v>918.08</v>
      </c>
      <c r="AG33" s="438">
        <v>968.69</v>
      </c>
      <c r="AH33" s="438">
        <v>851.13</v>
      </c>
      <c r="AI33" s="438">
        <v>795.47</v>
      </c>
      <c r="AJ33" s="438">
        <v>802.25</v>
      </c>
      <c r="AK33" s="438">
        <v>891.53</v>
      </c>
      <c r="AL33" s="438">
        <v>879</v>
      </c>
      <c r="AM33" s="438">
        <v>979.36</v>
      </c>
      <c r="AN33" s="438">
        <v>940.23</v>
      </c>
      <c r="AO33" s="444">
        <f>+[4]value!BL36</f>
        <v>898.7</v>
      </c>
      <c r="AP33" s="444">
        <f>+[4]value!BM36</f>
        <v>994.92</v>
      </c>
      <c r="AQ33" s="444">
        <f>+[4]value!BN36</f>
        <v>951.08</v>
      </c>
      <c r="AR33" s="444">
        <f>+[4]value!BO36</f>
        <v>931.62</v>
      </c>
      <c r="AS33" s="444">
        <f>+[4]value!BP36</f>
        <v>962.5</v>
      </c>
      <c r="AT33" s="444">
        <f>+[4]value!BQ36</f>
        <v>900.58</v>
      </c>
      <c r="AU33" s="444">
        <f>+[4]value!BR36</f>
        <v>885.34</v>
      </c>
      <c r="AV33" s="444">
        <f>+[4]value!BS36</f>
        <v>879.04513620125658</v>
      </c>
      <c r="AW33" s="444">
        <f>+[4]value!BT36</f>
        <v>883.43034500703061</v>
      </c>
      <c r="AX33" s="444">
        <f>+[4]value!BU36</f>
        <v>884.57383814990305</v>
      </c>
      <c r="BC33" s="446">
        <v>606.75</v>
      </c>
      <c r="BD33" s="446">
        <v>710.16</v>
      </c>
      <c r="BE33" s="446">
        <v>4.0217293999999999</v>
      </c>
      <c r="BF33" s="446">
        <f>+N33</f>
        <v>615.22</v>
      </c>
      <c r="BG33" s="446">
        <f>+R33</f>
        <v>694.77</v>
      </c>
      <c r="BH33" s="446">
        <f>+V33</f>
        <v>749.3</v>
      </c>
      <c r="BI33" s="446">
        <f>+Z33</f>
        <v>711</v>
      </c>
      <c r="BJ33" s="446">
        <f>+AD33</f>
        <v>852</v>
      </c>
      <c r="BK33" s="446">
        <f>+AH33</f>
        <v>851.13</v>
      </c>
      <c r="BL33" s="446">
        <f>+AL33</f>
        <v>879</v>
      </c>
      <c r="BM33" s="446">
        <f>+AP33</f>
        <v>994.92</v>
      </c>
      <c r="BN33" s="446">
        <f>+AT33</f>
        <v>900.58</v>
      </c>
      <c r="BO33" s="447">
        <f t="shared" ref="BO33:BP33" si="17">+BN33*1.05</f>
        <v>945.60900000000004</v>
      </c>
      <c r="BP33" s="447">
        <f t="shared" si="17"/>
        <v>992.88945000000012</v>
      </c>
      <c r="BQ33" s="447">
        <f t="shared" ref="BQ33" si="18">+BP33*1.05</f>
        <v>1042.5339225000002</v>
      </c>
      <c r="BR33" s="447">
        <f t="shared" ref="BR33" si="19">+BQ33*1.05</f>
        <v>1094.6606186250003</v>
      </c>
      <c r="BS33" s="447">
        <f t="shared" ref="BS33" si="20">+BR33*1.05</f>
        <v>1149.3936495562505</v>
      </c>
    </row>
    <row r="34" spans="2:71">
      <c r="B34" s="175" t="s">
        <v>871</v>
      </c>
      <c r="C34" s="438">
        <v>3.097</v>
      </c>
      <c r="D34" s="438">
        <v>3.1789999999999998</v>
      </c>
      <c r="E34" s="438">
        <v>3.2229999999999999</v>
      </c>
      <c r="F34" s="438">
        <v>3.4129999999999998</v>
      </c>
      <c r="G34" s="438">
        <v>3.3279999999999998</v>
      </c>
      <c r="H34" s="438">
        <v>3.2919999999999998</v>
      </c>
      <c r="I34" s="438">
        <v>3.403</v>
      </c>
      <c r="J34" s="438">
        <v>3.36</v>
      </c>
      <c r="K34" s="438">
        <v>3.2490000000000001</v>
      </c>
      <c r="L34" s="438">
        <v>3.2549999999999999</v>
      </c>
      <c r="M34" s="438">
        <v>3.2669999999999999</v>
      </c>
      <c r="N34" s="438">
        <v>3.2439999999999998</v>
      </c>
      <c r="O34" s="438">
        <v>3.2290000000000001</v>
      </c>
      <c r="P34" s="438">
        <v>3.274</v>
      </c>
      <c r="Q34" s="438">
        <v>3.302</v>
      </c>
      <c r="R34" s="438">
        <v>3.379</v>
      </c>
      <c r="S34" s="438">
        <v>3.3210000000000002</v>
      </c>
      <c r="T34" s="438">
        <v>3.29</v>
      </c>
      <c r="U34" s="1092">
        <v>3.3149999999999999</v>
      </c>
      <c r="V34" s="1092">
        <v>3.31</v>
      </c>
      <c r="W34" s="1092">
        <v>3.4375</v>
      </c>
      <c r="X34" s="1092">
        <v>3.5465</v>
      </c>
      <c r="Y34" s="1092">
        <v>3.5680000000000001</v>
      </c>
      <c r="Z34" s="1092">
        <v>3.62</v>
      </c>
      <c r="AA34" s="438">
        <v>3.7435</v>
      </c>
      <c r="AB34" s="438">
        <v>3.8658999999999999</v>
      </c>
      <c r="AC34" s="438">
        <v>4.1345000000000001</v>
      </c>
      <c r="AD34" s="438">
        <v>4.0015000000000001</v>
      </c>
      <c r="AE34" s="438">
        <v>3.6804000000000001</v>
      </c>
      <c r="AF34" s="438">
        <v>3.8264999999999998</v>
      </c>
      <c r="AG34" s="438">
        <v>3.9832000000000001</v>
      </c>
      <c r="AH34" s="438">
        <v>3.8060999999999998</v>
      </c>
      <c r="AI34" s="438">
        <v>3.7631000000000001</v>
      </c>
      <c r="AJ34" s="438">
        <v>3.625</v>
      </c>
      <c r="AK34" s="438">
        <v>3.7848999999999999</v>
      </c>
      <c r="AL34" s="438">
        <v>3.7042000000000002</v>
      </c>
      <c r="AM34" s="438">
        <v>3.7176</v>
      </c>
      <c r="AN34" s="438">
        <v>3.8424999999999998</v>
      </c>
      <c r="AO34" s="444">
        <f>+[4]value!BL37</f>
        <v>3.7040000000000002</v>
      </c>
      <c r="AP34" s="444">
        <f>+[4]value!BM37</f>
        <v>3.7403</v>
      </c>
      <c r="AQ34" s="444">
        <f>+[4]value!BN37</f>
        <v>3.677</v>
      </c>
      <c r="AR34" s="444">
        <f>+[4]value!BO37</f>
        <v>3.5425</v>
      </c>
      <c r="AS34" s="444">
        <f>+[4]value!BP37</f>
        <v>3.4719000000000002</v>
      </c>
      <c r="AT34" s="444">
        <f>+[4]value!BQ37</f>
        <v>3.3624999999999998</v>
      </c>
      <c r="AU34" s="444">
        <f>+[4]value!BR37</f>
        <v>3.3597000000000001</v>
      </c>
      <c r="AV34" s="444">
        <f>+[4]value!BS37</f>
        <v>3.3465214787224102</v>
      </c>
      <c r="AW34" s="444">
        <f>+[4]value!BT37</f>
        <v>3.3281997325969108</v>
      </c>
      <c r="AX34" s="444">
        <f>+[4]value!BU37</f>
        <v>3.3360266790484578</v>
      </c>
      <c r="BC34" s="446">
        <v>2.9889999999999999</v>
      </c>
      <c r="BD34" s="446">
        <v>3.4129999999999998</v>
      </c>
      <c r="BE34" s="446">
        <v>4.0217293999999999</v>
      </c>
      <c r="BF34" s="446">
        <f>+N34</f>
        <v>3.2439999999999998</v>
      </c>
      <c r="BG34" s="446">
        <f>+R34</f>
        <v>3.379</v>
      </c>
      <c r="BH34" s="446">
        <f>+V34</f>
        <v>3.31</v>
      </c>
      <c r="BI34" s="446">
        <f>+Z34</f>
        <v>3.62</v>
      </c>
      <c r="BJ34" s="446">
        <f>+AD34</f>
        <v>4.0015000000000001</v>
      </c>
      <c r="BK34" s="446">
        <f>+AH34</f>
        <v>3.8060999999999998</v>
      </c>
      <c r="BL34" s="446">
        <f>+AL34</f>
        <v>3.7042000000000002</v>
      </c>
      <c r="BM34" s="446">
        <f>+AP34</f>
        <v>3.7403</v>
      </c>
      <c r="BN34" s="446">
        <f>+AT34</f>
        <v>3.3624999999999998</v>
      </c>
      <c r="BO34" s="447">
        <f t="shared" ref="BO34:BP34" si="21">+BN34*1.03</f>
        <v>3.4633750000000001</v>
      </c>
      <c r="BP34" s="447">
        <f t="shared" si="21"/>
        <v>3.5672762500000004</v>
      </c>
      <c r="BQ34" s="447">
        <f t="shared" ref="BQ34" si="22">+BP34*1.03</f>
        <v>3.6742945375000007</v>
      </c>
      <c r="BR34" s="447">
        <f t="shared" ref="BR34" si="23">+BQ34*1.03</f>
        <v>3.7845233736250008</v>
      </c>
      <c r="BS34" s="447">
        <f t="shared" ref="BS34" si="24">+BR34*1.03</f>
        <v>3.8980590748337511</v>
      </c>
    </row>
    <row r="35" spans="2:71">
      <c r="B35" s="175" t="s">
        <v>872</v>
      </c>
      <c r="C35" s="442">
        <v>2598.36</v>
      </c>
      <c r="D35" s="442">
        <v>2598.6799999999998</v>
      </c>
      <c r="E35" s="442">
        <v>3086.75</v>
      </c>
      <c r="F35" s="442">
        <v>3149.47</v>
      </c>
      <c r="G35" s="442">
        <v>3000.63</v>
      </c>
      <c r="H35" s="442">
        <v>2919.01</v>
      </c>
      <c r="I35" s="442">
        <v>2880.08</v>
      </c>
      <c r="J35" s="442">
        <v>2981.06</v>
      </c>
      <c r="K35" s="442">
        <v>2885.57</v>
      </c>
      <c r="L35" s="442">
        <v>3050.43</v>
      </c>
      <c r="M35" s="442">
        <v>2936.67</v>
      </c>
      <c r="N35" s="442">
        <v>2971.63</v>
      </c>
      <c r="O35" s="442">
        <v>2780.47</v>
      </c>
      <c r="P35" s="442">
        <v>2930.8</v>
      </c>
      <c r="Q35" s="442">
        <v>2972.18</v>
      </c>
      <c r="R35" s="442">
        <v>3249.75</v>
      </c>
      <c r="S35" s="442">
        <v>3174.79</v>
      </c>
      <c r="T35" s="442">
        <v>3197.23</v>
      </c>
      <c r="U35" s="1092">
        <v>3421</v>
      </c>
      <c r="V35" s="1092">
        <v>3279.7</v>
      </c>
      <c r="W35" s="1092">
        <v>4057.25</v>
      </c>
      <c r="X35" s="1092">
        <v>3756.25</v>
      </c>
      <c r="Y35" s="1092">
        <v>3761.2</v>
      </c>
      <c r="Z35" s="1185">
        <v>3420.25</v>
      </c>
      <c r="AA35" s="438">
        <v>3663.44</v>
      </c>
      <c r="AB35" s="438">
        <v>3755.08</v>
      </c>
      <c r="AC35" s="438">
        <v>3809.13</v>
      </c>
      <c r="AD35" s="438">
        <v>4064.92</v>
      </c>
      <c r="AE35" s="438">
        <v>3764.45</v>
      </c>
      <c r="AF35" s="438">
        <v>4151.66</v>
      </c>
      <c r="AG35" s="438">
        <v>4606.84</v>
      </c>
      <c r="AH35" s="438">
        <v>4850.83</v>
      </c>
      <c r="AI35" s="438">
        <v>4663.25</v>
      </c>
      <c r="AJ35" s="438">
        <v>4171.7</v>
      </c>
      <c r="AK35" s="438">
        <v>4067.88</v>
      </c>
      <c r="AL35" s="438">
        <v>3854.92</v>
      </c>
      <c r="AM35" s="438">
        <v>3852.31</v>
      </c>
      <c r="AN35" s="438">
        <v>4153.08</v>
      </c>
      <c r="AO35" s="444">
        <f>+[4]value!BL38</f>
        <v>4206.8999999999996</v>
      </c>
      <c r="AP35" s="444">
        <f>+[4]value!BM38</f>
        <v>4405.7700000000004</v>
      </c>
      <c r="AQ35" s="444">
        <f>+[4]value!BN38</f>
        <v>4182.91</v>
      </c>
      <c r="AR35" s="444">
        <f>+[4]value!BO38</f>
        <v>4099.51</v>
      </c>
      <c r="AS35" s="444">
        <f>+[4]value!BP38</f>
        <v>3920.46</v>
      </c>
      <c r="AT35" s="444">
        <f>+[4]value!BQ38</f>
        <v>3777.62</v>
      </c>
      <c r="AU35" s="444">
        <f>+[4]value!BR38</f>
        <v>3715.39</v>
      </c>
      <c r="AV35" s="444">
        <f>+[4]value!BS38</f>
        <v>3722.7257531871496</v>
      </c>
      <c r="AW35" s="444">
        <f>+[4]value!BT38</f>
        <v>3719.6124349142501</v>
      </c>
      <c r="AX35" s="444">
        <f>+[4]value!BU38</f>
        <v>3728.6088379503317</v>
      </c>
      <c r="BC35" s="451">
        <v>2392.46</v>
      </c>
      <c r="BD35" s="451">
        <v>3149.47</v>
      </c>
      <c r="BE35" s="446">
        <v>4.0217293999999999</v>
      </c>
      <c r="BF35" s="446">
        <f>+N35</f>
        <v>2971.63</v>
      </c>
      <c r="BG35" s="446">
        <f>+R35</f>
        <v>3249.75</v>
      </c>
      <c r="BH35" s="446">
        <f>+V35</f>
        <v>3279.7</v>
      </c>
      <c r="BI35" s="446">
        <f>+Z35</f>
        <v>3420.25</v>
      </c>
      <c r="BJ35" s="446">
        <f>+AD35</f>
        <v>4064.92</v>
      </c>
      <c r="BK35" s="446">
        <f>+AH35</f>
        <v>4850.83</v>
      </c>
      <c r="BL35" s="446">
        <f>+AL35</f>
        <v>3854.92</v>
      </c>
      <c r="BM35" s="446">
        <f>+AP35</f>
        <v>4405.7700000000004</v>
      </c>
      <c r="BN35" s="446">
        <f>+AT35</f>
        <v>3777.62</v>
      </c>
      <c r="BO35" s="447">
        <f t="shared" ref="BO35:BP35" si="25">+BN35*1.04</f>
        <v>3928.7248</v>
      </c>
      <c r="BP35" s="447">
        <f t="shared" si="25"/>
        <v>4085.8737920000003</v>
      </c>
      <c r="BQ35" s="447">
        <f t="shared" ref="BQ35" si="26">+BP35*1.04</f>
        <v>4249.3087436800006</v>
      </c>
      <c r="BR35" s="447">
        <f t="shared" ref="BR35" si="27">+BQ35*1.04</f>
        <v>4419.2810934272011</v>
      </c>
      <c r="BS35" s="447">
        <f t="shared" ref="BS35" si="28">+BR35*1.04</f>
        <v>4596.0523371642894</v>
      </c>
    </row>
    <row r="36" spans="2:71">
      <c r="B36" s="175" t="s">
        <v>873</v>
      </c>
      <c r="C36" s="438">
        <f>+[3]Planilha1!N15</f>
        <v>8.6872000000000007</v>
      </c>
      <c r="D36" s="438">
        <f>+[3]Planilha1!O15</f>
        <v>8.9553999999999991</v>
      </c>
      <c r="E36" s="438">
        <f>+[3]Planilha1!P15</f>
        <v>9.2493999999999996</v>
      </c>
      <c r="F36" s="438">
        <f>+[3]Planilha1!Q15</f>
        <v>10.114599999999999</v>
      </c>
      <c r="G36" s="438">
        <f>+[3]Planilha1!R15</f>
        <v>14.475099999999999</v>
      </c>
      <c r="H36" s="438">
        <f>+[3]Planilha1!S15</f>
        <v>14.2303</v>
      </c>
      <c r="I36" s="438">
        <f>+[3]Planilha1!T15</f>
        <v>14.9537</v>
      </c>
      <c r="J36" s="438">
        <f>+[3]Planilha1!U15</f>
        <v>15.448700000000001</v>
      </c>
      <c r="K36" s="438">
        <f>+[3]Planilha1!V15</f>
        <v>15.682600000000001</v>
      </c>
      <c r="L36" s="438">
        <f>+[3]Planilha1!W15</f>
        <v>15.734</v>
      </c>
      <c r="M36" s="438">
        <f>+[3]Planilha1!X15</f>
        <v>17.275099999999998</v>
      </c>
      <c r="N36" s="438">
        <f>+[3]Planilha1!Y15</f>
        <v>17.552</v>
      </c>
      <c r="O36" s="438">
        <f>+[3]Planilha1!Z15</f>
        <v>19.676400000000001</v>
      </c>
      <c r="P36" s="438">
        <f>+[3]Planilha1!AA15</f>
        <v>23.5855</v>
      </c>
      <c r="Q36" s="438">
        <f>+[3]Planilha1!AB15</f>
        <v>31.951799999999999</v>
      </c>
      <c r="R36" s="438">
        <f>+[3]Planilha1!AC15</f>
        <v>37.099600000000002</v>
      </c>
      <c r="S36" s="438">
        <f>+[3]Planilha1!AD15</f>
        <v>38.999000000000002</v>
      </c>
      <c r="T36" s="438">
        <f>+[3]Planilha1!AE15</f>
        <v>44.010399999999997</v>
      </c>
      <c r="U36" s="438">
        <f>+[3]Planilha1!AF15</f>
        <v>50.524999999999999</v>
      </c>
      <c r="V36" s="438">
        <f>+[3]Planilha1!AG15</f>
        <v>64.75</v>
      </c>
      <c r="W36" s="438">
        <f>+[3]Planilha1!AH15</f>
        <v>61.469499999999996</v>
      </c>
      <c r="X36" s="438">
        <f>+[3]Planilha1!AI15</f>
        <v>67.704400000000007</v>
      </c>
      <c r="Y36" s="438">
        <f>+[3]Planilha1!AJ15</f>
        <v>72.52844868572663</v>
      </c>
      <c r="Z36" s="1092">
        <v>84.14</v>
      </c>
      <c r="AA36" s="438">
        <v>92</v>
      </c>
      <c r="AB36" s="438">
        <v>95.72</v>
      </c>
      <c r="AC36" s="438">
        <v>98.74</v>
      </c>
      <c r="AD36" s="438">
        <v>102.72</v>
      </c>
      <c r="AE36" s="438">
        <v>111.01</v>
      </c>
      <c r="AF36" s="438">
        <v>125.23</v>
      </c>
      <c r="AG36" s="438">
        <v>147.32</v>
      </c>
      <c r="AH36" s="438">
        <v>177.16</v>
      </c>
      <c r="AI36" s="438">
        <v>209.01</v>
      </c>
      <c r="AJ36" s="438">
        <v>256.7</v>
      </c>
      <c r="AK36" s="438">
        <v>349.9984</v>
      </c>
      <c r="AL36" s="438">
        <v>808.47500000000002</v>
      </c>
      <c r="AM36" s="438">
        <v>857.6721</v>
      </c>
      <c r="AN36" s="438">
        <v>911.50660000000005</v>
      </c>
      <c r="AO36" s="444">
        <f>+[4]value!BL39</f>
        <v>968.71939999999995</v>
      </c>
      <c r="AP36" s="444">
        <f>+[4]value!BM39</f>
        <v>1030.9849999999999</v>
      </c>
      <c r="AQ36" s="444">
        <f>+[4]value!BN39</f>
        <v>1073.1025</v>
      </c>
      <c r="AR36" s="444">
        <f>+[4]value!BO39</f>
        <v>1203.6274000000001</v>
      </c>
      <c r="AS36" s="444">
        <f>+[4]value!BP39</f>
        <v>1379.6954000000001</v>
      </c>
      <c r="AT36" s="444">
        <f>+[4]value!BQ39</f>
        <v>1451.6225999999999</v>
      </c>
      <c r="AU36" s="444">
        <f>+[4]value!BR39</f>
        <v>1466.2524000000001</v>
      </c>
      <c r="AV36" s="444">
        <f>+[4]value!BS39</f>
        <v>1662.3541891033699</v>
      </c>
      <c r="AW36" s="444">
        <f>+[4]value!BT39</f>
        <v>1716.1167184039998</v>
      </c>
      <c r="AX36" s="444">
        <f>+[4]value!BU39</f>
        <v>1759.3775771247574</v>
      </c>
      <c r="BC36" s="446">
        <v>8.5511999999999997</v>
      </c>
      <c r="BD36" s="446">
        <v>12.9785</v>
      </c>
      <c r="BE36" s="446">
        <v>4.0217293999999999</v>
      </c>
      <c r="BF36" s="446">
        <f>+N36</f>
        <v>17.552</v>
      </c>
      <c r="BG36" s="446">
        <f>+R36</f>
        <v>37.099600000000002</v>
      </c>
      <c r="BH36" s="446">
        <f>+V36</f>
        <v>64.75</v>
      </c>
      <c r="BI36" s="446">
        <f>+Z36</f>
        <v>84.14</v>
      </c>
      <c r="BJ36" s="446">
        <f>+AD36</f>
        <v>102.72</v>
      </c>
      <c r="BK36" s="446">
        <f>+AH36</f>
        <v>177.16</v>
      </c>
      <c r="BL36" s="446">
        <f>+AL36</f>
        <v>808.47500000000002</v>
      </c>
      <c r="BM36" s="446">
        <f>+AP36</f>
        <v>1030.9849999999999</v>
      </c>
      <c r="BN36" s="446">
        <f>+AT36</f>
        <v>1451.6225999999999</v>
      </c>
      <c r="BO36" s="847">
        <f t="shared" ref="BO36:BP36" si="29">+BN36*1.1</f>
        <v>1596.78486</v>
      </c>
      <c r="BP36" s="847">
        <f t="shared" si="29"/>
        <v>1756.4633460000002</v>
      </c>
      <c r="BQ36" s="847">
        <f t="shared" ref="BQ36" si="30">+BP36*1.1</f>
        <v>1932.1096806000005</v>
      </c>
      <c r="BR36" s="847">
        <f t="shared" ref="BR36" si="31">+BQ36*1.1</f>
        <v>2125.3206486600006</v>
      </c>
      <c r="BS36" s="847">
        <f t="shared" ref="BS36" si="32">+BR36*1.1</f>
        <v>2337.852713526001</v>
      </c>
    </row>
    <row r="37" spans="2:71">
      <c r="B37" s="175" t="s">
        <v>874</v>
      </c>
      <c r="C37" s="438">
        <v>15.264699999999999</v>
      </c>
      <c r="D37" s="438">
        <v>15.6854</v>
      </c>
      <c r="E37" s="438">
        <v>16.9053</v>
      </c>
      <c r="F37" s="438">
        <v>17.248699999999999</v>
      </c>
      <c r="G37" s="438">
        <v>17.236999999999998</v>
      </c>
      <c r="H37" s="438">
        <v>18.464600000000001</v>
      </c>
      <c r="I37" s="438">
        <v>19.377600000000001</v>
      </c>
      <c r="J37" s="438">
        <v>20.619399999999999</v>
      </c>
      <c r="K37" s="438">
        <v>18.795500000000001</v>
      </c>
      <c r="L37" s="438">
        <v>18.0626</v>
      </c>
      <c r="M37" s="438">
        <v>18.158999999999999</v>
      </c>
      <c r="N37" s="438">
        <v>19.6629</v>
      </c>
      <c r="O37" s="438">
        <v>18.270900000000001</v>
      </c>
      <c r="P37" s="438">
        <v>19.691199999999998</v>
      </c>
      <c r="Q37" s="438">
        <v>18.723099999999999</v>
      </c>
      <c r="R37" s="438">
        <v>19.651199999999999</v>
      </c>
      <c r="S37" s="438">
        <v>19.4544</v>
      </c>
      <c r="T37" s="438">
        <v>19.238299999999999</v>
      </c>
      <c r="U37" s="1092">
        <v>19.73</v>
      </c>
      <c r="V37" s="1092">
        <v>18.920000000000002</v>
      </c>
      <c r="W37" s="1092">
        <v>23.75</v>
      </c>
      <c r="X37" s="1092">
        <v>23</v>
      </c>
      <c r="Y37" s="1092">
        <v>22.35</v>
      </c>
      <c r="Z37" s="1092">
        <v>19.89</v>
      </c>
      <c r="AA37" s="1254">
        <v>20.432500000000001</v>
      </c>
      <c r="AB37" s="1254">
        <v>19.936499999999999</v>
      </c>
      <c r="AC37" s="1254">
        <v>20.64</v>
      </c>
      <c r="AD37" s="1254">
        <v>20.529399999999999</v>
      </c>
      <c r="AE37" s="1254">
        <v>19.869900000000001</v>
      </c>
      <c r="AF37" s="438">
        <v>20.118300000000001</v>
      </c>
      <c r="AG37" s="438">
        <v>20.138200000000001</v>
      </c>
      <c r="AH37" s="438">
        <v>19.4999</v>
      </c>
      <c r="AI37" s="438">
        <v>18.046199999999999</v>
      </c>
      <c r="AJ37" s="438">
        <v>17.1248</v>
      </c>
      <c r="AK37" s="438">
        <v>17.422699999999999</v>
      </c>
      <c r="AL37" s="438">
        <v>16.972000000000001</v>
      </c>
      <c r="AM37" s="438">
        <v>16.558599999999998</v>
      </c>
      <c r="AN37" s="438">
        <v>18.318300000000001</v>
      </c>
      <c r="AO37" s="444">
        <f>+[4]value!BL42</f>
        <v>19.691500000000001</v>
      </c>
      <c r="AP37" s="444">
        <f>+[4]value!BM42</f>
        <v>20.827200000000001</v>
      </c>
      <c r="AQ37" s="444">
        <f>+[4]value!BN42</f>
        <v>20.4711</v>
      </c>
      <c r="AR37" s="444">
        <f>+[4]value!BO42</f>
        <v>18.747499999999999</v>
      </c>
      <c r="AS37" s="444">
        <f>+[4]value!BP42</f>
        <v>18.3123</v>
      </c>
      <c r="AT37" s="444">
        <f>+[4]value!BQ42</f>
        <v>18.007999999999999</v>
      </c>
      <c r="AU37" s="444">
        <f>+[4]value!BR42</f>
        <v>17.9222</v>
      </c>
      <c r="AV37" s="444">
        <f>+[4]value!BS42</f>
        <v>17.948464731798552</v>
      </c>
      <c r="AW37" s="444">
        <f>+[4]value!BT42</f>
        <v>17.923182183108665</v>
      </c>
      <c r="AX37" s="444">
        <f>+[4]value!BU42</f>
        <v>18.141521060696697</v>
      </c>
      <c r="BC37" s="446">
        <v>14.741400000000001</v>
      </c>
      <c r="BD37" s="446">
        <v>17.248699999999999</v>
      </c>
      <c r="BE37" s="446">
        <v>4.0217293999999999</v>
      </c>
      <c r="BF37" s="446">
        <f>+N37</f>
        <v>19.6629</v>
      </c>
      <c r="BG37" s="446">
        <f>+R37</f>
        <v>19.651199999999999</v>
      </c>
      <c r="BH37" s="446">
        <f>+V37</f>
        <v>18.920000000000002</v>
      </c>
      <c r="BI37" s="446">
        <f>+Z37</f>
        <v>19.89</v>
      </c>
      <c r="BJ37" s="446">
        <f>+AD37</f>
        <v>20.529399999999999</v>
      </c>
      <c r="BK37" s="446">
        <f>+AH37</f>
        <v>19.4999</v>
      </c>
      <c r="BL37" s="446">
        <f>+AL37</f>
        <v>16.972000000000001</v>
      </c>
      <c r="BM37" s="446">
        <f>+AP37</f>
        <v>20.827200000000001</v>
      </c>
      <c r="BN37" s="446">
        <f>+AT37</f>
        <v>18.007999999999999</v>
      </c>
      <c r="BO37" s="447">
        <f t="shared" ref="BO37:BP37" si="33">+BN37*1.05</f>
        <v>18.9084</v>
      </c>
      <c r="BP37" s="447">
        <f t="shared" si="33"/>
        <v>19.853820000000002</v>
      </c>
      <c r="BQ37" s="447">
        <f t="shared" ref="BQ37" si="34">+BP37*1.05</f>
        <v>20.846511000000003</v>
      </c>
      <c r="BR37" s="447">
        <f t="shared" ref="BR37" si="35">+BQ37*1.05</f>
        <v>21.888836550000004</v>
      </c>
      <c r="BS37" s="447">
        <f t="shared" ref="BS37" si="36">+BR37*1.05</f>
        <v>22.983278377500007</v>
      </c>
    </row>
    <row r="38" spans="2:71">
      <c r="B38" s="175"/>
      <c r="C38" s="438"/>
      <c r="D38" s="438"/>
      <c r="E38" s="438"/>
      <c r="F38" s="438"/>
      <c r="G38" s="438"/>
      <c r="H38" s="438"/>
      <c r="I38" s="438"/>
      <c r="J38" s="438"/>
      <c r="K38" s="438"/>
      <c r="L38" s="438"/>
      <c r="M38" s="438"/>
      <c r="N38" s="438"/>
      <c r="O38" s="438"/>
      <c r="P38" s="438"/>
      <c r="Q38" s="438"/>
      <c r="R38" s="438"/>
      <c r="S38" s="438"/>
      <c r="T38" s="438"/>
      <c r="U38" s="1092"/>
      <c r="V38" s="1092"/>
      <c r="W38" s="1092"/>
      <c r="X38" s="1092"/>
      <c r="Y38" s="1092"/>
      <c r="Z38" s="1092"/>
      <c r="AA38" s="1254"/>
      <c r="AB38" s="1254"/>
      <c r="AC38" s="1254"/>
      <c r="AD38" s="1254"/>
      <c r="AE38" s="1254"/>
      <c r="AF38" s="438"/>
      <c r="AG38" s="438"/>
      <c r="AH38" s="438"/>
      <c r="AI38" s="438"/>
      <c r="AJ38" s="438"/>
      <c r="AK38" s="438"/>
      <c r="AL38" s="438"/>
      <c r="AM38" s="438"/>
      <c r="AN38" s="438"/>
      <c r="AO38" s="444"/>
      <c r="AP38" s="444"/>
      <c r="AQ38" s="444"/>
      <c r="AR38" s="444"/>
      <c r="AS38" s="444"/>
      <c r="AT38" s="444"/>
      <c r="AU38" s="444"/>
      <c r="AV38" s="444"/>
      <c r="AW38" s="444"/>
      <c r="AX38" s="444"/>
      <c r="BC38" s="446"/>
      <c r="BD38" s="446"/>
      <c r="BE38" s="446"/>
      <c r="BF38" s="446"/>
      <c r="BG38" s="446"/>
      <c r="BH38" s="446"/>
      <c r="BI38" s="446"/>
      <c r="BJ38" s="446"/>
      <c r="BK38" s="446"/>
      <c r="BL38" s="446"/>
      <c r="BM38" s="446"/>
      <c r="BN38" s="446"/>
      <c r="BO38" s="447"/>
      <c r="BP38" s="447"/>
      <c r="BQ38" s="447"/>
      <c r="BR38" s="447"/>
      <c r="BS38" s="447"/>
    </row>
    <row r="39" spans="2:71">
      <c r="B39" s="175" t="s">
        <v>875</v>
      </c>
      <c r="C39" s="439">
        <f t="shared" ref="C39:W39" si="37">AVERAGE(B33,C33)</f>
        <v>626.58000000000004</v>
      </c>
      <c r="D39" s="439">
        <f t="shared" si="37"/>
        <v>632.80999999999995</v>
      </c>
      <c r="E39" s="439">
        <f t="shared" si="37"/>
        <v>668.88</v>
      </c>
      <c r="F39" s="439">
        <f t="shared" si="37"/>
        <v>704.44</v>
      </c>
      <c r="G39" s="439">
        <f t="shared" si="37"/>
        <v>689.98</v>
      </c>
      <c r="H39" s="439">
        <f t="shared" si="37"/>
        <v>665.58500000000004</v>
      </c>
      <c r="I39" s="439">
        <f t="shared" si="37"/>
        <v>659.69499999999994</v>
      </c>
      <c r="J39" s="439">
        <f t="shared" si="37"/>
        <v>665.69</v>
      </c>
      <c r="K39" s="439">
        <f t="shared" si="37"/>
        <v>668.66499999999996</v>
      </c>
      <c r="L39" s="439">
        <f t="shared" si="37"/>
        <v>664.13</v>
      </c>
      <c r="M39" s="439">
        <f t="shared" si="37"/>
        <v>651.1099999999999</v>
      </c>
      <c r="N39" s="439">
        <f t="shared" si="37"/>
        <v>626.57500000000005</v>
      </c>
      <c r="O39" s="439">
        <f t="shared" si="37"/>
        <v>609.30500000000006</v>
      </c>
      <c r="P39" s="439">
        <f t="shared" si="37"/>
        <v>625.67000000000007</v>
      </c>
      <c r="Q39" s="439">
        <f t="shared" si="37"/>
        <v>654.18499999999995</v>
      </c>
      <c r="R39" s="439">
        <f t="shared" si="37"/>
        <v>677.59500000000003</v>
      </c>
      <c r="S39" s="439">
        <f t="shared" si="37"/>
        <v>686.65</v>
      </c>
      <c r="T39" s="439">
        <f t="shared" si="37"/>
        <v>678.83999999999992</v>
      </c>
      <c r="U39" s="439">
        <f t="shared" si="37"/>
        <v>697.12</v>
      </c>
      <c r="V39" s="439">
        <f t="shared" si="37"/>
        <v>732.19499999999994</v>
      </c>
      <c r="W39" s="439">
        <f t="shared" si="37"/>
        <v>802.75</v>
      </c>
      <c r="X39" s="439">
        <f t="shared" ref="X39:Y43" si="38">+(+X33+W33)/2</f>
        <v>839.25</v>
      </c>
      <c r="Y39" s="439">
        <f t="shared" si="38"/>
        <v>813.65</v>
      </c>
      <c r="Z39" s="1184">
        <v>760.4</v>
      </c>
      <c r="AA39" s="439">
        <v>724.37269841269847</v>
      </c>
      <c r="AB39" s="439">
        <v>715.49737704918039</v>
      </c>
      <c r="AC39" s="439">
        <v>773.73421874999985</v>
      </c>
      <c r="AD39" s="439">
        <v>826.76571428571424</v>
      </c>
      <c r="AE39" s="439">
        <v>808.16859375000013</v>
      </c>
      <c r="AF39" s="439">
        <v>845.1271875000001</v>
      </c>
      <c r="AG39" s="439">
        <v>927.20625000000007</v>
      </c>
      <c r="AH39" s="439">
        <v>913.69063492063481</v>
      </c>
      <c r="AI39" s="439">
        <v>810.09437500000013</v>
      </c>
      <c r="AJ39" s="439">
        <v>801.18230769230729</v>
      </c>
      <c r="AK39" s="439">
        <v>853.25046153846165</v>
      </c>
      <c r="AL39" s="439">
        <v>895.51492063492071</v>
      </c>
      <c r="AM39" s="439">
        <v>946.47421874999998</v>
      </c>
      <c r="AN39" s="439">
        <v>934.15809523809537</v>
      </c>
      <c r="AO39" s="2160">
        <f>+[4]value!BL3</f>
        <v>930.772258064516</v>
      </c>
      <c r="AP39" s="2160">
        <f>+[4]value!BM3</f>
        <v>963.48419354838711</v>
      </c>
      <c r="AQ39" s="2160">
        <f>+[4]value!BN3</f>
        <v>963.21730158730213</v>
      </c>
      <c r="AR39" s="2160">
        <f>+[4]value!BO3</f>
        <v>946.92741935483855</v>
      </c>
      <c r="AS39" s="2160">
        <f>+[4]value!BP3</f>
        <v>959.88145161290322</v>
      </c>
      <c r="AT39" s="2160">
        <f>+[4]value!BQ3</f>
        <v>934.34777777777799</v>
      </c>
      <c r="AU39" s="2160">
        <f>+[4]value!BR3</f>
        <v>892.96</v>
      </c>
      <c r="AV39" s="2160">
        <f>+[4]value!BS3</f>
        <v>882.19256810062825</v>
      </c>
      <c r="AW39" s="2160">
        <f>+[4]value!BT3</f>
        <v>881.2377406041436</v>
      </c>
      <c r="AX39" s="2160">
        <f>+[4]value!BU3</f>
        <v>884.00209157846689</v>
      </c>
      <c r="BC39" s="448">
        <v>570.32039682539687</v>
      </c>
      <c r="BD39" s="448">
        <v>654.2368106395935</v>
      </c>
      <c r="BE39" s="448">
        <f>AVERAGE(G39:J39)</f>
        <v>670.23749999999995</v>
      </c>
      <c r="BF39" s="448">
        <f>AVERAGE(K39:N39)</f>
        <v>652.62</v>
      </c>
      <c r="BG39" s="448">
        <f>AVERAGE(O39:R39)</f>
        <v>641.68875000000003</v>
      </c>
      <c r="BH39" s="448">
        <f>AVERAGE(S39:V39)</f>
        <v>698.70124999999985</v>
      </c>
      <c r="BI39" s="448">
        <f>AVERAGE(W39:Z39)</f>
        <v>804.01250000000005</v>
      </c>
      <c r="BJ39" s="448">
        <f>AVERAGE(AA39:AD39)</f>
        <v>760.09250212439827</v>
      </c>
      <c r="BK39" s="448">
        <f>AVERAGE(AE39:AH39)</f>
        <v>873.54816654265881</v>
      </c>
      <c r="BL39" s="448">
        <f>AVERAGE(AI39:AL39)</f>
        <v>840.0105162164225</v>
      </c>
      <c r="BM39" s="448">
        <f>AVERAGE(AM39:AP39)</f>
        <v>943.72219140024959</v>
      </c>
      <c r="BN39" s="448">
        <f>AVERAGE(AQ39:AT39)</f>
        <v>951.0934875832055</v>
      </c>
      <c r="BO39" s="439">
        <f t="shared" ref="BO39:BS41" si="39">AVERAGE(BN33,BO33)</f>
        <v>923.09450000000004</v>
      </c>
      <c r="BP39" s="439">
        <f t="shared" si="39"/>
        <v>969.24922500000002</v>
      </c>
      <c r="BQ39" s="439">
        <f t="shared" si="39"/>
        <v>1017.7116862500002</v>
      </c>
      <c r="BR39" s="439">
        <f t="shared" si="39"/>
        <v>1068.5972705625004</v>
      </c>
      <c r="BS39" s="439">
        <f t="shared" si="39"/>
        <v>1122.0271340906254</v>
      </c>
    </row>
    <row r="40" spans="2:71">
      <c r="B40" s="175" t="s">
        <v>876</v>
      </c>
      <c r="C40" s="439"/>
      <c r="D40" s="439">
        <f t="shared" ref="D40:V40" si="40">+(+D34+C34)/2</f>
        <v>3.1379999999999999</v>
      </c>
      <c r="E40" s="439">
        <f t="shared" si="40"/>
        <v>3.2009999999999996</v>
      </c>
      <c r="F40" s="439">
        <f t="shared" si="40"/>
        <v>3.3179999999999996</v>
      </c>
      <c r="G40" s="439">
        <f t="shared" si="40"/>
        <v>3.3704999999999998</v>
      </c>
      <c r="H40" s="439">
        <f t="shared" si="40"/>
        <v>3.3099999999999996</v>
      </c>
      <c r="I40" s="439">
        <f t="shared" si="40"/>
        <v>3.3475000000000001</v>
      </c>
      <c r="J40" s="439">
        <f t="shared" si="40"/>
        <v>3.3815</v>
      </c>
      <c r="K40" s="439">
        <f t="shared" si="40"/>
        <v>3.3045</v>
      </c>
      <c r="L40" s="439">
        <f t="shared" si="40"/>
        <v>3.2519999999999998</v>
      </c>
      <c r="M40" s="439">
        <f t="shared" si="40"/>
        <v>3.2610000000000001</v>
      </c>
      <c r="N40" s="439">
        <f t="shared" si="40"/>
        <v>3.2554999999999996</v>
      </c>
      <c r="O40" s="439">
        <f t="shared" si="40"/>
        <v>3.2364999999999999</v>
      </c>
      <c r="P40" s="439">
        <f t="shared" si="40"/>
        <v>3.2515000000000001</v>
      </c>
      <c r="Q40" s="439">
        <f t="shared" si="40"/>
        <v>3.2880000000000003</v>
      </c>
      <c r="R40" s="439">
        <f t="shared" si="40"/>
        <v>3.3405</v>
      </c>
      <c r="S40" s="439">
        <f t="shared" si="40"/>
        <v>3.35</v>
      </c>
      <c r="T40" s="439">
        <f t="shared" si="40"/>
        <v>3.3055000000000003</v>
      </c>
      <c r="U40" s="439">
        <f t="shared" si="40"/>
        <v>3.3025000000000002</v>
      </c>
      <c r="V40" s="439">
        <f t="shared" si="40"/>
        <v>3.3125</v>
      </c>
      <c r="W40" s="439">
        <f>AVERAGE(V34,W34)</f>
        <v>3.3737500000000002</v>
      </c>
      <c r="X40" s="439">
        <f t="shared" si="38"/>
        <v>3.492</v>
      </c>
      <c r="Y40" s="439">
        <f t="shared" si="38"/>
        <v>3.5572499999999998</v>
      </c>
      <c r="Z40" s="1184">
        <v>3.6</v>
      </c>
      <c r="AA40" s="439">
        <v>3.6617603174603173</v>
      </c>
      <c r="AB40" s="439">
        <v>3.7947612903225814</v>
      </c>
      <c r="AC40" s="439">
        <v>4.0495761904761904</v>
      </c>
      <c r="AD40" s="439">
        <v>4.0230730158730159</v>
      </c>
      <c r="AE40" s="439">
        <v>3.8033031249999993</v>
      </c>
      <c r="AF40" s="439">
        <v>3.7478112903225802</v>
      </c>
      <c r="AG40" s="439">
        <v>3.8924000000000003</v>
      </c>
      <c r="AH40" s="439">
        <v>3.8939951612903227</v>
      </c>
      <c r="AI40" s="439">
        <v>3.8158515625000002</v>
      </c>
      <c r="AJ40" s="439">
        <v>3.6973836065573766</v>
      </c>
      <c r="AK40" s="439">
        <v>3.6777460317460315</v>
      </c>
      <c r="AL40" s="439">
        <v>3.7821435483870971</v>
      </c>
      <c r="AM40" s="439">
        <v>3.7602278688524602</v>
      </c>
      <c r="AN40" s="439">
        <v>3.7436238095238092</v>
      </c>
      <c r="AO40" s="2160">
        <f>+[4]value!BL4</f>
        <v>3.7567983870967741</v>
      </c>
      <c r="AP40" s="2160">
        <f>+[4]value!BM4</f>
        <v>3.7559290322580638</v>
      </c>
      <c r="AQ40" s="2160">
        <f>+[4]value!BN4</f>
        <v>3.6998190476190467</v>
      </c>
      <c r="AR40" s="2160">
        <f>+[4]value!BO4</f>
        <v>3.6524661290322582</v>
      </c>
      <c r="AS40" s="2160">
        <f>+[4]value!BP4</f>
        <v>3.5323920634920638</v>
      </c>
      <c r="AT40" s="2160">
        <f>+[4]value!BQ4</f>
        <v>3.3853645161290329</v>
      </c>
      <c r="AU40" s="2160">
        <f>+[4]value!BR4</f>
        <v>3.3611</v>
      </c>
      <c r="AV40" s="2160">
        <f>+[4]value!BS4</f>
        <v>3.3531107393612052</v>
      </c>
      <c r="AW40" s="2160">
        <f>+[4]value!BT4</f>
        <v>3.3373606056596605</v>
      </c>
      <c r="AX40" s="2160">
        <f>+[4]value!BU4</f>
        <v>3.3321132058226843</v>
      </c>
      <c r="BC40" s="448">
        <v>2.8394198604347043</v>
      </c>
      <c r="BD40" s="448">
        <v>3.1868766609587604</v>
      </c>
      <c r="BE40" s="448">
        <f>AVERAGE(G40:J40)</f>
        <v>3.3523749999999994</v>
      </c>
      <c r="BF40" s="448">
        <f>AVERAGE(K40:N40)</f>
        <v>3.2682499999999997</v>
      </c>
      <c r="BG40" s="448">
        <f>AVERAGE(O40:R40)</f>
        <v>3.2791250000000001</v>
      </c>
      <c r="BH40" s="448">
        <f>AVERAGE(S40:V40)</f>
        <v>3.317625</v>
      </c>
      <c r="BI40" s="448">
        <f>AVERAGE(W40:Z40)</f>
        <v>3.5057499999999999</v>
      </c>
      <c r="BJ40" s="448">
        <f>AVERAGE(AA40:AD40)</f>
        <v>3.8822927035330261</v>
      </c>
      <c r="BK40" s="448">
        <f>AVERAGE(AE40:AH40)</f>
        <v>3.8343773941532255</v>
      </c>
      <c r="BL40" s="448">
        <f>AVERAGE(AI40:AL40)</f>
        <v>3.7432811872976264</v>
      </c>
      <c r="BM40" s="448">
        <f>AVERAGE(AM40:AP40)</f>
        <v>3.7541447744327767</v>
      </c>
      <c r="BN40" s="448">
        <f>AVERAGE(AQ40:AT40)</f>
        <v>3.5675104390681005</v>
      </c>
      <c r="BO40" s="439">
        <f t="shared" si="39"/>
        <v>3.4129375</v>
      </c>
      <c r="BP40" s="439">
        <f t="shared" si="39"/>
        <v>3.515325625</v>
      </c>
      <c r="BQ40" s="439">
        <f t="shared" si="39"/>
        <v>3.6207853937500003</v>
      </c>
      <c r="BR40" s="439">
        <f t="shared" si="39"/>
        <v>3.7294089555625005</v>
      </c>
      <c r="BS40" s="439">
        <f t="shared" si="39"/>
        <v>3.841291224229376</v>
      </c>
    </row>
    <row r="41" spans="2:71">
      <c r="B41" s="175" t="s">
        <v>877</v>
      </c>
      <c r="C41" s="443"/>
      <c r="D41" s="443">
        <f t="shared" ref="D41:V41" si="41">+(+D35+C35)/2</f>
        <v>2598.52</v>
      </c>
      <c r="E41" s="443">
        <f t="shared" si="41"/>
        <v>2842.7150000000001</v>
      </c>
      <c r="F41" s="443">
        <f t="shared" si="41"/>
        <v>3118.1099999999997</v>
      </c>
      <c r="G41" s="443">
        <f t="shared" si="41"/>
        <v>3075.05</v>
      </c>
      <c r="H41" s="443">
        <f t="shared" si="41"/>
        <v>2959.82</v>
      </c>
      <c r="I41" s="443">
        <f t="shared" si="41"/>
        <v>2899.5450000000001</v>
      </c>
      <c r="J41" s="443">
        <f t="shared" si="41"/>
        <v>2930.5699999999997</v>
      </c>
      <c r="K41" s="443">
        <f t="shared" si="41"/>
        <v>2933.3150000000001</v>
      </c>
      <c r="L41" s="443">
        <f t="shared" si="41"/>
        <v>2968</v>
      </c>
      <c r="M41" s="443">
        <f t="shared" si="41"/>
        <v>2993.55</v>
      </c>
      <c r="N41" s="443">
        <f t="shared" si="41"/>
        <v>2954.15</v>
      </c>
      <c r="O41" s="443">
        <f t="shared" si="41"/>
        <v>2876.05</v>
      </c>
      <c r="P41" s="443">
        <f t="shared" si="41"/>
        <v>2855.6350000000002</v>
      </c>
      <c r="Q41" s="443">
        <f t="shared" si="41"/>
        <v>2951.49</v>
      </c>
      <c r="R41" s="443">
        <f t="shared" si="41"/>
        <v>3110.9650000000001</v>
      </c>
      <c r="S41" s="443">
        <f t="shared" si="41"/>
        <v>3212.27</v>
      </c>
      <c r="T41" s="443">
        <f t="shared" si="41"/>
        <v>3186.01</v>
      </c>
      <c r="U41" s="443">
        <f t="shared" si="41"/>
        <v>3309.1149999999998</v>
      </c>
      <c r="V41" s="443">
        <f t="shared" si="41"/>
        <v>3350.35</v>
      </c>
      <c r="W41" s="443">
        <f>+(+W35+V35)/2</f>
        <v>3668.4749999999999</v>
      </c>
      <c r="X41" s="443">
        <f t="shared" si="38"/>
        <v>3906.75</v>
      </c>
      <c r="Y41" s="443">
        <f t="shared" si="38"/>
        <v>3758.7249999999999</v>
      </c>
      <c r="Z41" s="1186">
        <v>3657.9</v>
      </c>
      <c r="AA41" s="443">
        <v>3560.9698412698403</v>
      </c>
      <c r="AB41" s="443">
        <v>3695.2459999999992</v>
      </c>
      <c r="AC41" s="443">
        <v>3847.7810769230778</v>
      </c>
      <c r="AD41" s="443">
        <v>3886.9743939393948</v>
      </c>
      <c r="AE41" s="443">
        <v>3907.8168749999991</v>
      </c>
      <c r="AF41" s="443">
        <v>3923.7173846153846</v>
      </c>
      <c r="AG41" s="443">
        <v>4388.0369696969719</v>
      </c>
      <c r="AH41" s="443">
        <v>4820.8119047619066</v>
      </c>
      <c r="AI41" s="443">
        <v>4756.8161538461545</v>
      </c>
      <c r="AJ41" s="443">
        <v>4406.0674193548384</v>
      </c>
      <c r="AK41" s="443">
        <v>4044.2606153846164</v>
      </c>
      <c r="AL41" s="443">
        <v>4072.6467796610182</v>
      </c>
      <c r="AM41" s="443">
        <v>3919.6001666666662</v>
      </c>
      <c r="AN41" s="443">
        <v>3928.7760655737693</v>
      </c>
      <c r="AO41" s="2161">
        <f>+[4]value!BL5</f>
        <v>4097.1941269841263</v>
      </c>
      <c r="AP41" s="2161">
        <f>+[4]value!BM5</f>
        <v>4352.0903225806451</v>
      </c>
      <c r="AQ41" s="2161">
        <f>+[4]value!BN5</f>
        <v>4183.6350819672134</v>
      </c>
      <c r="AR41" s="2161">
        <f>+[4]value!BO5</f>
        <v>4196.3313333333354</v>
      </c>
      <c r="AS41" s="2161">
        <f>+[4]value!BP5</f>
        <v>4003.5978125000006</v>
      </c>
      <c r="AT41" s="2161">
        <f>+[4]value!BQ5</f>
        <v>3818.866065573769</v>
      </c>
      <c r="AU41" s="2161">
        <f>+[4]value!BR5</f>
        <v>3746.5050000000001</v>
      </c>
      <c r="AV41" s="2161">
        <f>+[4]value!BS5</f>
        <v>3719.0578765935747</v>
      </c>
      <c r="AW41" s="2161">
        <f>+[4]value!BT5</f>
        <v>3721.1690940506996</v>
      </c>
      <c r="AX41" s="2161">
        <f>+[4]value!BU5</f>
        <v>3724.1106364322909</v>
      </c>
      <c r="BC41" s="452">
        <v>2001.4665968326321</v>
      </c>
      <c r="BD41" s="452">
        <v>2742.1708808611902</v>
      </c>
      <c r="BE41" s="448">
        <f>AVERAGE(G41:J41)</f>
        <v>2966.2462500000001</v>
      </c>
      <c r="BF41" s="448">
        <f>AVERAGE(K41:N41)</f>
        <v>2962.2537500000003</v>
      </c>
      <c r="BG41" s="448">
        <f>AVERAGE(O41:R41)</f>
        <v>2948.5349999999999</v>
      </c>
      <c r="BH41" s="448">
        <f>AVERAGE(S41:V41)</f>
        <v>3264.4362500000002</v>
      </c>
      <c r="BI41" s="448">
        <f>AVERAGE(W41:Z41)</f>
        <v>3747.9625000000001</v>
      </c>
      <c r="BJ41" s="448">
        <f>AVERAGE(AA41:AD41)</f>
        <v>3747.7428280330778</v>
      </c>
      <c r="BK41" s="448">
        <f>AVERAGE(AE41:AH41)</f>
        <v>4260.0957835185654</v>
      </c>
      <c r="BL41" s="448">
        <f>AVERAGE(AI41:AL41)</f>
        <v>4319.9477420616577</v>
      </c>
      <c r="BM41" s="448">
        <f>AVERAGE(AM41:AP41)</f>
        <v>4074.4151704513019</v>
      </c>
      <c r="BN41" s="448">
        <f>AVERAGE(AQ41:AT41)</f>
        <v>4050.6075733435796</v>
      </c>
      <c r="BO41" s="439">
        <f t="shared" si="39"/>
        <v>3853.1723999999999</v>
      </c>
      <c r="BP41" s="439">
        <f t="shared" si="39"/>
        <v>4007.2992960000001</v>
      </c>
      <c r="BQ41" s="439">
        <f t="shared" si="39"/>
        <v>4167.59126784</v>
      </c>
      <c r="BR41" s="439">
        <f t="shared" si="39"/>
        <v>4334.2949185536008</v>
      </c>
      <c r="BS41" s="439">
        <f t="shared" si="39"/>
        <v>4507.6667152957452</v>
      </c>
    </row>
    <row r="42" spans="2:71">
      <c r="B42" s="175" t="s">
        <v>878</v>
      </c>
      <c r="C42" s="439"/>
      <c r="D42" s="439">
        <f t="shared" ref="D42:V42" si="42">+(+D36+C36)/2</f>
        <v>8.8213000000000008</v>
      </c>
      <c r="E42" s="439">
        <f t="shared" si="42"/>
        <v>9.1023999999999994</v>
      </c>
      <c r="F42" s="439">
        <f t="shared" si="42"/>
        <v>9.6819999999999986</v>
      </c>
      <c r="G42" s="439">
        <f t="shared" si="42"/>
        <v>12.29485</v>
      </c>
      <c r="H42" s="439">
        <f t="shared" si="42"/>
        <v>14.352699999999999</v>
      </c>
      <c r="I42" s="439">
        <f t="shared" si="42"/>
        <v>14.591999999999999</v>
      </c>
      <c r="J42" s="439">
        <f t="shared" si="42"/>
        <v>15.2012</v>
      </c>
      <c r="K42" s="439">
        <f t="shared" si="42"/>
        <v>15.565650000000002</v>
      </c>
      <c r="L42" s="439">
        <f t="shared" si="42"/>
        <v>15.708300000000001</v>
      </c>
      <c r="M42" s="439">
        <f t="shared" si="42"/>
        <v>16.504549999999998</v>
      </c>
      <c r="N42" s="439">
        <f t="shared" si="42"/>
        <v>17.413550000000001</v>
      </c>
      <c r="O42" s="439">
        <f t="shared" si="42"/>
        <v>18.6142</v>
      </c>
      <c r="P42" s="439">
        <f t="shared" si="42"/>
        <v>21.630949999999999</v>
      </c>
      <c r="Q42" s="439">
        <f t="shared" si="42"/>
        <v>27.768650000000001</v>
      </c>
      <c r="R42" s="439">
        <f t="shared" si="42"/>
        <v>34.525700000000001</v>
      </c>
      <c r="S42" s="439">
        <f t="shared" si="42"/>
        <v>38.049300000000002</v>
      </c>
      <c r="T42" s="439">
        <f t="shared" si="42"/>
        <v>41.5047</v>
      </c>
      <c r="U42" s="439">
        <f t="shared" si="42"/>
        <v>47.267699999999998</v>
      </c>
      <c r="V42" s="439">
        <f t="shared" si="42"/>
        <v>57.637500000000003</v>
      </c>
      <c r="W42" s="439">
        <f>+(+W36+V36)/2</f>
        <v>63.109749999999998</v>
      </c>
      <c r="X42" s="439">
        <f t="shared" si="38"/>
        <v>64.586950000000002</v>
      </c>
      <c r="Y42" s="439">
        <f t="shared" si="38"/>
        <v>70.116424342863326</v>
      </c>
      <c r="Z42" s="1184">
        <v>79.930000000000007</v>
      </c>
      <c r="AA42" s="439">
        <v>88.652315000000044</v>
      </c>
      <c r="AB42" s="439">
        <v>94.015783870967752</v>
      </c>
      <c r="AC42" s="439">
        <v>97.259107812500005</v>
      </c>
      <c r="AD42" s="439">
        <v>100.50011333333332</v>
      </c>
      <c r="AE42" s="439">
        <v>106.59145573770493</v>
      </c>
      <c r="AF42" s="439">
        <v>118.03298305084743</v>
      </c>
      <c r="AG42" s="439">
        <v>135.83681538461533</v>
      </c>
      <c r="AH42" s="439">
        <v>162.69438833333328</v>
      </c>
      <c r="AI42" s="439">
        <v>192.43874677419356</v>
      </c>
      <c r="AJ42" s="439">
        <v>232.7061448275862</v>
      </c>
      <c r="AK42" s="439">
        <v>312.99490000000003</v>
      </c>
      <c r="AL42" s="439">
        <v>445.28677627118628</v>
      </c>
      <c r="AM42" s="439">
        <v>833.69707500000015</v>
      </c>
      <c r="AN42" s="439">
        <v>885.61801186440687</v>
      </c>
      <c r="AO42" s="2160">
        <f>+[4]value!BL6</f>
        <v>941.2671184615383</v>
      </c>
      <c r="AP42" s="2160">
        <f>+[4]value!BM6</f>
        <v>999.70919365079408</v>
      </c>
      <c r="AQ42" s="2160">
        <f>+[4]value!BN6</f>
        <v>1055.0397583333333</v>
      </c>
      <c r="AR42" s="2160">
        <f>+[4]value!BO6</f>
        <v>1150.968575862069</v>
      </c>
      <c r="AS42" s="2160">
        <f>+[4]value!BP6</f>
        <v>1333.3734749999999</v>
      </c>
      <c r="AT42" s="2160">
        <f>+[4]value!BQ6</f>
        <v>1437.6269416666667</v>
      </c>
      <c r="AU42" s="2160">
        <f>+[4]value!BR6</f>
        <v>1458.9375</v>
      </c>
      <c r="AV42" s="2160">
        <f>+[4]value!BS6</f>
        <v>1564.303294551685</v>
      </c>
      <c r="AW42" s="2160">
        <f>+[4]value!BT6</f>
        <v>1689.2354537536849</v>
      </c>
      <c r="AX42" s="2160">
        <f>+[4]value!BU6</f>
        <v>1737.7471477643785</v>
      </c>
      <c r="BC42" s="448">
        <v>8.1170142381709027</v>
      </c>
      <c r="BD42" s="448">
        <v>9.2681265815880565</v>
      </c>
      <c r="BE42" s="448">
        <f>AVERAGE(G42:J42)</f>
        <v>14.110187499999999</v>
      </c>
      <c r="BF42" s="448">
        <f>AVERAGE(K42:N42)</f>
        <v>16.298012499999999</v>
      </c>
      <c r="BG42" s="448">
        <f>AVERAGE(O42:R42)</f>
        <v>25.634875000000001</v>
      </c>
      <c r="BH42" s="448">
        <f>AVERAGE(S42:V42)</f>
        <v>46.114800000000002</v>
      </c>
      <c r="BI42" s="448">
        <f>AVERAGE(W42:Z42)</f>
        <v>69.435781085715831</v>
      </c>
      <c r="BJ42" s="448">
        <f>AVERAGE(AA42:AD42)</f>
        <v>95.10683000420029</v>
      </c>
      <c r="BK42" s="448">
        <f>AVERAGE(AE42:AH42)</f>
        <v>130.78891062662524</v>
      </c>
      <c r="BL42" s="448">
        <f>AVERAGE(AI42:AL42)</f>
        <v>295.85664196824149</v>
      </c>
      <c r="BM42" s="448">
        <f>AVERAGE(AM42:AP42)</f>
        <v>915.07284974418485</v>
      </c>
      <c r="BN42" s="448">
        <f>AVERAGE(AQ42:AT42)</f>
        <v>1244.2521877155173</v>
      </c>
      <c r="BO42" s="439">
        <f>+(+BO36+BN36)/2</f>
        <v>1524.20373</v>
      </c>
      <c r="BP42" s="439">
        <f>+(+BP36+BO36)/2</f>
        <v>1676.6241030000001</v>
      </c>
      <c r="BQ42" s="439">
        <f>+(+BQ36+BP36)/2</f>
        <v>1844.2865133000005</v>
      </c>
      <c r="BR42" s="439">
        <f>+(+BR36+BQ36)/2</f>
        <v>2028.7151646300006</v>
      </c>
      <c r="BS42" s="439">
        <f>+(+BS36+BR36)/2</f>
        <v>2231.5866810930011</v>
      </c>
    </row>
    <row r="43" spans="2:71">
      <c r="B43" s="175" t="s">
        <v>879</v>
      </c>
      <c r="C43" s="439">
        <f t="shared" ref="C43:W43" si="43">AVERAGE(B37,C37)</f>
        <v>15.264699999999999</v>
      </c>
      <c r="D43" s="439">
        <f t="shared" si="43"/>
        <v>15.47505</v>
      </c>
      <c r="E43" s="439">
        <f t="shared" si="43"/>
        <v>16.295349999999999</v>
      </c>
      <c r="F43" s="439">
        <f t="shared" si="43"/>
        <v>17.076999999999998</v>
      </c>
      <c r="G43" s="439">
        <f t="shared" si="43"/>
        <v>17.242849999999997</v>
      </c>
      <c r="H43" s="439">
        <f t="shared" si="43"/>
        <v>17.8508</v>
      </c>
      <c r="I43" s="439">
        <f t="shared" si="43"/>
        <v>18.921100000000003</v>
      </c>
      <c r="J43" s="439">
        <f t="shared" si="43"/>
        <v>19.9985</v>
      </c>
      <c r="K43" s="439">
        <f t="shared" si="43"/>
        <v>19.707450000000001</v>
      </c>
      <c r="L43" s="439">
        <f t="shared" si="43"/>
        <v>18.42905</v>
      </c>
      <c r="M43" s="439">
        <f t="shared" si="43"/>
        <v>18.110799999999998</v>
      </c>
      <c r="N43" s="439">
        <f t="shared" si="43"/>
        <v>18.91095</v>
      </c>
      <c r="O43" s="439">
        <f t="shared" si="43"/>
        <v>18.966900000000003</v>
      </c>
      <c r="P43" s="439">
        <f t="shared" si="43"/>
        <v>18.98105</v>
      </c>
      <c r="Q43" s="439">
        <f t="shared" si="43"/>
        <v>19.207149999999999</v>
      </c>
      <c r="R43" s="439">
        <f t="shared" si="43"/>
        <v>19.187149999999999</v>
      </c>
      <c r="S43" s="439">
        <f t="shared" si="43"/>
        <v>19.552799999999998</v>
      </c>
      <c r="T43" s="439">
        <f t="shared" si="43"/>
        <v>19.346350000000001</v>
      </c>
      <c r="U43" s="439">
        <f t="shared" si="43"/>
        <v>19.48415</v>
      </c>
      <c r="V43" s="439">
        <f t="shared" si="43"/>
        <v>19.325000000000003</v>
      </c>
      <c r="W43" s="439">
        <f t="shared" si="43"/>
        <v>21.335000000000001</v>
      </c>
      <c r="X43" s="439">
        <f t="shared" si="38"/>
        <v>23.375</v>
      </c>
      <c r="Y43" s="439">
        <f t="shared" si="38"/>
        <v>22.675000000000001</v>
      </c>
      <c r="Z43" s="1184">
        <v>20.56</v>
      </c>
      <c r="AA43" s="1255">
        <v>20.340296875000007</v>
      </c>
      <c r="AB43" s="1255">
        <v>20.020470769230773</v>
      </c>
      <c r="AC43" s="1255">
        <v>20.033242424242431</v>
      </c>
      <c r="AD43" s="1255">
        <v>20.748074242424238</v>
      </c>
      <c r="AE43" s="1255">
        <v>20.501793749999983</v>
      </c>
      <c r="AF43" s="439">
        <v>20.030058461538459</v>
      </c>
      <c r="AG43" s="439">
        <v>20.23374545454546</v>
      </c>
      <c r="AH43" s="439">
        <v>19.670035384615385</v>
      </c>
      <c r="AI43" s="439">
        <v>18.651975384615387</v>
      </c>
      <c r="AJ43" s="439">
        <v>17.673632307692309</v>
      </c>
      <c r="AK43" s="439">
        <v>17.070366153846152</v>
      </c>
      <c r="AL43" s="439">
        <v>17.553212307692313</v>
      </c>
      <c r="AM43" s="439">
        <v>16.977137500000001</v>
      </c>
      <c r="AN43" s="439">
        <v>17.246687692307688</v>
      </c>
      <c r="AO43" s="2160">
        <f>+[4]value!BL9</f>
        <v>18.947240909090912</v>
      </c>
      <c r="AP43" s="2160">
        <f>+[4]value!BM9</f>
        <v>20.084412121212114</v>
      </c>
      <c r="AQ43" s="2160">
        <f>+[4]value!BN9</f>
        <v>20.418701562499997</v>
      </c>
      <c r="AR43" s="2160">
        <f>+[4]value!BO9</f>
        <v>19.49283384615384</v>
      </c>
      <c r="AS43" s="2160">
        <f>+[4]value!BP9</f>
        <v>18.628316666666667</v>
      </c>
      <c r="AT43" s="2160">
        <f>+[4]value!BQ9</f>
        <v>18.301781818181823</v>
      </c>
      <c r="AU43" s="2160">
        <f>+[4]value!BR9</f>
        <v>17.9651</v>
      </c>
      <c r="AV43" s="2160">
        <f>+[4]value!BS9</f>
        <v>17.935332365899278</v>
      </c>
      <c r="AW43" s="2160">
        <f>+[4]value!BT9</f>
        <v>17.935823457453608</v>
      </c>
      <c r="AX43" s="2160">
        <f>+[4]value!BU9</f>
        <v>18.032351621902681</v>
      </c>
      <c r="BC43" s="448">
        <v>13.304299729114978</v>
      </c>
      <c r="BD43" s="448">
        <v>15.86696511354528</v>
      </c>
      <c r="BE43" s="448">
        <f>AVERAGE(G43:J43)</f>
        <v>18.5033125</v>
      </c>
      <c r="BF43" s="448">
        <f>AVERAGE(K43:N43)</f>
        <v>18.789562499999999</v>
      </c>
      <c r="BG43" s="448">
        <f>AVERAGE(O43:R43)</f>
        <v>19.085562500000002</v>
      </c>
      <c r="BH43" s="448">
        <f>AVERAGE(S43:V43)</f>
        <v>19.427075000000002</v>
      </c>
      <c r="BI43" s="448">
        <f>AVERAGE(W43:Z43)</f>
        <v>21.986250000000002</v>
      </c>
      <c r="BJ43" s="448">
        <f>AVERAGE(AA43:AD43)</f>
        <v>20.285521077724361</v>
      </c>
      <c r="BK43" s="448">
        <f>AVERAGE(AE43:AH43)</f>
        <v>20.108908262674824</v>
      </c>
      <c r="BL43" s="448">
        <f>AVERAGE(AI43:AL43)</f>
        <v>17.737296538461543</v>
      </c>
      <c r="BM43" s="448">
        <f>AVERAGE(AM43:AP43)</f>
        <v>18.313869555652676</v>
      </c>
      <c r="BN43" s="448">
        <f>AVERAGE(AQ43:AT43)</f>
        <v>19.21040847337558</v>
      </c>
      <c r="BO43" s="439">
        <f>AVERAGE(BN37,BO37)</f>
        <v>18.458199999999998</v>
      </c>
      <c r="BP43" s="439">
        <f>AVERAGE(BO37,BP37)</f>
        <v>19.38111</v>
      </c>
      <c r="BQ43" s="439">
        <f>AVERAGE(BP37,BQ37)</f>
        <v>20.350165500000003</v>
      </c>
      <c r="BR43" s="439">
        <f>AVERAGE(BQ37,BR37)</f>
        <v>21.367673775000004</v>
      </c>
      <c r="BS43" s="439">
        <f>AVERAGE(BR37,BS37)</f>
        <v>22.436057463750004</v>
      </c>
    </row>
    <row r="44" spans="2:71" ht="13.5">
      <c r="B44" s="175"/>
      <c r="C44" s="441"/>
      <c r="D44" s="441"/>
      <c r="E44" s="441"/>
      <c r="F44" s="441"/>
      <c r="G44" s="441"/>
      <c r="H44" s="441"/>
      <c r="I44" s="441"/>
      <c r="J44" s="441"/>
      <c r="K44" s="441"/>
      <c r="L44" s="441"/>
      <c r="M44" s="441"/>
      <c r="N44" s="441"/>
      <c r="O44" s="441"/>
      <c r="P44" s="441"/>
      <c r="Q44" s="441"/>
      <c r="R44" s="441"/>
      <c r="S44" s="441"/>
      <c r="T44" s="441"/>
      <c r="U44" s="441"/>
      <c r="V44" s="441"/>
      <c r="W44" s="441"/>
      <c r="X44" s="441"/>
      <c r="Y44" s="441"/>
      <c r="Z44" s="441"/>
      <c r="AA44" s="1256"/>
      <c r="AB44" s="1256"/>
      <c r="AC44" s="1256"/>
      <c r="AD44" s="1256"/>
      <c r="AE44" s="441"/>
      <c r="AF44" s="441"/>
      <c r="AG44" s="441"/>
      <c r="AH44" s="441"/>
      <c r="AI44" s="441"/>
      <c r="AJ44" s="441"/>
      <c r="AK44" s="441"/>
      <c r="AL44" s="441"/>
      <c r="AM44" s="441"/>
      <c r="AN44" s="441"/>
      <c r="AO44" s="441"/>
      <c r="AP44" s="441"/>
      <c r="AQ44" s="441"/>
      <c r="AR44" s="441"/>
      <c r="AS44" s="441"/>
      <c r="AT44" s="441"/>
      <c r="AU44" s="441"/>
      <c r="AV44" s="441"/>
      <c r="AW44" s="441"/>
      <c r="AX44" s="441"/>
      <c r="BC44" s="449"/>
      <c r="BD44" s="449"/>
      <c r="BE44" s="449"/>
      <c r="BF44" s="449"/>
      <c r="BG44" s="449"/>
      <c r="BH44" s="449"/>
      <c r="BI44" s="449"/>
      <c r="BJ44" s="450"/>
      <c r="BK44" s="450"/>
      <c r="BL44" s="450"/>
      <c r="BM44" s="450"/>
      <c r="BN44" s="450"/>
    </row>
    <row r="45" spans="2:71" ht="13.5">
      <c r="B45" s="175"/>
      <c r="G45" s="441"/>
      <c r="H45" s="441"/>
      <c r="I45" s="441"/>
      <c r="J45" s="441"/>
      <c r="K45" s="441"/>
      <c r="L45" s="441"/>
      <c r="M45" s="441"/>
      <c r="N45" s="441"/>
      <c r="O45" s="441"/>
      <c r="P45" s="441"/>
      <c r="Q45" s="441"/>
      <c r="R45" s="441"/>
      <c r="S45" s="441"/>
      <c r="T45" s="441"/>
      <c r="U45" s="441"/>
      <c r="V45" s="441"/>
      <c r="W45" s="441"/>
      <c r="X45" s="441"/>
      <c r="Y45" s="441"/>
      <c r="Z45" s="441"/>
      <c r="AA45" s="441"/>
      <c r="AB45" s="441"/>
      <c r="AC45" s="441"/>
      <c r="AD45" s="441"/>
      <c r="AE45" s="441"/>
      <c r="AF45" s="441"/>
      <c r="AG45" s="441"/>
      <c r="AH45" s="441"/>
      <c r="AI45" s="441"/>
      <c r="AJ45" s="441"/>
      <c r="AK45" s="441"/>
      <c r="AL45" s="441"/>
      <c r="AM45" s="441"/>
      <c r="AN45" s="441"/>
      <c r="AO45" s="441"/>
      <c r="AP45" s="441"/>
      <c r="AQ45" s="441"/>
      <c r="AR45" s="441"/>
      <c r="AS45" s="441"/>
      <c r="AT45" s="441"/>
      <c r="AU45" s="441"/>
      <c r="AV45" s="441"/>
      <c r="AW45" s="441"/>
      <c r="AX45" s="441"/>
      <c r="BE45" s="453"/>
      <c r="BF45" s="453"/>
      <c r="BG45" s="453"/>
      <c r="BH45" s="453"/>
      <c r="BI45" s="453"/>
      <c r="BJ45" s="454"/>
      <c r="BK45" s="454"/>
      <c r="BL45" s="454"/>
      <c r="BM45" s="454"/>
      <c r="BN45" s="454"/>
    </row>
    <row r="46" spans="2:71">
      <c r="B46" s="175" t="s">
        <v>880</v>
      </c>
      <c r="G46" s="1092">
        <v>1.3038000000000001</v>
      </c>
      <c r="H46" s="1092">
        <v>1.3425</v>
      </c>
      <c r="I46" s="1092">
        <v>1.3109</v>
      </c>
      <c r="J46" s="1092">
        <v>1.3822000000000001</v>
      </c>
      <c r="K46" s="1092">
        <v>1.3063</v>
      </c>
      <c r="L46" s="1092">
        <v>1.3011999999999999</v>
      </c>
      <c r="M46" s="1092">
        <v>1.2745</v>
      </c>
      <c r="N46" s="1092">
        <v>1.2817000000000001</v>
      </c>
      <c r="O46" s="1092">
        <v>1.3</v>
      </c>
      <c r="P46" s="1092">
        <v>1.3612</v>
      </c>
      <c r="Q46" s="1092">
        <v>1.3843000000000001</v>
      </c>
      <c r="R46" s="1092">
        <v>1.4200999999999999</v>
      </c>
      <c r="S46" s="1092">
        <v>1.4056999999999999</v>
      </c>
      <c r="T46" s="1092">
        <v>1.4238</v>
      </c>
      <c r="U46" s="1092">
        <v>1.4807999999999999</v>
      </c>
      <c r="V46" s="1092">
        <v>1.4251</v>
      </c>
      <c r="W46" s="1092">
        <v>1.6294999999999999</v>
      </c>
      <c r="X46" s="1092">
        <v>1.4490000000000001</v>
      </c>
      <c r="Y46" s="1092">
        <v>1.4</v>
      </c>
      <c r="Z46" s="1092">
        <v>1.3</v>
      </c>
      <c r="AA46" s="438">
        <f>+[5]Worksheet!O$24</f>
        <v>1.3158000000000001</v>
      </c>
      <c r="AB46" s="438">
        <f>+[5]Worksheet!P$24</f>
        <v>1.3339000000000001</v>
      </c>
      <c r="AC46" s="438">
        <f>+[5]Worksheet!Q$24</f>
        <v>1.3829</v>
      </c>
      <c r="AD46" s="438">
        <f>+[5]Worksheet!R$24</f>
        <v>1.3761000000000001</v>
      </c>
      <c r="AE46" s="438">
        <f>+AE47</f>
        <v>1.3896836734693876</v>
      </c>
      <c r="AF46" s="445">
        <f t="shared" ref="AF46" si="44">+AE46*1.005</f>
        <v>1.3966320918367343</v>
      </c>
      <c r="AG46" s="445">
        <f t="shared" ref="AG46" si="45">+AF46*1.005</f>
        <v>1.4036152522959178</v>
      </c>
      <c r="AH46" s="445">
        <f t="shared" ref="AH46" si="46">+AG46*1.005</f>
        <v>1.4106333285573973</v>
      </c>
      <c r="AI46" s="445">
        <f t="shared" ref="AI46" si="47">+AH46*1.005</f>
        <v>1.4176864952001842</v>
      </c>
      <c r="AJ46" s="445">
        <f t="shared" ref="AJ46" si="48">+AI46*1.005</f>
        <v>1.424774927676185</v>
      </c>
      <c r="AK46" s="445">
        <f t="shared" ref="AK46" si="49">+AJ46*1.005</f>
        <v>1.4318988023145658</v>
      </c>
      <c r="AL46" s="445">
        <f t="shared" ref="AL46" si="50">+AK46*1.005</f>
        <v>1.4390582963261385</v>
      </c>
      <c r="AM46" s="445">
        <f t="shared" ref="AM46" si="51">+AL46*1.005</f>
        <v>1.4462535878077689</v>
      </c>
      <c r="AN46" s="445">
        <f t="shared" ref="AN46" si="52">+AM46*1.005</f>
        <v>1.4534848557468076</v>
      </c>
      <c r="AO46" s="445">
        <f t="shared" ref="AO46" si="53">+AN46*1.005</f>
        <v>1.4607522800255415</v>
      </c>
      <c r="AP46" s="445">
        <f t="shared" ref="AP46" si="54">+AO46*1.005</f>
        <v>1.4680560414256689</v>
      </c>
      <c r="AQ46" s="445">
        <f t="shared" ref="AQ46" si="55">+AP46*1.005</f>
        <v>1.4753963216327972</v>
      </c>
      <c r="AR46" s="445">
        <f t="shared" ref="AR46" si="56">+AQ46*1.005</f>
        <v>1.4827733032409611</v>
      </c>
      <c r="AS46" s="445">
        <f t="shared" ref="AS46" si="57">+AR46*1.005</f>
        <v>1.4901871697571658</v>
      </c>
      <c r="AT46" s="445">
        <f t="shared" ref="AT46" si="58">+AS46*1.005</f>
        <v>1.4976381056059516</v>
      </c>
      <c r="AU46" s="445">
        <f t="shared" ref="AU46" si="59">+AT46*1.005</f>
        <v>1.5051262961339811</v>
      </c>
      <c r="AV46" s="445">
        <f t="shared" ref="AV46" si="60">+AU46*1.005</f>
        <v>1.5126519276146508</v>
      </c>
      <c r="AW46" s="445">
        <f t="shared" ref="AW46" si="61">+AV46*1.005</f>
        <v>1.5202151872527239</v>
      </c>
      <c r="AX46" s="445">
        <f t="shared" ref="AX46" si="62">+AW46*1.005</f>
        <v>1.5278162631889873</v>
      </c>
      <c r="BE46" s="446">
        <v>4.0217293999999999</v>
      </c>
      <c r="BF46" s="446">
        <f>+N46</f>
        <v>1.2817000000000001</v>
      </c>
      <c r="BG46" s="446">
        <f>+R46</f>
        <v>1.4200999999999999</v>
      </c>
      <c r="BH46" s="446">
        <f>+V46</f>
        <v>1.4251</v>
      </c>
      <c r="BI46" s="446">
        <f>+Z46</f>
        <v>1.3</v>
      </c>
      <c r="BJ46" s="446">
        <f>+AD46</f>
        <v>1.3761000000000001</v>
      </c>
      <c r="BK46" s="446">
        <f>+AH46</f>
        <v>1.4106333285573973</v>
      </c>
      <c r="BL46" s="446">
        <f>+AL46</f>
        <v>1.4390582963261385</v>
      </c>
      <c r="BM46" s="446">
        <f>+AP46</f>
        <v>1.4680560414256689</v>
      </c>
      <c r="BN46" s="446">
        <f>+AT46</f>
        <v>1.4976381056059516</v>
      </c>
      <c r="BO46" s="447">
        <f t="shared" ref="BO46:BP46" si="63">+BN46*1.02</f>
        <v>1.5275908677180707</v>
      </c>
      <c r="BP46" s="447">
        <f t="shared" si="63"/>
        <v>1.5581426850724323</v>
      </c>
      <c r="BQ46" s="447">
        <f t="shared" ref="BQ46" si="64">+BP46*1.02</f>
        <v>1.589305538773881</v>
      </c>
      <c r="BR46" s="447">
        <f t="shared" ref="BR46" si="65">+BQ46*1.02</f>
        <v>1.6210916495493586</v>
      </c>
      <c r="BS46" s="447">
        <f t="shared" ref="BS46" si="66">+BR46*1.02</f>
        <v>1.6535134825403457</v>
      </c>
    </row>
    <row r="47" spans="2:71">
      <c r="B47" s="175" t="s">
        <v>881</v>
      </c>
      <c r="G47" s="439">
        <f t="shared" ref="G47" si="67">AVERAGE(F46,G46)</f>
        <v>1.3038000000000001</v>
      </c>
      <c r="H47" s="439">
        <f t="shared" ref="H47" si="68">AVERAGE(G46,H46)</f>
        <v>1.32315</v>
      </c>
      <c r="I47" s="439">
        <f t="shared" ref="I47" si="69">AVERAGE(H46,I46)</f>
        <v>1.3267</v>
      </c>
      <c r="J47" s="439">
        <f t="shared" ref="J47" si="70">AVERAGE(I46,J46)</f>
        <v>1.3465500000000001</v>
      </c>
      <c r="K47" s="439">
        <f t="shared" ref="K47" si="71">AVERAGE(J46,K46)</f>
        <v>1.3442500000000002</v>
      </c>
      <c r="L47" s="439">
        <f t="shared" ref="L47" si="72">AVERAGE(K46,L46)</f>
        <v>1.30375</v>
      </c>
      <c r="M47" s="439">
        <f t="shared" ref="M47" si="73">AVERAGE(L46,M46)</f>
        <v>1.2878499999999999</v>
      </c>
      <c r="N47" s="439">
        <f t="shared" ref="N47" si="74">AVERAGE(M46,N46)</f>
        <v>1.2781</v>
      </c>
      <c r="O47" s="439">
        <f t="shared" ref="O47" si="75">AVERAGE(N46,O46)</f>
        <v>1.2908500000000001</v>
      </c>
      <c r="P47" s="439">
        <f t="shared" ref="P47" si="76">AVERAGE(O46,P46)</f>
        <v>1.3306</v>
      </c>
      <c r="Q47" s="439">
        <f t="shared" ref="Q47" si="77">AVERAGE(P46,Q46)</f>
        <v>1.3727499999999999</v>
      </c>
      <c r="R47" s="439">
        <f t="shared" ref="R47" si="78">AVERAGE(Q46,R46)</f>
        <v>1.4022000000000001</v>
      </c>
      <c r="S47" s="439">
        <f t="shared" ref="S47" si="79">AVERAGE(R46,S46)</f>
        <v>1.4129</v>
      </c>
      <c r="T47" s="439">
        <f t="shared" ref="T47" si="80">AVERAGE(S46,T46)</f>
        <v>1.41475</v>
      </c>
      <c r="U47" s="439">
        <f t="shared" ref="U47" si="81">AVERAGE(T46,U46)</f>
        <v>1.4522999999999999</v>
      </c>
      <c r="V47" s="439">
        <f t="shared" ref="V47" si="82">AVERAGE(U46,V46)</f>
        <v>1.45295</v>
      </c>
      <c r="W47" s="439">
        <f t="shared" ref="W47" si="83">AVERAGE(V46,W46)</f>
        <v>1.5272999999999999</v>
      </c>
      <c r="X47" s="439">
        <f t="shared" ref="X47" si="84">AVERAGE(W46,X46)</f>
        <v>1.53925</v>
      </c>
      <c r="Y47" s="439">
        <f t="shared" ref="Y47" si="85">AVERAGE(X46,Y46)</f>
        <v>1.4245000000000001</v>
      </c>
      <c r="Z47" s="1184">
        <v>1.37</v>
      </c>
      <c r="AA47" s="438">
        <f>+[5]Worksheet!O$14</f>
        <v>1.2943098360655734</v>
      </c>
      <c r="AB47" s="438">
        <f>+[5]Worksheet!P$14</f>
        <v>1.2988428571428572</v>
      </c>
      <c r="AC47" s="438">
        <f>+[5]Worksheet!Q$14</f>
        <v>1.3620390625000003</v>
      </c>
      <c r="AD47" s="438">
        <f>+[5]Worksheet!R$14</f>
        <v>1.3723625000000004</v>
      </c>
      <c r="AE47" s="438">
        <f>+[5]Worksheet!S$14</f>
        <v>1.3896836734693876</v>
      </c>
      <c r="AF47" s="439">
        <f t="shared" ref="AF47" si="86">AVERAGE(AE46,AF46)</f>
        <v>1.3931578826530608</v>
      </c>
      <c r="AG47" s="439">
        <f t="shared" ref="AG47" si="87">AVERAGE(AF46,AG46)</f>
        <v>1.4001236720663259</v>
      </c>
      <c r="AH47" s="439">
        <f t="shared" ref="AH47" si="88">AVERAGE(AG46,AH46)</f>
        <v>1.4071242904266574</v>
      </c>
      <c r="AI47" s="439">
        <f t="shared" ref="AI47" si="89">AVERAGE(AH46,AI46)</f>
        <v>1.4141599118787909</v>
      </c>
      <c r="AJ47" s="439">
        <f t="shared" ref="AJ47" si="90">AVERAGE(AI46,AJ46)</f>
        <v>1.4212307114381846</v>
      </c>
      <c r="AK47" s="439">
        <f t="shared" ref="AK47" si="91">AVERAGE(AJ46,AK46)</f>
        <v>1.4283368649953754</v>
      </c>
      <c r="AL47" s="439">
        <f t="shared" ref="AL47" si="92">AVERAGE(AK46,AL46)</f>
        <v>1.4354785493203521</v>
      </c>
      <c r="AM47" s="439">
        <f t="shared" ref="AM47" si="93">AVERAGE(AL46,AM46)</f>
        <v>1.4426559420669536</v>
      </c>
      <c r="AN47" s="439">
        <f t="shared" ref="AN47" si="94">AVERAGE(AM46,AN46)</f>
        <v>1.4498692217772882</v>
      </c>
      <c r="AO47" s="439">
        <f t="shared" ref="AO47" si="95">AVERAGE(AN46,AO46)</f>
        <v>1.4571185678861744</v>
      </c>
      <c r="AP47" s="439">
        <f t="shared" ref="AP47" si="96">AVERAGE(AO46,AP46)</f>
        <v>1.4644041607256053</v>
      </c>
      <c r="AQ47" s="439">
        <f t="shared" ref="AQ47" si="97">AVERAGE(AP46,AQ46)</f>
        <v>1.4717261815292331</v>
      </c>
      <c r="AR47" s="439">
        <f t="shared" ref="AR47" si="98">AVERAGE(AQ46,AR46)</f>
        <v>1.4790848124368792</v>
      </c>
      <c r="AS47" s="439">
        <f t="shared" ref="AS47" si="99">AVERAGE(AR46,AS46)</f>
        <v>1.4864802364990635</v>
      </c>
      <c r="AT47" s="439">
        <f t="shared" ref="AT47" si="100">AVERAGE(AS46,AT46)</f>
        <v>1.4939126376815586</v>
      </c>
      <c r="AU47" s="439">
        <f t="shared" ref="AU47" si="101">AVERAGE(AT46,AU46)</f>
        <v>1.5013822008699664</v>
      </c>
      <c r="AV47" s="439">
        <f t="shared" ref="AV47" si="102">AVERAGE(AU46,AV46)</f>
        <v>1.508889111874316</v>
      </c>
      <c r="AW47" s="439">
        <f t="shared" ref="AW47" si="103">AVERAGE(AV46,AW46)</f>
        <v>1.5164335574336874</v>
      </c>
      <c r="AX47" s="439">
        <f t="shared" ref="AX47" si="104">AVERAGE(AW46,AX46)</f>
        <v>1.5240157252208557</v>
      </c>
      <c r="BE47" s="448">
        <f>AVERAGE(G47:J47)</f>
        <v>1.3250500000000001</v>
      </c>
      <c r="BF47" s="448">
        <f>AVERAGE(K47:N47)</f>
        <v>1.3034875000000001</v>
      </c>
      <c r="BG47" s="448">
        <f>AVERAGE(O47:R47)</f>
        <v>1.3491</v>
      </c>
      <c r="BH47" s="448">
        <f>AVERAGE(S47:V47)</f>
        <v>1.4332250000000002</v>
      </c>
      <c r="BI47" s="448">
        <f>AVERAGE(W47:Z47)</f>
        <v>1.4652624999999999</v>
      </c>
      <c r="BJ47" s="448">
        <f>AVERAGE(AA47:AD47)</f>
        <v>1.3318885639271079</v>
      </c>
      <c r="BK47" s="448">
        <f>AVERAGE(AE47:AH47)</f>
        <v>1.3975223796538578</v>
      </c>
      <c r="BL47" s="448">
        <f>AVERAGE(AI47:AL47)</f>
        <v>1.4248015094081756</v>
      </c>
      <c r="BM47" s="448">
        <f>AVERAGE(AM47:AP47)</f>
        <v>1.4535119731140054</v>
      </c>
      <c r="BN47" s="448">
        <f>AVERAGE(AQ47:AT47)</f>
        <v>1.4828009670366837</v>
      </c>
      <c r="BO47" s="439">
        <f t="shared" ref="BO47" si="105">AVERAGE(BN46,BO46)</f>
        <v>1.5126144866620113</v>
      </c>
      <c r="BP47" s="439">
        <f t="shared" ref="BP47" si="106">AVERAGE(BO46,BP46)</f>
        <v>1.5428667763952515</v>
      </c>
      <c r="BQ47" s="439">
        <f t="shared" ref="BQ47" si="107">AVERAGE(BP46,BQ46)</f>
        <v>1.5737241119231566</v>
      </c>
      <c r="BR47" s="439">
        <f t="shared" ref="BR47" si="108">AVERAGE(BQ46,BR46)</f>
        <v>1.6051985941616198</v>
      </c>
      <c r="BS47" s="439">
        <f t="shared" ref="BS47" si="109">AVERAGE(BR46,BS46)</f>
        <v>1.6373025660448521</v>
      </c>
    </row>
    <row r="48" spans="2:71" ht="13.5">
      <c r="B48" s="175"/>
      <c r="G48" s="441"/>
      <c r="H48" s="441"/>
      <c r="I48" s="441"/>
      <c r="J48" s="441"/>
      <c r="K48" s="441"/>
      <c r="L48" s="441"/>
      <c r="M48" s="441"/>
      <c r="N48" s="441"/>
      <c r="O48" s="441"/>
      <c r="P48" s="441"/>
      <c r="Q48" s="441"/>
      <c r="R48" s="441"/>
      <c r="S48" s="441"/>
      <c r="T48" s="441"/>
      <c r="U48" s="441"/>
      <c r="V48" s="441"/>
      <c r="W48" s="441"/>
      <c r="X48" s="441"/>
      <c r="Y48" s="441"/>
      <c r="Z48" s="441"/>
      <c r="AA48" s="1256"/>
      <c r="AB48" s="1256"/>
      <c r="AC48" s="1256"/>
      <c r="AD48" s="1256"/>
      <c r="AE48" s="441"/>
      <c r="AF48" s="441"/>
      <c r="AG48" s="441"/>
      <c r="AH48" s="441"/>
      <c r="AI48" s="441"/>
      <c r="AJ48" s="441"/>
      <c r="AK48" s="441"/>
      <c r="AL48" s="441"/>
      <c r="AM48" s="441"/>
      <c r="AN48" s="441"/>
      <c r="AO48" s="441"/>
      <c r="AP48" s="441"/>
      <c r="AQ48" s="441"/>
      <c r="AR48" s="441"/>
      <c r="AS48" s="441"/>
      <c r="AT48" s="441"/>
      <c r="AU48" s="441"/>
      <c r="AV48" s="441"/>
      <c r="AW48" s="441"/>
      <c r="AX48" s="441"/>
      <c r="BE48" s="453"/>
      <c r="BF48" s="453"/>
      <c r="BG48" s="453"/>
      <c r="BH48" s="453"/>
      <c r="BI48" s="453"/>
      <c r="BJ48" s="454"/>
      <c r="BK48" s="454"/>
      <c r="BL48" s="454"/>
      <c r="BM48" s="454"/>
      <c r="BN48" s="454"/>
      <c r="BO48" s="454"/>
      <c r="BP48" s="454"/>
      <c r="BQ48" s="454"/>
      <c r="BR48" s="454"/>
      <c r="BS48" s="454"/>
    </row>
    <row r="49" spans="2:71">
      <c r="B49" s="175" t="s">
        <v>882</v>
      </c>
      <c r="G49" s="438"/>
      <c r="H49" s="438"/>
      <c r="I49" s="438"/>
      <c r="J49" s="438"/>
      <c r="K49" s="1092">
        <v>0.8014</v>
      </c>
      <c r="L49" s="1092">
        <v>0.76859999999999995</v>
      </c>
      <c r="M49" s="1092">
        <v>0.74460000000000004</v>
      </c>
      <c r="N49" s="1092">
        <v>0.7399</v>
      </c>
      <c r="O49" s="1092">
        <v>0.71020000000000005</v>
      </c>
      <c r="P49" s="1092">
        <v>0.76480000000000004</v>
      </c>
      <c r="Q49" s="1092">
        <v>0.76690000000000003</v>
      </c>
      <c r="R49" s="1092">
        <v>0.78500000000000003</v>
      </c>
      <c r="S49" s="1092">
        <v>0.76790000000000003</v>
      </c>
      <c r="T49" s="1092">
        <v>0.78769999999999996</v>
      </c>
      <c r="U49" s="1092">
        <v>0.81369999999999998</v>
      </c>
      <c r="V49" s="1092">
        <v>0.76259999999999994</v>
      </c>
      <c r="W49" s="1092">
        <v>0.80589999999999995</v>
      </c>
      <c r="X49" s="1092">
        <v>0.80720000000000003</v>
      </c>
      <c r="Y49" s="1092">
        <v>0.76359999999999995</v>
      </c>
      <c r="Z49" s="1092">
        <v>0.73399999999999999</v>
      </c>
      <c r="AA49" s="438">
        <f>+[5]Worksheet!O$25</f>
        <v>0.72560000000000002</v>
      </c>
      <c r="AB49" s="438">
        <f>+[5]Worksheet!P$25</f>
        <v>0.72289999999999999</v>
      </c>
      <c r="AC49" s="438">
        <f>+[5]Worksheet!Q$25</f>
        <v>0.74229999999999996</v>
      </c>
      <c r="AD49" s="438">
        <f>+[5]Worksheet!R$25</f>
        <v>0.73839999999999995</v>
      </c>
      <c r="AE49" s="438">
        <f>+AE50</f>
        <v>0.74248367346938782</v>
      </c>
      <c r="AF49" s="444">
        <f t="shared" ref="AF49:AG49" si="110">+AE49*1.01</f>
        <v>0.74990851020408167</v>
      </c>
      <c r="AG49" s="444">
        <f t="shared" si="110"/>
        <v>0.75740759530612245</v>
      </c>
      <c r="AH49" s="444">
        <f>+AG49*1.01</f>
        <v>0.7649816712591837</v>
      </c>
      <c r="AI49" s="444">
        <f t="shared" ref="AI49:AL49" si="111">+AH49*1.01</f>
        <v>0.7726314879717755</v>
      </c>
      <c r="AJ49" s="444">
        <f t="shared" si="111"/>
        <v>0.78035780285149325</v>
      </c>
      <c r="AK49" s="444">
        <f t="shared" si="111"/>
        <v>0.7881613808800082</v>
      </c>
      <c r="AL49" s="444">
        <f t="shared" si="111"/>
        <v>0.79604299468880824</v>
      </c>
      <c r="AM49" s="444">
        <f t="shared" ref="AM49" si="112">+AL49*1.01</f>
        <v>0.8040034246356963</v>
      </c>
      <c r="AN49" s="444">
        <f t="shared" ref="AN49" si="113">+AM49*1.01</f>
        <v>0.81204345888205332</v>
      </c>
      <c r="AO49" s="444">
        <f t="shared" ref="AO49" si="114">+AN49*1.01</f>
        <v>0.82016389347087382</v>
      </c>
      <c r="AP49" s="444">
        <f t="shared" ref="AP49" si="115">+AO49*1.01</f>
        <v>0.82836553240558253</v>
      </c>
      <c r="AQ49" s="444">
        <f t="shared" ref="AQ49" si="116">+AP49*1.01</f>
        <v>0.83664918772963837</v>
      </c>
      <c r="AR49" s="444">
        <f t="shared" ref="AR49" si="117">+AQ49*1.01</f>
        <v>0.8450156796069348</v>
      </c>
      <c r="AS49" s="444">
        <f t="shared" ref="AS49" si="118">+AR49*1.01</f>
        <v>0.85346583640300411</v>
      </c>
      <c r="AT49" s="444">
        <f t="shared" ref="AT49" si="119">+AS49*1.01</f>
        <v>0.86200049476703411</v>
      </c>
      <c r="AU49" s="444">
        <f t="shared" ref="AU49" si="120">+AT49*1.01</f>
        <v>0.87062049971470445</v>
      </c>
      <c r="AV49" s="444">
        <f t="shared" ref="AV49" si="121">+AU49*1.01</f>
        <v>0.87932670471185148</v>
      </c>
      <c r="AW49" s="444">
        <f t="shared" ref="AW49" si="122">+AV49*1.01</f>
        <v>0.88811997175896995</v>
      </c>
      <c r="AX49" s="444">
        <f t="shared" ref="AX49" si="123">+AW49*1.01</f>
        <v>0.89700117147655967</v>
      </c>
      <c r="BE49" s="446">
        <v>4.0217293999999999</v>
      </c>
      <c r="BF49" s="446">
        <f>+N49</f>
        <v>0.7399</v>
      </c>
      <c r="BG49" s="446">
        <f>+R49</f>
        <v>0.78500000000000003</v>
      </c>
      <c r="BH49" s="446">
        <f>+V49</f>
        <v>0.76259999999999994</v>
      </c>
      <c r="BI49" s="446">
        <f>+Z49</f>
        <v>0.73399999999999999</v>
      </c>
      <c r="BJ49" s="446">
        <f>+AD49</f>
        <v>0.73839999999999995</v>
      </c>
      <c r="BK49" s="446">
        <f>+AH49</f>
        <v>0.7649816712591837</v>
      </c>
      <c r="BL49" s="446">
        <f>+AL49</f>
        <v>0.79604299468880824</v>
      </c>
      <c r="BM49" s="446">
        <f>+AP49</f>
        <v>0.82836553240558253</v>
      </c>
      <c r="BN49" s="446">
        <f>+AT49</f>
        <v>0.86200049476703411</v>
      </c>
      <c r="BO49" s="447">
        <f t="shared" ref="BO49:BP49" si="124">+BN49*1.02</f>
        <v>0.8792405046623748</v>
      </c>
      <c r="BP49" s="447">
        <f t="shared" si="124"/>
        <v>0.89682531475562233</v>
      </c>
      <c r="BQ49" s="447">
        <f t="shared" ref="BQ49" si="125">+BP49*1.02</f>
        <v>0.91476182105073478</v>
      </c>
      <c r="BR49" s="447">
        <f t="shared" ref="BR49" si="126">+BQ49*1.02</f>
        <v>0.9330570574717495</v>
      </c>
      <c r="BS49" s="447">
        <f t="shared" ref="BS49" si="127">+BR49*1.02</f>
        <v>0.95171819862118445</v>
      </c>
    </row>
    <row r="50" spans="2:71">
      <c r="B50" s="175" t="s">
        <v>883</v>
      </c>
      <c r="G50" s="439"/>
      <c r="H50" s="439"/>
      <c r="I50" s="439"/>
      <c r="J50" s="439"/>
      <c r="K50" s="439">
        <f t="shared" ref="K50" si="128">AVERAGE(J49,K49)</f>
        <v>0.8014</v>
      </c>
      <c r="L50" s="439">
        <f t="shared" ref="L50" si="129">AVERAGE(K49,L49)</f>
        <v>0.78499999999999992</v>
      </c>
      <c r="M50" s="439">
        <f t="shared" ref="M50" si="130">AVERAGE(L49,M49)</f>
        <v>0.75659999999999994</v>
      </c>
      <c r="N50" s="439">
        <f t="shared" ref="N50" si="131">AVERAGE(M49,N49)</f>
        <v>0.74225000000000008</v>
      </c>
      <c r="O50" s="439">
        <f t="shared" ref="O50" si="132">AVERAGE(N49,O49)</f>
        <v>0.72504999999999997</v>
      </c>
      <c r="P50" s="439">
        <f t="shared" ref="P50" si="133">AVERAGE(O49,P49)</f>
        <v>0.73750000000000004</v>
      </c>
      <c r="Q50" s="439">
        <f t="shared" ref="Q50" si="134">AVERAGE(P49,Q49)</f>
        <v>0.76585000000000003</v>
      </c>
      <c r="R50" s="439">
        <f t="shared" ref="R50" si="135">AVERAGE(Q49,R49)</f>
        <v>0.77595000000000003</v>
      </c>
      <c r="S50" s="439">
        <f t="shared" ref="S50" si="136">AVERAGE(R49,S49)</f>
        <v>0.77645000000000008</v>
      </c>
      <c r="T50" s="439">
        <f t="shared" ref="T50" si="137">AVERAGE(S49,T49)</f>
        <v>0.77780000000000005</v>
      </c>
      <c r="U50" s="439">
        <f t="shared" ref="U50" si="138">AVERAGE(T49,U49)</f>
        <v>0.80069999999999997</v>
      </c>
      <c r="V50" s="439">
        <f t="shared" ref="V50" si="139">AVERAGE(U49,V49)</f>
        <v>0.78814999999999991</v>
      </c>
      <c r="W50" s="439">
        <f t="shared" ref="W50" si="140">AVERAGE(V49,W49)</f>
        <v>0.78424999999999989</v>
      </c>
      <c r="X50" s="439">
        <f t="shared" ref="X50" si="141">AVERAGE(W49,X49)</f>
        <v>0.80654999999999999</v>
      </c>
      <c r="Y50" s="439">
        <f t="shared" ref="Y50" si="142">AVERAGE(X49,Y49)</f>
        <v>0.78539999999999999</v>
      </c>
      <c r="Z50" s="1184">
        <v>0.75700000000000001</v>
      </c>
      <c r="AA50" s="438">
        <f>+[5]Worksheet!O$15</f>
        <v>0.72499672131147541</v>
      </c>
      <c r="AB50" s="438">
        <f>+[5]Worksheet!P$15</f>
        <v>0.71533174603174587</v>
      </c>
      <c r="AC50" s="438">
        <f>+[5]Worksheet!Q$15</f>
        <v>0.72588437499999992</v>
      </c>
      <c r="AD50" s="438">
        <f>+[5]Worksheet!R$15</f>
        <v>0.74165312500000002</v>
      </c>
      <c r="AE50" s="438">
        <f>+[5]Worksheet!S$15</f>
        <v>0.74248367346938782</v>
      </c>
      <c r="AF50" s="439">
        <f t="shared" ref="AF50" si="143">AVERAGE(AE49,AF49)</f>
        <v>0.74619609183673474</v>
      </c>
      <c r="AG50" s="439">
        <f t="shared" ref="AG50" si="144">AVERAGE(AF49,AG49)</f>
        <v>0.753658052755102</v>
      </c>
      <c r="AH50" s="439">
        <f t="shared" ref="AH50" si="145">AVERAGE(AG49,AH49)</f>
        <v>0.76119463328265313</v>
      </c>
      <c r="AI50" s="439">
        <f t="shared" ref="AI50" si="146">AVERAGE(AH49,AI49)</f>
        <v>0.7688065796154796</v>
      </c>
      <c r="AJ50" s="439">
        <f t="shared" ref="AJ50" si="147">AVERAGE(AI49,AJ49)</f>
        <v>0.77649464541163438</v>
      </c>
      <c r="AK50" s="439">
        <f t="shared" ref="AK50" si="148">AVERAGE(AJ49,AK49)</f>
        <v>0.78425959186575067</v>
      </c>
      <c r="AL50" s="439">
        <f t="shared" ref="AL50" si="149">AVERAGE(AK49,AL49)</f>
        <v>0.79210218778440822</v>
      </c>
      <c r="AM50" s="439">
        <f t="shared" ref="AM50" si="150">AVERAGE(AL49,AM49)</f>
        <v>0.80002320966225227</v>
      </c>
      <c r="AN50" s="439">
        <f t="shared" ref="AN50" si="151">AVERAGE(AM49,AN49)</f>
        <v>0.80802344175887475</v>
      </c>
      <c r="AO50" s="439">
        <f t="shared" ref="AO50" si="152">AVERAGE(AN49,AO49)</f>
        <v>0.81610367617646351</v>
      </c>
      <c r="AP50" s="439">
        <f t="shared" ref="AP50" si="153">AVERAGE(AO49,AP49)</f>
        <v>0.82426471293822812</v>
      </c>
      <c r="AQ50" s="439">
        <f t="shared" ref="AQ50" si="154">AVERAGE(AP49,AQ49)</f>
        <v>0.8325073600676105</v>
      </c>
      <c r="AR50" s="439">
        <f t="shared" ref="AR50" si="155">AVERAGE(AQ49,AR49)</f>
        <v>0.84083243366828664</v>
      </c>
      <c r="AS50" s="439">
        <f t="shared" ref="AS50" si="156">AVERAGE(AR49,AS49)</f>
        <v>0.84924075800496945</v>
      </c>
      <c r="AT50" s="439">
        <f t="shared" ref="AT50" si="157">AVERAGE(AS49,AT49)</f>
        <v>0.85773316558501911</v>
      </c>
      <c r="AU50" s="439">
        <f t="shared" ref="AU50" si="158">AVERAGE(AT49,AU49)</f>
        <v>0.86631049724086928</v>
      </c>
      <c r="AV50" s="439">
        <f t="shared" ref="AV50" si="159">AVERAGE(AU49,AV49)</f>
        <v>0.87497360221327791</v>
      </c>
      <c r="AW50" s="439">
        <f t="shared" ref="AW50" si="160">AVERAGE(AV49,AW49)</f>
        <v>0.88372333823541072</v>
      </c>
      <c r="AX50" s="439">
        <f t="shared" ref="AX50" si="161">AVERAGE(AW49,AX49)</f>
        <v>0.89256057161776481</v>
      </c>
      <c r="BE50" s="448"/>
      <c r="BF50" s="448">
        <f>AVERAGE(K50:N50)</f>
        <v>0.77131250000000007</v>
      </c>
      <c r="BG50" s="448">
        <f>AVERAGE(O50:R50)</f>
        <v>0.75108750000000002</v>
      </c>
      <c r="BH50" s="448">
        <f>AVERAGE(S50:V50)</f>
        <v>0.785775</v>
      </c>
      <c r="BI50" s="448">
        <f>AVERAGE(W50:Z50)</f>
        <v>0.7833</v>
      </c>
      <c r="BJ50" s="448">
        <f>AVERAGE(AA50:AD50)</f>
        <v>0.72696649183580531</v>
      </c>
      <c r="BK50" s="448">
        <f>AVERAGE(AE50:AH50)</f>
        <v>0.75088311283596942</v>
      </c>
      <c r="BL50" s="448">
        <f>AVERAGE(AI50:AL50)</f>
        <v>0.78041575116931827</v>
      </c>
      <c r="BM50" s="448">
        <f>AVERAGE(AM50:AP50)</f>
        <v>0.81210376013395469</v>
      </c>
      <c r="BN50" s="448">
        <f>AVERAGE(AQ50:AT50)</f>
        <v>0.84507842933147148</v>
      </c>
      <c r="BO50" s="439">
        <f t="shared" ref="BO50" si="162">AVERAGE(BN49,BO49)</f>
        <v>0.87062049971470445</v>
      </c>
      <c r="BP50" s="439">
        <f t="shared" ref="BP50" si="163">AVERAGE(BO49,BP49)</f>
        <v>0.88803290970899851</v>
      </c>
      <c r="BQ50" s="439">
        <f t="shared" ref="BQ50" si="164">AVERAGE(BP49,BQ49)</f>
        <v>0.90579356790317855</v>
      </c>
      <c r="BR50" s="439">
        <f t="shared" ref="BR50" si="165">AVERAGE(BQ49,BR49)</f>
        <v>0.92390943926124214</v>
      </c>
      <c r="BS50" s="439">
        <f t="shared" ref="BS50" si="166">AVERAGE(BR49,BS49)</f>
        <v>0.94238762804646692</v>
      </c>
    </row>
    <row r="51" spans="2:71" ht="13.5">
      <c r="B51" s="175"/>
      <c r="G51" s="441"/>
      <c r="H51" s="441"/>
      <c r="I51" s="441"/>
      <c r="J51" s="441"/>
      <c r="K51" s="441"/>
      <c r="L51" s="441"/>
      <c r="M51" s="441"/>
      <c r="N51" s="441"/>
      <c r="O51" s="441"/>
      <c r="P51" s="441"/>
      <c r="Q51" s="441"/>
      <c r="R51" s="441"/>
      <c r="S51" s="441"/>
      <c r="T51" s="441"/>
      <c r="U51" s="441"/>
      <c r="V51" s="441"/>
      <c r="W51" s="441"/>
      <c r="X51" s="441"/>
      <c r="Y51" s="441"/>
      <c r="Z51" s="441"/>
      <c r="AA51" s="441"/>
      <c r="AB51" s="441"/>
      <c r="AC51" s="441"/>
      <c r="AD51" s="441"/>
      <c r="AE51" s="441"/>
      <c r="AF51" s="441"/>
      <c r="AG51" s="441"/>
      <c r="AH51" s="441"/>
      <c r="AI51" s="441"/>
      <c r="AJ51" s="441"/>
      <c r="AK51" s="441"/>
      <c r="AL51" s="441"/>
      <c r="AM51" s="441"/>
      <c r="AN51" s="441"/>
      <c r="AO51" s="441"/>
      <c r="AP51" s="441"/>
      <c r="AQ51" s="441"/>
      <c r="AR51" s="441"/>
      <c r="AS51" s="441"/>
      <c r="AT51" s="441"/>
      <c r="AU51" s="441"/>
      <c r="AV51" s="441"/>
      <c r="AW51" s="441"/>
      <c r="AX51" s="441"/>
      <c r="BE51" s="453"/>
      <c r="BF51" s="453"/>
      <c r="BG51" s="453"/>
      <c r="BH51" s="453"/>
      <c r="BI51" s="453"/>
      <c r="BJ51" s="454"/>
      <c r="BK51" s="454"/>
      <c r="BL51" s="454"/>
      <c r="BM51" s="454"/>
      <c r="BN51" s="454"/>
      <c r="BO51" s="454"/>
      <c r="BP51" s="454"/>
      <c r="BQ51" s="454"/>
      <c r="BR51" s="454"/>
      <c r="BS51" s="454"/>
    </row>
    <row r="52" spans="2:71">
      <c r="B52" s="175" t="s">
        <v>884</v>
      </c>
      <c r="G52" s="438"/>
      <c r="H52" s="438"/>
      <c r="I52" s="438"/>
      <c r="J52" s="438"/>
      <c r="K52" s="1092">
        <v>3.9272999999999998</v>
      </c>
      <c r="L52" s="1092">
        <v>4.2969999999999997</v>
      </c>
      <c r="M52" s="1092">
        <v>4.2717999999999998</v>
      </c>
      <c r="N52" s="1092">
        <v>4.4701003999999998</v>
      </c>
      <c r="O52" s="1092">
        <v>4.6583056999999997</v>
      </c>
      <c r="P52" s="1092">
        <v>5.09235506</v>
      </c>
      <c r="Q52" s="1092">
        <v>5.2174820899999999</v>
      </c>
      <c r="R52" s="1092">
        <v>4.9419199199999992</v>
      </c>
      <c r="S52" s="1092">
        <v>5.0793484500000003</v>
      </c>
      <c r="T52" s="1092">
        <v>4.8653611200000002</v>
      </c>
      <c r="U52" s="1092">
        <v>5.0019999999999998</v>
      </c>
      <c r="V52" s="1092">
        <v>5.32</v>
      </c>
      <c r="W52" s="1092">
        <v>6.4474999999999998</v>
      </c>
      <c r="X52" s="1092">
        <v>6.7568000000000001</v>
      </c>
      <c r="Y52" s="1092">
        <v>7.1416000000000004</v>
      </c>
      <c r="Z52" s="438">
        <f t="shared" ref="Z52:AT52" si="167">1/Z49*Z4</f>
        <v>7.0756130790190745</v>
      </c>
      <c r="AA52" s="438">
        <f t="shared" si="167"/>
        <v>7.7651598676956999</v>
      </c>
      <c r="AB52" s="438">
        <f t="shared" si="167"/>
        <v>6.8737031401300328</v>
      </c>
      <c r="AC52" s="438">
        <f t="shared" si="167"/>
        <v>7.3326148457496974</v>
      </c>
      <c r="AD52" s="438">
        <f t="shared" si="167"/>
        <v>7.6210725893824494</v>
      </c>
      <c r="AE52" s="438">
        <f t="shared" si="167"/>
        <v>6.3854602726095813</v>
      </c>
      <c r="AF52" s="438">
        <f t="shared" si="167"/>
        <v>7.0087216353494215</v>
      </c>
      <c r="AG52" s="438">
        <f t="shared" si="167"/>
        <v>7.1500471259615637</v>
      </c>
      <c r="AH52" s="438">
        <f t="shared" si="167"/>
        <v>6.9099694784831627</v>
      </c>
      <c r="AI52" s="438">
        <f t="shared" si="167"/>
        <v>6.5542242049873458</v>
      </c>
      <c r="AJ52" s="438">
        <f t="shared" si="167"/>
        <v>6.1350062529086928</v>
      </c>
      <c r="AK52" s="438">
        <f t="shared" si="167"/>
        <v>6.3851136608356116</v>
      </c>
      <c r="AL52" s="438">
        <f t="shared" si="167"/>
        <v>6.0959018952198614</v>
      </c>
      <c r="AM52" s="438">
        <f t="shared" si="167"/>
        <v>6.2369137323912902</v>
      </c>
      <c r="AN52" s="438">
        <f t="shared" si="167"/>
        <v>6.8889170140000164</v>
      </c>
      <c r="AO52" s="438">
        <f t="shared" si="167"/>
        <v>6.6450133240272224</v>
      </c>
      <c r="AP52" s="438">
        <f t="shared" si="167"/>
        <v>7.4527485252456103</v>
      </c>
      <c r="AQ52" s="438">
        <f t="shared" si="167"/>
        <v>6.8726535378626359</v>
      </c>
      <c r="AR52" s="438">
        <f t="shared" si="167"/>
        <v>6.4732526650208557</v>
      </c>
      <c r="AS52" s="438">
        <f t="shared" si="167"/>
        <v>6.2353989732368245</v>
      </c>
      <c r="AT52" s="438">
        <f t="shared" si="167"/>
        <v>6.3518525026830357</v>
      </c>
      <c r="AU52" s="438">
        <f t="shared" ref="AU52:AX52" si="168">1/AU49*AU4</f>
        <v>6.0876122279877043</v>
      </c>
      <c r="AV52" s="438">
        <f t="shared" si="168"/>
        <v>6.0426306106593168</v>
      </c>
      <c r="AW52" s="438">
        <f t="shared" si="168"/>
        <v>5.9890071604756665</v>
      </c>
      <c r="AX52" s="438">
        <f t="shared" si="168"/>
        <v>5.9684729802893743</v>
      </c>
      <c r="BE52" s="446">
        <v>4.0217293999999999</v>
      </c>
      <c r="BF52" s="446">
        <f>+N52</f>
        <v>4.4701003999999998</v>
      </c>
      <c r="BG52" s="446">
        <f>+R52</f>
        <v>4.9419199199999992</v>
      </c>
      <c r="BH52" s="446">
        <f>+V52</f>
        <v>5.32</v>
      </c>
      <c r="BI52" s="446">
        <f>+Z52</f>
        <v>7.0756130790190745</v>
      </c>
      <c r="BJ52" s="446">
        <f>+AD52</f>
        <v>7.6210725893824494</v>
      </c>
      <c r="BK52" s="446">
        <f>+AH52</f>
        <v>6.9099694784831627</v>
      </c>
      <c r="BL52" s="446">
        <f>+AL52</f>
        <v>6.0959018952198614</v>
      </c>
      <c r="BM52" s="446">
        <f>+AP52</f>
        <v>7.4527485252456103</v>
      </c>
      <c r="BN52" s="446">
        <f>+AT52</f>
        <v>6.3518525026830357</v>
      </c>
      <c r="BO52" s="438">
        <f>1/BO49*BO4</f>
        <v>6.0890361930056605</v>
      </c>
      <c r="BP52" s="438">
        <f>1/BP49*BP4</f>
        <v>6.0741120846894709</v>
      </c>
      <c r="BQ52" s="438">
        <f>1/BQ49*BQ4</f>
        <v>6.0443370254507984</v>
      </c>
      <c r="BR52" s="438">
        <f>1/BR49*BR4</f>
        <v>6.0147079223848623</v>
      </c>
      <c r="BS52" s="438">
        <f>1/BS49*BS4</f>
        <v>5.985224060020232</v>
      </c>
    </row>
    <row r="53" spans="2:71">
      <c r="B53" s="175" t="s">
        <v>885</v>
      </c>
      <c r="G53" s="439"/>
      <c r="H53" s="439"/>
      <c r="I53" s="439"/>
      <c r="J53" s="439"/>
      <c r="K53" s="439">
        <f t="shared" ref="K53" si="169">AVERAGE(J52,K52)</f>
        <v>3.9272999999999998</v>
      </c>
      <c r="L53" s="439">
        <f t="shared" ref="L53" si="170">AVERAGE(K52,L52)</f>
        <v>4.1121499999999997</v>
      </c>
      <c r="M53" s="439">
        <f t="shared" ref="M53" si="171">AVERAGE(L52,M52)</f>
        <v>4.2843999999999998</v>
      </c>
      <c r="N53" s="439">
        <f t="shared" ref="N53" si="172">AVERAGE(M52,N52)</f>
        <v>4.3709501999999993</v>
      </c>
      <c r="O53" s="439">
        <f t="shared" ref="O53" si="173">AVERAGE(N52,O52)</f>
        <v>4.5642030499999997</v>
      </c>
      <c r="P53" s="439">
        <f t="shared" ref="P53" si="174">AVERAGE(O52,P52)</f>
        <v>4.8753303799999994</v>
      </c>
      <c r="Q53" s="439">
        <f t="shared" ref="Q53" si="175">AVERAGE(P52,Q52)</f>
        <v>5.1549185749999999</v>
      </c>
      <c r="R53" s="439">
        <f t="shared" ref="R53" si="176">AVERAGE(Q52,R52)</f>
        <v>5.0797010049999995</v>
      </c>
      <c r="S53" s="439">
        <f t="shared" ref="S53" si="177">AVERAGE(R52,S52)</f>
        <v>5.0106341849999998</v>
      </c>
      <c r="T53" s="439">
        <f t="shared" ref="T53" si="178">AVERAGE(S52,T52)</f>
        <v>4.9723547850000003</v>
      </c>
      <c r="U53" s="439">
        <f t="shared" ref="U53" si="179">AVERAGE(T52,U52)</f>
        <v>4.93368056</v>
      </c>
      <c r="V53" s="439">
        <f t="shared" ref="V53" si="180">AVERAGE(U52,V52)</f>
        <v>5.1609999999999996</v>
      </c>
      <c r="W53" s="439">
        <f t="shared" ref="W53" si="181">AVERAGE(V52,W52)</f>
        <v>5.88375</v>
      </c>
      <c r="X53" s="439">
        <f t="shared" ref="X53" si="182">AVERAGE(W52,X52)</f>
        <v>6.60215</v>
      </c>
      <c r="Y53" s="439">
        <f t="shared" ref="Y53" si="183">AVERAGE(X52,Y52)</f>
        <v>6.9492000000000003</v>
      </c>
      <c r="Z53" s="439">
        <f t="shared" ref="Z53:AT53" si="184">1/Z50*Z3</f>
        <v>7.1276089828269482</v>
      </c>
      <c r="AA53" s="439">
        <f t="shared" si="184"/>
        <v>7.5654135236337972</v>
      </c>
      <c r="AB53" s="439">
        <f t="shared" si="184"/>
        <v>7.4002028141011289</v>
      </c>
      <c r="AC53" s="439">
        <f t="shared" si="184"/>
        <v>7.2081727892269356</v>
      </c>
      <c r="AD53" s="439">
        <f t="shared" si="184"/>
        <v>7.5308790750392918</v>
      </c>
      <c r="AE53" s="439">
        <f t="shared" si="184"/>
        <v>7.0371917749857751</v>
      </c>
      <c r="AF53" s="439">
        <f t="shared" si="184"/>
        <v>6.6033580903263411</v>
      </c>
      <c r="AG53" s="439">
        <f t="shared" si="184"/>
        <v>6.9660238894919164</v>
      </c>
      <c r="AH53" s="439">
        <f t="shared" si="184"/>
        <v>6.9143945186560778</v>
      </c>
      <c r="AI53" s="439">
        <f t="shared" si="184"/>
        <v>6.7503324472010124</v>
      </c>
      <c r="AJ53" s="439">
        <f t="shared" si="184"/>
        <v>6.3655300512468171</v>
      </c>
      <c r="AK53" s="439">
        <f t="shared" si="184"/>
        <v>6.2288049144271254</v>
      </c>
      <c r="AL53" s="439">
        <f t="shared" si="184"/>
        <v>6.2565159854713768</v>
      </c>
      <c r="AM53" s="439">
        <f t="shared" si="184"/>
        <v>6.1891954385803221</v>
      </c>
      <c r="AN53" s="439">
        <f t="shared" si="184"/>
        <v>6.3785278169417561</v>
      </c>
      <c r="AO53" s="439">
        <f t="shared" si="184"/>
        <v>6.7960728053389383</v>
      </c>
      <c r="AP53" s="439">
        <f t="shared" si="184"/>
        <v>7.078915193640321</v>
      </c>
      <c r="AQ53" s="439">
        <f t="shared" si="184"/>
        <v>7.0269649021780456</v>
      </c>
      <c r="AR53" s="439">
        <f t="shared" si="184"/>
        <v>6.7195314711527399</v>
      </c>
      <c r="AS53" s="439">
        <f t="shared" si="184"/>
        <v>6.4166727145803248</v>
      </c>
      <c r="AT53" s="439">
        <f t="shared" si="184"/>
        <v>6.2923998004890311</v>
      </c>
      <c r="AU53" s="439">
        <f t="shared" ref="AU53:AX53" si="185">1/AU50*AU3</f>
        <v>6.1178988559876428</v>
      </c>
      <c r="AV53" s="439">
        <f t="shared" si="185"/>
        <v>6.0650095247530409</v>
      </c>
      <c r="AW53" s="439">
        <f t="shared" si="185"/>
        <v>6.0156854939003681</v>
      </c>
      <c r="AX53" s="439">
        <f t="shared" si="185"/>
        <v>5.9786889903323059</v>
      </c>
      <c r="BE53" s="448"/>
      <c r="BF53" s="448">
        <f>AVERAGE(K53:N53)</f>
        <v>4.173700049999999</v>
      </c>
      <c r="BG53" s="448">
        <f>AVERAGE(O53:R53)</f>
        <v>4.9185382524999994</v>
      </c>
      <c r="BH53" s="448">
        <f>AVERAGE(S53:V53)</f>
        <v>5.0194173825000004</v>
      </c>
      <c r="BI53" s="448">
        <f>AVERAGE(W53:Z53)</f>
        <v>6.6406772457067378</v>
      </c>
      <c r="BJ53" s="448">
        <f>AVERAGE(AA53:AD53)</f>
        <v>7.4261670505002879</v>
      </c>
      <c r="BK53" s="448">
        <f>AVERAGE(AE53:AH53)</f>
        <v>6.8802420683650274</v>
      </c>
      <c r="BL53" s="448">
        <f>AVERAGE(AI53:AL53)</f>
        <v>6.4002958495865832</v>
      </c>
      <c r="BM53" s="448">
        <f>AVERAGE(AM53:AP53)</f>
        <v>6.6106778136253341</v>
      </c>
      <c r="BN53" s="448">
        <f>AVERAGE(AQ53:AT53)</f>
        <v>6.613892222100036</v>
      </c>
      <c r="BO53" s="439">
        <f>1/BO50*BO3</f>
        <v>6.1046308257953141</v>
      </c>
      <c r="BP53" s="439">
        <f>1/BP50*BP3</f>
        <v>6.0815002571232277</v>
      </c>
      <c r="BQ53" s="439">
        <f>1/BQ50*BQ3</f>
        <v>6.0590771537867747</v>
      </c>
      <c r="BR53" s="439">
        <f>1/BR50*BR3</f>
        <v>6.0293757951897806</v>
      </c>
      <c r="BS53" s="439">
        <f>1/BS50*BS3</f>
        <v>5.9998200314878716</v>
      </c>
    </row>
    <row r="54" spans="2:71">
      <c r="B54" s="175"/>
    </row>
    <row r="55" spans="2:71">
      <c r="B55" s="175"/>
      <c r="Y55" s="174"/>
    </row>
    <row r="56" spans="2:71">
      <c r="B56" s="175"/>
    </row>
    <row r="57" spans="2:71">
      <c r="B57" s="175"/>
    </row>
    <row r="58" spans="2:71">
      <c r="B58" s="175"/>
    </row>
    <row r="59" spans="2:71">
      <c r="B59" s="175"/>
    </row>
    <row r="60" spans="2:71">
      <c r="B60" s="175"/>
    </row>
    <row r="61" spans="2:71">
      <c r="B61" s="175"/>
    </row>
    <row r="62" spans="2:71">
      <c r="B62" s="175"/>
    </row>
    <row r="63" spans="2:71">
      <c r="B63" s="175"/>
    </row>
    <row r="64" spans="2:71">
      <c r="B64" s="175"/>
    </row>
    <row r="65" spans="2:2">
      <c r="B65" s="175"/>
    </row>
    <row r="66" spans="2:2">
      <c r="B66" s="175"/>
    </row>
    <row r="67" spans="2:2">
      <c r="B67" s="175"/>
    </row>
    <row r="68" spans="2:2">
      <c r="B68" s="175"/>
    </row>
    <row r="69" spans="2:2">
      <c r="B69" s="175"/>
    </row>
    <row r="70" spans="2:2">
      <c r="B70" s="175"/>
    </row>
    <row r="71" spans="2:2">
      <c r="B71" s="175"/>
    </row>
    <row r="72" spans="2:2">
      <c r="B72" s="175"/>
    </row>
    <row r="73" spans="2:2">
      <c r="B73" s="175"/>
    </row>
    <row r="74" spans="2:2">
      <c r="B74" s="175"/>
    </row>
    <row r="75" spans="2:2">
      <c r="B75" s="175"/>
    </row>
    <row r="76" spans="2:2">
      <c r="B76" s="175"/>
    </row>
    <row r="77" spans="2:2">
      <c r="B77" s="175"/>
    </row>
    <row r="78" spans="2:2">
      <c r="B78" s="175"/>
    </row>
    <row r="79" spans="2:2">
      <c r="B79" s="175"/>
    </row>
    <row r="80" spans="2:2">
      <c r="B80" s="175"/>
    </row>
    <row r="81" spans="2:2">
      <c r="B81" s="175"/>
    </row>
    <row r="82" spans="2:2">
      <c r="B82" s="175"/>
    </row>
    <row r="83" spans="2:2">
      <c r="B83" s="175"/>
    </row>
    <row r="84" spans="2:2">
      <c r="B84" s="175"/>
    </row>
    <row r="85" spans="2:2">
      <c r="B85" s="175"/>
    </row>
    <row r="86" spans="2:2">
      <c r="B86" s="175"/>
    </row>
    <row r="87" spans="2:2">
      <c r="B87" s="175"/>
    </row>
    <row r="88" spans="2:2">
      <c r="B88" s="175"/>
    </row>
    <row r="89" spans="2:2">
      <c r="B89" s="175"/>
    </row>
    <row r="90" spans="2:2">
      <c r="B90" s="175"/>
    </row>
    <row r="91" spans="2:2">
      <c r="B91" s="175"/>
    </row>
    <row r="92" spans="2:2">
      <c r="B92" s="175"/>
    </row>
    <row r="93" spans="2:2">
      <c r="B93" s="175"/>
    </row>
    <row r="94" spans="2:2">
      <c r="B94" s="175"/>
    </row>
    <row r="95" spans="2:2">
      <c r="B95" s="175"/>
    </row>
    <row r="96" spans="2:2">
      <c r="B96" s="175"/>
    </row>
    <row r="97" spans="2:2">
      <c r="B97" s="175"/>
    </row>
    <row r="98" spans="2:2">
      <c r="B98" s="175"/>
    </row>
    <row r="99" spans="2:2">
      <c r="B99" s="175"/>
    </row>
    <row r="100" spans="2:2">
      <c r="B100" s="175"/>
    </row>
    <row r="101" spans="2:2">
      <c r="B101" s="175"/>
    </row>
    <row r="102" spans="2:2">
      <c r="B102" s="175"/>
    </row>
    <row r="103" spans="2:2">
      <c r="B103" s="175"/>
    </row>
    <row r="104" spans="2:2">
      <c r="B104" s="175"/>
    </row>
    <row r="105" spans="2:2">
      <c r="B105" s="175"/>
    </row>
    <row r="106" spans="2:2">
      <c r="B106" s="175"/>
    </row>
    <row r="107" spans="2:2">
      <c r="B107" s="175"/>
    </row>
    <row r="108" spans="2:2">
      <c r="B108" s="175"/>
    </row>
    <row r="109" spans="2:2">
      <c r="B109" s="175"/>
    </row>
    <row r="110" spans="2:2">
      <c r="B110" s="175"/>
    </row>
    <row r="111" spans="2:2">
      <c r="B111" s="175"/>
    </row>
    <row r="112" spans="2:2">
      <c r="B112" s="175"/>
    </row>
    <row r="113" spans="2:2">
      <c r="B113" s="175"/>
    </row>
    <row r="114" spans="2:2">
      <c r="B114" s="175"/>
    </row>
    <row r="115" spans="2:2">
      <c r="B115" s="175"/>
    </row>
    <row r="116" spans="2:2">
      <c r="B116" s="175"/>
    </row>
    <row r="117" spans="2:2">
      <c r="B117" s="175"/>
    </row>
    <row r="118" spans="2:2">
      <c r="B118" s="175"/>
    </row>
    <row r="119" spans="2:2">
      <c r="B119" s="175"/>
    </row>
    <row r="120" spans="2:2">
      <c r="B120" s="175"/>
    </row>
    <row r="121" spans="2:2">
      <c r="B121" s="175"/>
    </row>
    <row r="122" spans="2:2">
      <c r="B122" s="175"/>
    </row>
    <row r="123" spans="2:2">
      <c r="B123" s="175"/>
    </row>
    <row r="124" spans="2:2">
      <c r="B124" s="175"/>
    </row>
    <row r="125" spans="2:2">
      <c r="B125" s="175"/>
    </row>
    <row r="126" spans="2:2">
      <c r="B126" s="175"/>
    </row>
    <row r="127" spans="2:2">
      <c r="B127" s="175"/>
    </row>
    <row r="128" spans="2:2">
      <c r="B128" s="175"/>
    </row>
    <row r="129" spans="2:2">
      <c r="B129" s="175"/>
    </row>
    <row r="130" spans="2:2">
      <c r="B130" s="175"/>
    </row>
    <row r="131" spans="2:2">
      <c r="B131" s="175"/>
    </row>
    <row r="132" spans="2:2">
      <c r="B132" s="175"/>
    </row>
    <row r="133" spans="2:2">
      <c r="B133" s="175"/>
    </row>
    <row r="134" spans="2:2">
      <c r="B134" s="175"/>
    </row>
    <row r="135" spans="2:2">
      <c r="B135" s="175"/>
    </row>
    <row r="136" spans="2:2">
      <c r="B136" s="175"/>
    </row>
    <row r="137" spans="2:2">
      <c r="B137" s="175"/>
    </row>
    <row r="138" spans="2:2">
      <c r="B138" s="175"/>
    </row>
    <row r="139" spans="2:2">
      <c r="B139" s="175"/>
    </row>
    <row r="140" spans="2:2">
      <c r="B140" s="175"/>
    </row>
    <row r="141" spans="2:2">
      <c r="B141" s="175"/>
    </row>
    <row r="142" spans="2:2">
      <c r="B142" s="175"/>
    </row>
    <row r="143" spans="2:2">
      <c r="B143" s="175"/>
    </row>
    <row r="144" spans="2:2">
      <c r="B144" s="175"/>
    </row>
    <row r="145" spans="2:2">
      <c r="B145" s="175"/>
    </row>
    <row r="146" spans="2:2">
      <c r="B146" s="175"/>
    </row>
    <row r="147" spans="2:2">
      <c r="B147" s="175"/>
    </row>
    <row r="148" spans="2:2">
      <c r="B148" s="175"/>
    </row>
    <row r="149" spans="2:2">
      <c r="B149" s="175"/>
    </row>
    <row r="150" spans="2:2">
      <c r="B150" s="175"/>
    </row>
    <row r="151" spans="2:2">
      <c r="B151" s="175"/>
    </row>
    <row r="152" spans="2:2">
      <c r="B152" s="175"/>
    </row>
    <row r="153" spans="2:2">
      <c r="B153" s="175"/>
    </row>
    <row r="154" spans="2:2">
      <c r="B154" s="175"/>
    </row>
    <row r="155" spans="2:2">
      <c r="B155" s="175"/>
    </row>
    <row r="156" spans="2:2">
      <c r="B156" s="175"/>
    </row>
    <row r="157" spans="2:2">
      <c r="B157" s="175"/>
    </row>
    <row r="158" spans="2:2">
      <c r="B158" s="175"/>
    </row>
    <row r="159" spans="2:2">
      <c r="B159" s="175"/>
    </row>
    <row r="160" spans="2:2">
      <c r="B160" s="175"/>
    </row>
    <row r="161" spans="2:2">
      <c r="B161" s="175"/>
    </row>
    <row r="162" spans="2:2">
      <c r="B162" s="175"/>
    </row>
    <row r="163" spans="2:2">
      <c r="B163" s="175"/>
    </row>
    <row r="164" spans="2:2">
      <c r="B164" s="175"/>
    </row>
    <row r="165" spans="2:2">
      <c r="B165" s="175"/>
    </row>
    <row r="166" spans="2:2">
      <c r="B166" s="175"/>
    </row>
    <row r="167" spans="2:2">
      <c r="B167" s="175"/>
    </row>
    <row r="168" spans="2:2">
      <c r="B168" s="175"/>
    </row>
    <row r="169" spans="2:2">
      <c r="B169" s="175"/>
    </row>
    <row r="170" spans="2:2">
      <c r="B170" s="175"/>
    </row>
    <row r="171" spans="2:2">
      <c r="B171" s="175"/>
    </row>
    <row r="172" spans="2:2">
      <c r="B172" s="175"/>
    </row>
    <row r="173" spans="2:2">
      <c r="B173" s="175"/>
    </row>
    <row r="174" spans="2:2">
      <c r="B174" s="175"/>
    </row>
    <row r="175" spans="2:2">
      <c r="B175" s="175"/>
    </row>
    <row r="176" spans="2:2">
      <c r="B176" s="175"/>
    </row>
    <row r="177" spans="2:2">
      <c r="B177" s="175"/>
    </row>
    <row r="178" spans="2:2">
      <c r="B178" s="175"/>
    </row>
    <row r="179" spans="2:2">
      <c r="B179" s="175"/>
    </row>
    <row r="180" spans="2:2">
      <c r="B180" s="175"/>
    </row>
    <row r="181" spans="2:2">
      <c r="B181" s="175"/>
    </row>
    <row r="182" spans="2:2">
      <c r="B182" s="175"/>
    </row>
    <row r="183" spans="2:2">
      <c r="B183" s="175"/>
    </row>
    <row r="184" spans="2:2">
      <c r="B184" s="175"/>
    </row>
    <row r="185" spans="2:2">
      <c r="B185" s="175"/>
    </row>
    <row r="186" spans="2:2">
      <c r="B186" s="175"/>
    </row>
    <row r="187" spans="2:2">
      <c r="B187" s="175"/>
    </row>
    <row r="188" spans="2:2">
      <c r="B188" s="175"/>
    </row>
    <row r="189" spans="2:2">
      <c r="B189" s="175"/>
    </row>
    <row r="190" spans="2:2">
      <c r="B190" s="175"/>
    </row>
    <row r="191" spans="2:2">
      <c r="B191" s="175"/>
    </row>
    <row r="192" spans="2:2">
      <c r="B192" s="175"/>
    </row>
    <row r="193" spans="2:2">
      <c r="B193" s="175"/>
    </row>
    <row r="194" spans="2:2">
      <c r="B194" s="175"/>
    </row>
    <row r="195" spans="2:2">
      <c r="B195" s="175"/>
    </row>
    <row r="196" spans="2:2">
      <c r="B196" s="175"/>
    </row>
    <row r="197" spans="2:2">
      <c r="B197" s="175"/>
    </row>
    <row r="198" spans="2:2">
      <c r="B198" s="175"/>
    </row>
    <row r="199" spans="2:2">
      <c r="B199" s="175"/>
    </row>
    <row r="200" spans="2:2">
      <c r="B200" s="175"/>
    </row>
    <row r="201" spans="2:2">
      <c r="B201" s="175"/>
    </row>
    <row r="202" spans="2:2">
      <c r="B202" s="175"/>
    </row>
    <row r="203" spans="2:2">
      <c r="B203" s="175"/>
    </row>
    <row r="204" spans="2:2">
      <c r="B204" s="175"/>
    </row>
    <row r="205" spans="2:2">
      <c r="B205" s="175"/>
    </row>
    <row r="206" spans="2:2">
      <c r="B206" s="175"/>
    </row>
    <row r="207" spans="2:2">
      <c r="B207" s="175"/>
    </row>
    <row r="208" spans="2:2">
      <c r="B208" s="175"/>
    </row>
    <row r="209" spans="2:2">
      <c r="B209" s="175"/>
    </row>
    <row r="210" spans="2:2">
      <c r="B210" s="175"/>
    </row>
    <row r="211" spans="2:2">
      <c r="B211" s="175"/>
    </row>
    <row r="212" spans="2:2">
      <c r="B212" s="175"/>
    </row>
    <row r="213" spans="2:2">
      <c r="B213" s="175"/>
    </row>
    <row r="214" spans="2:2">
      <c r="B214" s="175"/>
    </row>
    <row r="215" spans="2:2">
      <c r="B215" s="175"/>
    </row>
    <row r="216" spans="2:2">
      <c r="B216" s="175"/>
    </row>
    <row r="217" spans="2:2">
      <c r="B217" s="175"/>
    </row>
    <row r="218" spans="2:2">
      <c r="B218" s="175"/>
    </row>
    <row r="219" spans="2:2">
      <c r="B219" s="175"/>
    </row>
    <row r="220" spans="2:2">
      <c r="B220" s="175"/>
    </row>
    <row r="221" spans="2:2">
      <c r="B221" s="175"/>
    </row>
    <row r="222" spans="2:2">
      <c r="B222" s="175"/>
    </row>
    <row r="223" spans="2:2">
      <c r="B223" s="175"/>
    </row>
    <row r="224" spans="2:2">
      <c r="B224" s="175"/>
    </row>
    <row r="225" spans="2:2">
      <c r="B225" s="175"/>
    </row>
    <row r="226" spans="2:2">
      <c r="B226" s="175"/>
    </row>
    <row r="227" spans="2:2">
      <c r="B227" s="175"/>
    </row>
    <row r="228" spans="2:2">
      <c r="B228" s="175"/>
    </row>
    <row r="229" spans="2:2">
      <c r="B229" s="175"/>
    </row>
    <row r="230" spans="2:2">
      <c r="B230" s="175"/>
    </row>
    <row r="231" spans="2:2">
      <c r="B231" s="175"/>
    </row>
    <row r="232" spans="2:2">
      <c r="B232" s="175"/>
    </row>
    <row r="233" spans="2:2">
      <c r="B233" s="175"/>
    </row>
    <row r="234" spans="2:2">
      <c r="B234" s="175"/>
    </row>
    <row r="235" spans="2:2">
      <c r="B235" s="175"/>
    </row>
    <row r="236" spans="2:2">
      <c r="B236" s="175"/>
    </row>
    <row r="237" spans="2:2">
      <c r="B237" s="175"/>
    </row>
    <row r="238" spans="2:2">
      <c r="B238" s="175"/>
    </row>
    <row r="239" spans="2:2">
      <c r="B239" s="175"/>
    </row>
    <row r="240" spans="2:2">
      <c r="B240" s="175"/>
    </row>
    <row r="241" spans="2:2">
      <c r="B241" s="175"/>
    </row>
    <row r="242" spans="2:2">
      <c r="B242" s="175"/>
    </row>
    <row r="243" spans="2:2">
      <c r="B243" s="175"/>
    </row>
    <row r="244" spans="2:2">
      <c r="B244" s="175"/>
    </row>
    <row r="245" spans="2:2">
      <c r="B245" s="175"/>
    </row>
    <row r="246" spans="2:2">
      <c r="B246" s="175"/>
    </row>
    <row r="247" spans="2:2">
      <c r="B247" s="175"/>
    </row>
    <row r="248" spans="2:2">
      <c r="B248" s="175"/>
    </row>
    <row r="249" spans="2:2">
      <c r="B249" s="175"/>
    </row>
    <row r="250" spans="2:2">
      <c r="B250" s="175"/>
    </row>
    <row r="251" spans="2:2">
      <c r="B251" s="175"/>
    </row>
    <row r="252" spans="2:2">
      <c r="B252" s="175"/>
    </row>
    <row r="253" spans="2:2">
      <c r="B253" s="175"/>
    </row>
    <row r="254" spans="2:2">
      <c r="B254" s="175"/>
    </row>
    <row r="255" spans="2:2">
      <c r="B255" s="175"/>
    </row>
    <row r="256" spans="2:2">
      <c r="B256" s="175"/>
    </row>
    <row r="257" spans="2:2">
      <c r="B257" s="175"/>
    </row>
    <row r="258" spans="2:2">
      <c r="B258" s="175"/>
    </row>
    <row r="259" spans="2:2">
      <c r="B259" s="175"/>
    </row>
    <row r="260" spans="2:2">
      <c r="B260" s="175"/>
    </row>
    <row r="261" spans="2:2">
      <c r="B261" s="175"/>
    </row>
    <row r="262" spans="2:2">
      <c r="B262" s="175"/>
    </row>
    <row r="263" spans="2:2">
      <c r="B263" s="175"/>
    </row>
    <row r="264" spans="2:2">
      <c r="B264" s="175"/>
    </row>
    <row r="265" spans="2:2">
      <c r="B265" s="175"/>
    </row>
    <row r="266" spans="2:2">
      <c r="B266" s="175"/>
    </row>
    <row r="267" spans="2:2">
      <c r="B267" s="175"/>
    </row>
    <row r="268" spans="2:2">
      <c r="B268" s="175"/>
    </row>
    <row r="269" spans="2:2">
      <c r="B269" s="175"/>
    </row>
    <row r="270" spans="2:2">
      <c r="B270" s="175"/>
    </row>
    <row r="271" spans="2:2">
      <c r="B271" s="175"/>
    </row>
    <row r="272" spans="2:2">
      <c r="B272" s="175"/>
    </row>
    <row r="273" spans="2:2">
      <c r="B273" s="175"/>
    </row>
    <row r="274" spans="2:2">
      <c r="B274" s="175"/>
    </row>
    <row r="275" spans="2:2">
      <c r="B275" s="175"/>
    </row>
    <row r="276" spans="2:2">
      <c r="B276" s="175"/>
    </row>
    <row r="277" spans="2:2">
      <c r="B277" s="175"/>
    </row>
    <row r="278" spans="2:2">
      <c r="B278" s="175"/>
    </row>
    <row r="279" spans="2:2">
      <c r="B279" s="175"/>
    </row>
    <row r="280" spans="2:2">
      <c r="B280" s="175"/>
    </row>
    <row r="281" spans="2:2">
      <c r="B281" s="175"/>
    </row>
    <row r="282" spans="2:2">
      <c r="B282" s="175"/>
    </row>
    <row r="283" spans="2:2">
      <c r="B283" s="175"/>
    </row>
    <row r="284" spans="2:2">
      <c r="B284" s="175"/>
    </row>
    <row r="285" spans="2:2">
      <c r="B285" s="175"/>
    </row>
    <row r="286" spans="2:2">
      <c r="B286" s="175"/>
    </row>
    <row r="287" spans="2:2">
      <c r="B287" s="175"/>
    </row>
    <row r="288" spans="2:2">
      <c r="B288" s="175"/>
    </row>
    <row r="289" spans="2:2">
      <c r="B289" s="175"/>
    </row>
    <row r="290" spans="2:2">
      <c r="B290" s="175"/>
    </row>
    <row r="291" spans="2:2">
      <c r="B291" s="175"/>
    </row>
    <row r="292" spans="2:2">
      <c r="B292" s="175"/>
    </row>
    <row r="293" spans="2:2">
      <c r="B293" s="175"/>
    </row>
    <row r="294" spans="2:2">
      <c r="B294" s="175"/>
    </row>
    <row r="295" spans="2:2">
      <c r="B295" s="175"/>
    </row>
    <row r="296" spans="2:2">
      <c r="B296" s="175"/>
    </row>
    <row r="297" spans="2:2">
      <c r="B297" s="175"/>
    </row>
    <row r="298" spans="2:2">
      <c r="B298" s="175"/>
    </row>
    <row r="299" spans="2:2">
      <c r="B299" s="175"/>
    </row>
    <row r="300" spans="2:2">
      <c r="B300" s="175"/>
    </row>
    <row r="301" spans="2:2">
      <c r="B301" s="175"/>
    </row>
    <row r="302" spans="2:2">
      <c r="B302" s="175"/>
    </row>
    <row r="303" spans="2:2">
      <c r="B303" s="175"/>
    </row>
    <row r="304" spans="2:2">
      <c r="B304" s="175"/>
    </row>
    <row r="305" spans="2:2">
      <c r="B305" s="175"/>
    </row>
    <row r="306" spans="2:2">
      <c r="B306" s="175"/>
    </row>
    <row r="307" spans="2:2">
      <c r="B307" s="175"/>
    </row>
    <row r="308" spans="2:2">
      <c r="B308" s="175"/>
    </row>
    <row r="309" spans="2:2">
      <c r="B309" s="175"/>
    </row>
    <row r="310" spans="2:2">
      <c r="B310" s="175"/>
    </row>
    <row r="311" spans="2:2">
      <c r="B311" s="175"/>
    </row>
    <row r="312" spans="2:2">
      <c r="B312" s="175"/>
    </row>
    <row r="313" spans="2:2">
      <c r="B313" s="175"/>
    </row>
    <row r="314" spans="2:2">
      <c r="B314" s="175"/>
    </row>
    <row r="315" spans="2:2">
      <c r="B315" s="175"/>
    </row>
    <row r="316" spans="2:2">
      <c r="B316" s="175"/>
    </row>
    <row r="317" spans="2:2">
      <c r="B317" s="175"/>
    </row>
    <row r="318" spans="2:2">
      <c r="B318" s="175"/>
    </row>
    <row r="319" spans="2:2">
      <c r="B319" s="175"/>
    </row>
    <row r="320" spans="2:2">
      <c r="B320" s="175"/>
    </row>
    <row r="321" spans="2:2">
      <c r="B321" s="175"/>
    </row>
    <row r="322" spans="2:2">
      <c r="B322" s="175"/>
    </row>
    <row r="323" spans="2:2">
      <c r="B323" s="175"/>
    </row>
    <row r="324" spans="2:2">
      <c r="B324" s="175"/>
    </row>
    <row r="325" spans="2:2">
      <c r="B325" s="175"/>
    </row>
    <row r="326" spans="2:2">
      <c r="B326" s="175"/>
    </row>
    <row r="327" spans="2:2">
      <c r="B327" s="175"/>
    </row>
    <row r="328" spans="2:2">
      <c r="B328" s="175"/>
    </row>
    <row r="329" spans="2:2">
      <c r="B329" s="175"/>
    </row>
    <row r="330" spans="2:2">
      <c r="B330" s="175"/>
    </row>
    <row r="331" spans="2:2">
      <c r="B331" s="175"/>
    </row>
    <row r="332" spans="2:2">
      <c r="B332" s="175"/>
    </row>
    <row r="333" spans="2:2">
      <c r="B333" s="175"/>
    </row>
    <row r="334" spans="2:2">
      <c r="B334" s="175"/>
    </row>
    <row r="335" spans="2:2">
      <c r="B335" s="175"/>
    </row>
    <row r="336" spans="2:2">
      <c r="B336" s="175"/>
    </row>
    <row r="337" spans="2:2">
      <c r="B337" s="175"/>
    </row>
    <row r="338" spans="2:2">
      <c r="B338" s="175"/>
    </row>
    <row r="339" spans="2:2">
      <c r="B339" s="175"/>
    </row>
    <row r="340" spans="2:2">
      <c r="B340" s="175"/>
    </row>
    <row r="341" spans="2:2">
      <c r="B341" s="175"/>
    </row>
    <row r="342" spans="2:2">
      <c r="B342" s="175"/>
    </row>
    <row r="343" spans="2:2">
      <c r="B343" s="175"/>
    </row>
    <row r="344" spans="2:2">
      <c r="B344" s="175"/>
    </row>
    <row r="345" spans="2:2">
      <c r="B345" s="175"/>
    </row>
    <row r="346" spans="2:2">
      <c r="B346" s="175"/>
    </row>
    <row r="347" spans="2:2">
      <c r="B347" s="175"/>
    </row>
    <row r="348" spans="2:2">
      <c r="B348" s="175"/>
    </row>
    <row r="349" spans="2:2">
      <c r="B349" s="175"/>
    </row>
    <row r="350" spans="2:2">
      <c r="B350" s="175"/>
    </row>
    <row r="351" spans="2:2">
      <c r="B351" s="175"/>
    </row>
    <row r="352" spans="2:2">
      <c r="B352" s="175"/>
    </row>
    <row r="353" spans="2:2">
      <c r="B353" s="175"/>
    </row>
    <row r="354" spans="2:2">
      <c r="B354" s="175"/>
    </row>
    <row r="355" spans="2:2">
      <c r="B355" s="175"/>
    </row>
    <row r="356" spans="2:2">
      <c r="B356" s="175"/>
    </row>
    <row r="357" spans="2:2">
      <c r="B357" s="175"/>
    </row>
    <row r="358" spans="2:2">
      <c r="B358" s="175"/>
    </row>
    <row r="359" spans="2:2">
      <c r="B359" s="175"/>
    </row>
    <row r="360" spans="2:2">
      <c r="B360" s="175"/>
    </row>
    <row r="361" spans="2:2">
      <c r="B361" s="175"/>
    </row>
    <row r="362" spans="2:2">
      <c r="B362" s="175"/>
    </row>
    <row r="363" spans="2:2">
      <c r="B363" s="175"/>
    </row>
    <row r="364" spans="2:2">
      <c r="B364" s="175"/>
    </row>
    <row r="365" spans="2:2">
      <c r="B365" s="175"/>
    </row>
    <row r="366" spans="2:2">
      <c r="B366" s="175"/>
    </row>
    <row r="367" spans="2:2">
      <c r="B367" s="175"/>
    </row>
    <row r="368" spans="2:2">
      <c r="B368" s="175"/>
    </row>
    <row r="369" spans="2:2">
      <c r="B369" s="175"/>
    </row>
    <row r="370" spans="2:2">
      <c r="B370" s="175"/>
    </row>
    <row r="371" spans="2:2">
      <c r="B371" s="175"/>
    </row>
    <row r="372" spans="2:2">
      <c r="B372" s="175"/>
    </row>
    <row r="373" spans="2:2">
      <c r="B373" s="175"/>
    </row>
    <row r="374" spans="2:2">
      <c r="B374" s="175"/>
    </row>
    <row r="375" spans="2:2">
      <c r="B375" s="175"/>
    </row>
    <row r="376" spans="2:2">
      <c r="B376" s="175"/>
    </row>
    <row r="377" spans="2:2">
      <c r="B377" s="175"/>
    </row>
    <row r="378" spans="2:2">
      <c r="B378" s="175"/>
    </row>
    <row r="379" spans="2:2">
      <c r="B379" s="175"/>
    </row>
    <row r="380" spans="2:2">
      <c r="B380" s="175"/>
    </row>
    <row r="381" spans="2:2">
      <c r="B381" s="175"/>
    </row>
    <row r="382" spans="2:2">
      <c r="B382" s="175"/>
    </row>
    <row r="383" spans="2:2">
      <c r="B383" s="175"/>
    </row>
    <row r="384" spans="2:2">
      <c r="B384" s="175"/>
    </row>
    <row r="385" spans="2:2">
      <c r="B385" s="175"/>
    </row>
    <row r="386" spans="2:2">
      <c r="B386" s="175"/>
    </row>
    <row r="387" spans="2:2">
      <c r="B387" s="175"/>
    </row>
    <row r="388" spans="2:2">
      <c r="B388" s="175"/>
    </row>
    <row r="389" spans="2:2">
      <c r="B389" s="175"/>
    </row>
    <row r="390" spans="2:2">
      <c r="B390" s="175"/>
    </row>
    <row r="391" spans="2:2">
      <c r="B391" s="175"/>
    </row>
    <row r="392" spans="2:2">
      <c r="B392" s="175"/>
    </row>
    <row r="393" spans="2:2">
      <c r="B393" s="175"/>
    </row>
    <row r="394" spans="2:2">
      <c r="B394" s="175"/>
    </row>
    <row r="395" spans="2:2">
      <c r="B395" s="175"/>
    </row>
    <row r="396" spans="2:2">
      <c r="B396" s="175"/>
    </row>
    <row r="397" spans="2:2">
      <c r="B397" s="175"/>
    </row>
    <row r="398" spans="2:2">
      <c r="B398" s="175"/>
    </row>
    <row r="399" spans="2:2">
      <c r="B399" s="175"/>
    </row>
    <row r="400" spans="2:2">
      <c r="B400" s="175"/>
    </row>
    <row r="401" spans="2:2">
      <c r="B401" s="175"/>
    </row>
    <row r="402" spans="2:2">
      <c r="B402" s="175"/>
    </row>
    <row r="403" spans="2:2">
      <c r="B403" s="175"/>
    </row>
    <row r="404" spans="2:2">
      <c r="B404" s="175"/>
    </row>
    <row r="405" spans="2:2">
      <c r="B405" s="175"/>
    </row>
    <row r="406" spans="2:2">
      <c r="B406" s="175"/>
    </row>
    <row r="407" spans="2:2">
      <c r="B407" s="175"/>
    </row>
    <row r="408" spans="2:2">
      <c r="B408" s="175"/>
    </row>
    <row r="409" spans="2:2">
      <c r="B409" s="175"/>
    </row>
    <row r="410" spans="2:2">
      <c r="B410" s="175"/>
    </row>
    <row r="411" spans="2:2">
      <c r="B411" s="175"/>
    </row>
    <row r="412" spans="2:2">
      <c r="B412" s="175"/>
    </row>
    <row r="413" spans="2:2">
      <c r="B413" s="175"/>
    </row>
    <row r="414" spans="2:2">
      <c r="B414" s="175"/>
    </row>
    <row r="415" spans="2:2">
      <c r="B415" s="175"/>
    </row>
    <row r="416" spans="2:2">
      <c r="B416" s="175"/>
    </row>
    <row r="417" spans="2:2">
      <c r="B417" s="175"/>
    </row>
    <row r="418" spans="2:2">
      <c r="B418" s="175"/>
    </row>
    <row r="419" spans="2:2">
      <c r="B419" s="175"/>
    </row>
    <row r="420" spans="2:2">
      <c r="B420" s="175"/>
    </row>
    <row r="421" spans="2:2">
      <c r="B421" s="175"/>
    </row>
    <row r="422" spans="2:2">
      <c r="B422" s="175"/>
    </row>
    <row r="423" spans="2:2">
      <c r="B423" s="175"/>
    </row>
    <row r="424" spans="2:2">
      <c r="B424" s="175"/>
    </row>
    <row r="425" spans="2:2">
      <c r="B425" s="175"/>
    </row>
    <row r="426" spans="2:2">
      <c r="B426" s="175"/>
    </row>
    <row r="427" spans="2:2">
      <c r="B427" s="175"/>
    </row>
    <row r="428" spans="2:2">
      <c r="B428" s="175"/>
    </row>
    <row r="429" spans="2:2">
      <c r="B429" s="175"/>
    </row>
    <row r="430" spans="2:2">
      <c r="B430" s="175"/>
    </row>
    <row r="431" spans="2:2">
      <c r="B431" s="175"/>
    </row>
    <row r="432" spans="2:2">
      <c r="B432" s="175"/>
    </row>
    <row r="433" spans="2:2">
      <c r="B433" s="175"/>
    </row>
    <row r="434" spans="2:2">
      <c r="B434" s="175"/>
    </row>
    <row r="435" spans="2:2">
      <c r="B435" s="175"/>
    </row>
    <row r="436" spans="2:2">
      <c r="B436" s="175"/>
    </row>
    <row r="437" spans="2:2">
      <c r="B437" s="175"/>
    </row>
    <row r="438" spans="2:2">
      <c r="B438" s="175"/>
    </row>
    <row r="439" spans="2:2">
      <c r="B439" s="175"/>
    </row>
    <row r="440" spans="2:2">
      <c r="B440" s="175"/>
    </row>
    <row r="441" spans="2:2">
      <c r="B441" s="175"/>
    </row>
    <row r="442" spans="2:2">
      <c r="B442" s="175"/>
    </row>
    <row r="443" spans="2:2">
      <c r="B443" s="175"/>
    </row>
    <row r="444" spans="2:2">
      <c r="B444" s="175"/>
    </row>
    <row r="445" spans="2:2">
      <c r="B445" s="175"/>
    </row>
    <row r="446" spans="2:2">
      <c r="B446" s="175"/>
    </row>
    <row r="447" spans="2:2">
      <c r="B447" s="175"/>
    </row>
    <row r="448" spans="2:2">
      <c r="B448" s="175"/>
    </row>
    <row r="449" spans="2:2">
      <c r="B449" s="175"/>
    </row>
    <row r="450" spans="2:2">
      <c r="B450" s="175"/>
    </row>
    <row r="451" spans="2:2">
      <c r="B451" s="175"/>
    </row>
    <row r="452" spans="2:2">
      <c r="B452" s="175"/>
    </row>
    <row r="453" spans="2:2">
      <c r="B453" s="175"/>
    </row>
    <row r="454" spans="2:2">
      <c r="B454" s="175"/>
    </row>
    <row r="455" spans="2:2">
      <c r="B455" s="175"/>
    </row>
    <row r="456" spans="2:2">
      <c r="B456" s="175"/>
    </row>
    <row r="457" spans="2:2">
      <c r="B457" s="175"/>
    </row>
    <row r="458" spans="2:2">
      <c r="B458" s="175"/>
    </row>
    <row r="459" spans="2:2">
      <c r="B459" s="175"/>
    </row>
    <row r="460" spans="2:2">
      <c r="B460" s="175"/>
    </row>
    <row r="461" spans="2:2">
      <c r="B461" s="175"/>
    </row>
    <row r="462" spans="2:2">
      <c r="B462" s="175"/>
    </row>
    <row r="463" spans="2:2">
      <c r="B463" s="175"/>
    </row>
    <row r="464" spans="2:2">
      <c r="B464" s="175"/>
    </row>
    <row r="465" spans="2:2">
      <c r="B465" s="175"/>
    </row>
    <row r="466" spans="2:2">
      <c r="B466" s="175"/>
    </row>
    <row r="467" spans="2:2">
      <c r="B467" s="175"/>
    </row>
    <row r="468" spans="2:2">
      <c r="B468" s="175"/>
    </row>
    <row r="469" spans="2:2">
      <c r="B469" s="175"/>
    </row>
    <row r="470" spans="2:2">
      <c r="B470" s="175"/>
    </row>
    <row r="471" spans="2:2">
      <c r="B471" s="175"/>
    </row>
    <row r="472" spans="2:2">
      <c r="B472" s="175"/>
    </row>
    <row r="473" spans="2:2">
      <c r="B473" s="175"/>
    </row>
    <row r="474" spans="2:2">
      <c r="B474" s="175"/>
    </row>
    <row r="475" spans="2:2">
      <c r="B475" s="175"/>
    </row>
    <row r="476" spans="2:2">
      <c r="B476" s="175"/>
    </row>
    <row r="477" spans="2:2">
      <c r="B477" s="175"/>
    </row>
    <row r="478" spans="2:2">
      <c r="B478" s="175"/>
    </row>
    <row r="479" spans="2:2">
      <c r="B479" s="175"/>
    </row>
    <row r="480" spans="2:2">
      <c r="B480" s="175"/>
    </row>
    <row r="481" spans="2:2">
      <c r="B481" s="175"/>
    </row>
    <row r="482" spans="2:2">
      <c r="B482" s="175"/>
    </row>
    <row r="483" spans="2:2">
      <c r="B483" s="175"/>
    </row>
    <row r="484" spans="2:2">
      <c r="B484" s="175"/>
    </row>
    <row r="485" spans="2:2">
      <c r="B485" s="175"/>
    </row>
    <row r="486" spans="2:2">
      <c r="B486" s="175"/>
    </row>
    <row r="487" spans="2:2">
      <c r="B487" s="175"/>
    </row>
    <row r="488" spans="2:2">
      <c r="B488" s="175"/>
    </row>
    <row r="489" spans="2:2">
      <c r="B489" s="175"/>
    </row>
    <row r="490" spans="2:2">
      <c r="B490" s="175"/>
    </row>
    <row r="491" spans="2:2">
      <c r="B491" s="175"/>
    </row>
    <row r="492" spans="2:2">
      <c r="B492" s="175"/>
    </row>
    <row r="493" spans="2:2">
      <c r="B493" s="175"/>
    </row>
    <row r="494" spans="2:2">
      <c r="B494" s="175"/>
    </row>
    <row r="495" spans="2:2">
      <c r="B495" s="175"/>
    </row>
    <row r="496" spans="2:2">
      <c r="B496" s="175"/>
    </row>
    <row r="497" spans="2:2">
      <c r="B497" s="175"/>
    </row>
    <row r="498" spans="2:2">
      <c r="B498" s="175"/>
    </row>
    <row r="499" spans="2:2">
      <c r="B499" s="175"/>
    </row>
    <row r="500" spans="2:2">
      <c r="B500" s="175"/>
    </row>
    <row r="501" spans="2:2">
      <c r="B501" s="175"/>
    </row>
    <row r="502" spans="2:2">
      <c r="B502" s="175"/>
    </row>
    <row r="503" spans="2:2">
      <c r="B503" s="175"/>
    </row>
    <row r="504" spans="2:2">
      <c r="B504" s="175"/>
    </row>
    <row r="505" spans="2:2">
      <c r="B505" s="175"/>
    </row>
    <row r="506" spans="2:2">
      <c r="B506" s="175"/>
    </row>
    <row r="507" spans="2:2">
      <c r="B507" s="175"/>
    </row>
    <row r="508" spans="2:2">
      <c r="B508" s="175"/>
    </row>
    <row r="509" spans="2:2">
      <c r="B509" s="175"/>
    </row>
    <row r="510" spans="2:2">
      <c r="B510" s="175"/>
    </row>
    <row r="511" spans="2:2">
      <c r="B511" s="175"/>
    </row>
    <row r="512" spans="2:2">
      <c r="B512" s="175"/>
    </row>
    <row r="513" spans="2:2">
      <c r="B513" s="175"/>
    </row>
    <row r="514" spans="2:2">
      <c r="B514" s="175"/>
    </row>
    <row r="515" spans="2:2">
      <c r="B515" s="175"/>
    </row>
    <row r="516" spans="2:2">
      <c r="B516" s="175"/>
    </row>
    <row r="517" spans="2:2">
      <c r="B517" s="175"/>
    </row>
    <row r="518" spans="2:2">
      <c r="B518" s="175"/>
    </row>
    <row r="519" spans="2:2">
      <c r="B519" s="175"/>
    </row>
    <row r="520" spans="2:2">
      <c r="B520" s="175"/>
    </row>
    <row r="521" spans="2:2">
      <c r="B521" s="175"/>
    </row>
    <row r="522" spans="2:2">
      <c r="B522" s="175"/>
    </row>
    <row r="523" spans="2:2">
      <c r="B523" s="175"/>
    </row>
    <row r="524" spans="2:2">
      <c r="B524" s="175"/>
    </row>
    <row r="525" spans="2:2">
      <c r="B525" s="175"/>
    </row>
    <row r="526" spans="2:2">
      <c r="B526" s="175"/>
    </row>
    <row r="527" spans="2:2">
      <c r="B527" s="175"/>
    </row>
    <row r="528" spans="2:2">
      <c r="B528" s="175"/>
    </row>
    <row r="529" spans="2:2">
      <c r="B529" s="175"/>
    </row>
    <row r="530" spans="2:2">
      <c r="B530" s="175"/>
    </row>
    <row r="531" spans="2:2">
      <c r="B531" s="175"/>
    </row>
    <row r="532" spans="2:2">
      <c r="B532" s="175"/>
    </row>
    <row r="533" spans="2:2">
      <c r="B533" s="175"/>
    </row>
    <row r="534" spans="2:2">
      <c r="B534" s="175"/>
    </row>
    <row r="535" spans="2:2">
      <c r="B535" s="175"/>
    </row>
    <row r="536" spans="2:2">
      <c r="B536" s="175"/>
    </row>
    <row r="537" spans="2:2">
      <c r="B537" s="175"/>
    </row>
    <row r="538" spans="2:2">
      <c r="B538" s="175"/>
    </row>
    <row r="539" spans="2:2">
      <c r="B539" s="175"/>
    </row>
    <row r="540" spans="2:2">
      <c r="B540" s="175"/>
    </row>
    <row r="541" spans="2:2">
      <c r="B541" s="175"/>
    </row>
    <row r="542" spans="2:2">
      <c r="B542" s="175"/>
    </row>
    <row r="543" spans="2:2">
      <c r="B543" s="175"/>
    </row>
    <row r="544" spans="2:2">
      <c r="B544" s="175"/>
    </row>
    <row r="545" spans="2:2">
      <c r="B545" s="175"/>
    </row>
    <row r="546" spans="2:2">
      <c r="B546" s="175"/>
    </row>
    <row r="547" spans="2:2">
      <c r="B547" s="175"/>
    </row>
    <row r="548" spans="2:2">
      <c r="B548" s="175"/>
    </row>
    <row r="549" spans="2:2">
      <c r="B549" s="175"/>
    </row>
    <row r="550" spans="2:2">
      <c r="B550" s="175"/>
    </row>
    <row r="551" spans="2:2">
      <c r="B551" s="175"/>
    </row>
    <row r="552" spans="2:2">
      <c r="B552" s="175"/>
    </row>
    <row r="553" spans="2:2">
      <c r="B553" s="175"/>
    </row>
    <row r="554" spans="2:2">
      <c r="B554" s="175"/>
    </row>
    <row r="555" spans="2:2">
      <c r="B555" s="175"/>
    </row>
    <row r="556" spans="2:2">
      <c r="B556" s="175"/>
    </row>
    <row r="557" spans="2:2">
      <c r="B557" s="175"/>
    </row>
    <row r="558" spans="2:2">
      <c r="B558" s="175"/>
    </row>
    <row r="559" spans="2:2">
      <c r="B559" s="175"/>
    </row>
    <row r="560" spans="2:2">
      <c r="B560" s="175"/>
    </row>
    <row r="561" spans="2:2">
      <c r="B561" s="175"/>
    </row>
    <row r="562" spans="2:2">
      <c r="B562" s="175"/>
    </row>
    <row r="563" spans="2:2">
      <c r="B563" s="175"/>
    </row>
    <row r="564" spans="2:2">
      <c r="B564" s="175"/>
    </row>
    <row r="565" spans="2:2">
      <c r="B565" s="175"/>
    </row>
    <row r="566" spans="2:2">
      <c r="B566" s="175"/>
    </row>
    <row r="567" spans="2:2">
      <c r="B567" s="175"/>
    </row>
    <row r="568" spans="2:2">
      <c r="B568" s="175"/>
    </row>
    <row r="569" spans="2:2">
      <c r="B569" s="175"/>
    </row>
    <row r="570" spans="2:2">
      <c r="B570" s="175"/>
    </row>
    <row r="571" spans="2:2">
      <c r="B571" s="175"/>
    </row>
    <row r="572" spans="2:2">
      <c r="B572" s="175"/>
    </row>
    <row r="573" spans="2:2">
      <c r="B573" s="175"/>
    </row>
    <row r="574" spans="2:2">
      <c r="B574" s="175"/>
    </row>
    <row r="575" spans="2:2">
      <c r="B575" s="175"/>
    </row>
    <row r="576" spans="2:2">
      <c r="B576" s="175"/>
    </row>
    <row r="577" spans="2:2">
      <c r="B577" s="175"/>
    </row>
    <row r="578" spans="2:2">
      <c r="B578" s="175"/>
    </row>
    <row r="579" spans="2:2">
      <c r="B579" s="175"/>
    </row>
    <row r="580" spans="2:2">
      <c r="B580" s="175"/>
    </row>
    <row r="581" spans="2:2">
      <c r="B581" s="175"/>
    </row>
    <row r="582" spans="2:2">
      <c r="B582" s="175"/>
    </row>
    <row r="583" spans="2:2">
      <c r="B583" s="175"/>
    </row>
    <row r="584" spans="2:2">
      <c r="B584" s="175"/>
    </row>
    <row r="585" spans="2:2">
      <c r="B585" s="175"/>
    </row>
    <row r="586" spans="2:2">
      <c r="B586" s="175"/>
    </row>
    <row r="587" spans="2:2">
      <c r="B587" s="175"/>
    </row>
    <row r="588" spans="2:2">
      <c r="B588" s="175"/>
    </row>
    <row r="589" spans="2:2">
      <c r="B589" s="175"/>
    </row>
    <row r="590" spans="2:2">
      <c r="B590" s="175"/>
    </row>
    <row r="591" spans="2:2">
      <c r="B591" s="175"/>
    </row>
    <row r="592" spans="2:2">
      <c r="B592" s="175"/>
    </row>
    <row r="593" spans="2:2">
      <c r="B593" s="175"/>
    </row>
    <row r="594" spans="2:2">
      <c r="B594" s="175"/>
    </row>
    <row r="595" spans="2:2">
      <c r="B595" s="175"/>
    </row>
    <row r="596" spans="2:2">
      <c r="B596" s="175"/>
    </row>
    <row r="597" spans="2:2">
      <c r="B597" s="175"/>
    </row>
    <row r="598" spans="2:2">
      <c r="B598" s="175"/>
    </row>
    <row r="599" spans="2:2">
      <c r="B599" s="175"/>
    </row>
    <row r="600" spans="2:2">
      <c r="B600" s="175"/>
    </row>
    <row r="601" spans="2:2">
      <c r="B601" s="175"/>
    </row>
    <row r="602" spans="2:2">
      <c r="B602" s="175"/>
    </row>
    <row r="603" spans="2:2">
      <c r="B603" s="175"/>
    </row>
    <row r="604" spans="2:2">
      <c r="B604" s="175"/>
    </row>
    <row r="605" spans="2:2">
      <c r="B605" s="175"/>
    </row>
    <row r="606" spans="2:2">
      <c r="B606" s="175"/>
    </row>
    <row r="607" spans="2:2">
      <c r="B607" s="175"/>
    </row>
    <row r="608" spans="2:2">
      <c r="B608" s="175"/>
    </row>
    <row r="609" spans="2:2">
      <c r="B609" s="175"/>
    </row>
    <row r="610" spans="2:2">
      <c r="B610" s="175"/>
    </row>
    <row r="611" spans="2:2">
      <c r="B611" s="175"/>
    </row>
    <row r="612" spans="2:2">
      <c r="B612" s="175"/>
    </row>
    <row r="613" spans="2:2">
      <c r="B613" s="175"/>
    </row>
    <row r="614" spans="2:2">
      <c r="B614" s="175"/>
    </row>
    <row r="615" spans="2:2">
      <c r="B615" s="175"/>
    </row>
    <row r="616" spans="2:2">
      <c r="B616" s="175"/>
    </row>
    <row r="617" spans="2:2">
      <c r="B617" s="175"/>
    </row>
    <row r="618" spans="2:2">
      <c r="B618" s="175"/>
    </row>
    <row r="619" spans="2:2">
      <c r="B619" s="175"/>
    </row>
    <row r="620" spans="2:2">
      <c r="B620" s="175"/>
    </row>
    <row r="621" spans="2:2">
      <c r="B621" s="175"/>
    </row>
    <row r="622" spans="2:2">
      <c r="B622" s="175"/>
    </row>
    <row r="623" spans="2:2">
      <c r="B623" s="175"/>
    </row>
    <row r="624" spans="2:2">
      <c r="B624" s="175"/>
    </row>
    <row r="625" spans="2:2">
      <c r="B625" s="175"/>
    </row>
    <row r="626" spans="2:2">
      <c r="B626" s="175"/>
    </row>
    <row r="627" spans="2:2">
      <c r="B627" s="175"/>
    </row>
    <row r="628" spans="2:2">
      <c r="B628" s="175"/>
    </row>
    <row r="629" spans="2:2">
      <c r="B629" s="175"/>
    </row>
    <row r="630" spans="2:2">
      <c r="B630" s="175"/>
    </row>
    <row r="631" spans="2:2">
      <c r="B631" s="175"/>
    </row>
    <row r="632" spans="2:2">
      <c r="B632" s="175"/>
    </row>
    <row r="633" spans="2:2">
      <c r="B633" s="175"/>
    </row>
    <row r="634" spans="2:2">
      <c r="B634" s="175"/>
    </row>
    <row r="635" spans="2:2">
      <c r="B635" s="175"/>
    </row>
    <row r="636" spans="2:2">
      <c r="B636" s="175"/>
    </row>
    <row r="637" spans="2:2">
      <c r="B637" s="175"/>
    </row>
    <row r="638" spans="2:2">
      <c r="B638" s="175"/>
    </row>
    <row r="639" spans="2:2">
      <c r="B639" s="175"/>
    </row>
    <row r="640" spans="2:2">
      <c r="B640" s="175"/>
    </row>
    <row r="641" spans="2:2">
      <c r="B641" s="175"/>
    </row>
    <row r="642" spans="2:2">
      <c r="B642" s="175"/>
    </row>
    <row r="643" spans="2:2">
      <c r="B643" s="175"/>
    </row>
    <row r="644" spans="2:2">
      <c r="B644" s="175"/>
    </row>
    <row r="645" spans="2:2">
      <c r="B645" s="175"/>
    </row>
    <row r="646" spans="2:2">
      <c r="B646" s="175"/>
    </row>
    <row r="647" spans="2:2">
      <c r="B647" s="175"/>
    </row>
    <row r="648" spans="2:2">
      <c r="B648" s="175"/>
    </row>
    <row r="649" spans="2:2">
      <c r="B649" s="175"/>
    </row>
    <row r="650" spans="2:2">
      <c r="B650" s="175"/>
    </row>
    <row r="651" spans="2:2">
      <c r="B651" s="175"/>
    </row>
    <row r="652" spans="2:2">
      <c r="B652" s="175"/>
    </row>
    <row r="653" spans="2:2">
      <c r="B653" s="175"/>
    </row>
    <row r="654" spans="2:2">
      <c r="B654" s="175"/>
    </row>
    <row r="655" spans="2:2">
      <c r="B655" s="175"/>
    </row>
    <row r="656" spans="2:2">
      <c r="B656" s="175"/>
    </row>
    <row r="657" spans="2:2">
      <c r="B657" s="175"/>
    </row>
    <row r="658" spans="2:2">
      <c r="B658" s="175"/>
    </row>
    <row r="659" spans="2:2">
      <c r="B659" s="175"/>
    </row>
    <row r="660" spans="2:2">
      <c r="B660" s="175"/>
    </row>
    <row r="661" spans="2:2">
      <c r="B661" s="175"/>
    </row>
    <row r="662" spans="2:2">
      <c r="B662" s="175"/>
    </row>
    <row r="663" spans="2:2">
      <c r="B663" s="175"/>
    </row>
    <row r="664" spans="2:2">
      <c r="B664" s="175"/>
    </row>
    <row r="665" spans="2:2">
      <c r="B665" s="175"/>
    </row>
    <row r="666" spans="2:2">
      <c r="B666" s="175"/>
    </row>
    <row r="667" spans="2:2">
      <c r="B667" s="175"/>
    </row>
    <row r="668" spans="2:2">
      <c r="B668" s="175"/>
    </row>
    <row r="669" spans="2:2">
      <c r="B669" s="176"/>
    </row>
    <row r="670" spans="2:2">
      <c r="B670" s="176"/>
    </row>
    <row r="671" spans="2:2">
      <c r="B671" s="176"/>
    </row>
    <row r="672" spans="2:2">
      <c r="B672" s="176"/>
    </row>
    <row r="673" spans="2:2">
      <c r="B673" s="176"/>
    </row>
    <row r="674" spans="2:2">
      <c r="B674" s="176"/>
    </row>
    <row r="675" spans="2:2">
      <c r="B675" s="176"/>
    </row>
    <row r="676" spans="2:2">
      <c r="B676" s="176"/>
    </row>
    <row r="677" spans="2:2">
      <c r="B677" s="176"/>
    </row>
    <row r="678" spans="2:2">
      <c r="B678" s="176"/>
    </row>
    <row r="679" spans="2:2">
      <c r="B679" s="176"/>
    </row>
    <row r="680" spans="2:2">
      <c r="B680" s="176"/>
    </row>
    <row r="681" spans="2:2">
      <c r="B681" s="176"/>
    </row>
    <row r="682" spans="2:2">
      <c r="B682" s="176"/>
    </row>
    <row r="683" spans="2:2">
      <c r="B683" s="176"/>
    </row>
    <row r="684" spans="2:2">
      <c r="B684" s="176"/>
    </row>
    <row r="685" spans="2:2">
      <c r="B685" s="176"/>
    </row>
    <row r="686" spans="2:2">
      <c r="B686" s="176"/>
    </row>
    <row r="687" spans="2:2">
      <c r="B687" s="176"/>
    </row>
    <row r="688" spans="2:2">
      <c r="B688" s="176"/>
    </row>
    <row r="689" spans="2:2">
      <c r="B689" s="176"/>
    </row>
    <row r="690" spans="2:2">
      <c r="B690" s="176"/>
    </row>
    <row r="691" spans="2:2">
      <c r="B691" s="176"/>
    </row>
    <row r="692" spans="2:2">
      <c r="B692" s="176"/>
    </row>
    <row r="693" spans="2:2">
      <c r="B693" s="176"/>
    </row>
  </sheetData>
  <phoneticPr fontId="108" type="noConversion"/>
  <pageMargins left="0.7" right="0.7" top="0.75" bottom="0.75" header="0.3" footer="0.3"/>
  <pageSetup paperSize="9" orientation="portrait" r:id="rId1"/>
  <ignoredErrors>
    <ignoredError sqref="BH53:BI53" formulaRange="1"/>
    <ignoredError sqref="W48 W45 W51" 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2:W34"/>
  <sheetViews>
    <sheetView workbookViewId="0">
      <selection activeCell="G19" sqref="G19"/>
    </sheetView>
  </sheetViews>
  <sheetFormatPr defaultColWidth="9.140625" defaultRowHeight="15"/>
  <cols>
    <col min="2" max="2" width="41.140625" customWidth="1"/>
    <col min="9" max="9" width="16.85546875" customWidth="1"/>
    <col min="12" max="12" width="18.28515625" bestFit="1" customWidth="1"/>
    <col min="13" max="13" width="11.28515625" bestFit="1" customWidth="1"/>
    <col min="14" max="14" width="16.42578125" bestFit="1" customWidth="1"/>
    <col min="15" max="19" width="14" customWidth="1"/>
    <col min="21" max="21" width="7.140625" customWidth="1"/>
  </cols>
  <sheetData>
    <row r="2" spans="2:23">
      <c r="C2" s="1246">
        <v>44196</v>
      </c>
      <c r="D2" s="2382">
        <f>+C2+365</f>
        <v>44561</v>
      </c>
      <c r="E2" s="2382">
        <f>+D2+365</f>
        <v>44926</v>
      </c>
      <c r="F2" s="2382">
        <f>+E2+365</f>
        <v>45291</v>
      </c>
      <c r="G2" s="2382">
        <f>+F2+365</f>
        <v>45656</v>
      </c>
      <c r="M2" s="2691" t="s">
        <v>886</v>
      </c>
      <c r="N2" s="2691"/>
      <c r="O2" s="177"/>
      <c r="P2" s="177"/>
      <c r="Q2" s="177"/>
      <c r="R2" s="177"/>
      <c r="S2" s="177"/>
    </row>
    <row r="3" spans="2:23">
      <c r="B3" s="105" t="s">
        <v>887</v>
      </c>
      <c r="H3" s="105" t="s">
        <v>888</v>
      </c>
      <c r="I3" s="105" t="s">
        <v>889</v>
      </c>
      <c r="M3" s="239">
        <v>2019</v>
      </c>
      <c r="N3" s="239">
        <v>2020</v>
      </c>
      <c r="O3" s="239">
        <f>+N3+1</f>
        <v>2021</v>
      </c>
      <c r="P3" s="239">
        <f>+O3+1</f>
        <v>2022</v>
      </c>
      <c r="Q3" s="239">
        <f t="shared" ref="Q3:R3" si="0">+P3+1</f>
        <v>2023</v>
      </c>
      <c r="R3" s="239">
        <f t="shared" si="0"/>
        <v>2024</v>
      </c>
      <c r="S3" s="239"/>
    </row>
    <row r="4" spans="2:23">
      <c r="B4" t="s">
        <v>890</v>
      </c>
      <c r="C4" s="1241">
        <f>+N8</f>
        <v>256.86798822843997</v>
      </c>
      <c r="D4" s="1241">
        <f t="shared" ref="D4:G4" si="1">+O8</f>
        <v>0</v>
      </c>
      <c r="E4" s="1241">
        <f t="shared" si="1"/>
        <v>344.58277508815337</v>
      </c>
      <c r="F4" s="1241">
        <f t="shared" si="1"/>
        <v>276.9304966537685</v>
      </c>
      <c r="G4" s="1241">
        <f t="shared" si="1"/>
        <v>306.90895975593696</v>
      </c>
      <c r="L4" s="105" t="s">
        <v>353</v>
      </c>
      <c r="M4" s="1242">
        <f>+Resumo!K14*1000/MACRO!BH3</f>
        <v>9361180.4824867193</v>
      </c>
      <c r="N4" s="1242">
        <f>+Resumo!L14*1000/MACRO!BI3</f>
        <v>7786100.6106426287</v>
      </c>
      <c r="O4" s="1242">
        <f>+Resumo!M14*1000/MACRO!BJ3</f>
        <v>6732548.9324461361</v>
      </c>
      <c r="P4" s="1242">
        <f>+Resumo!N14*1000/MACRO!BK3</f>
        <v>5656626.6257246565</v>
      </c>
      <c r="Q4" s="1242">
        <f>+Resumo!O14*1000/MACRO!BL3</f>
        <v>4692840.7218744485</v>
      </c>
      <c r="R4" s="1242">
        <f>+Resumo!P14*1000/MACRO!BM3</f>
        <v>4136036.9244659841</v>
      </c>
      <c r="S4" t="s">
        <v>931</v>
      </c>
    </row>
    <row r="5" spans="2:23">
      <c r="B5" t="s">
        <v>891</v>
      </c>
      <c r="C5" s="1243">
        <f>+N11</f>
        <v>0</v>
      </c>
      <c r="D5" s="1243">
        <f t="shared" ref="D5:G5" si="2">+O11</f>
        <v>0</v>
      </c>
      <c r="E5" s="1243">
        <f t="shared" si="2"/>
        <v>39.195594111219364</v>
      </c>
      <c r="F5" s="1243">
        <f t="shared" si="2"/>
        <v>63.160581362021766</v>
      </c>
      <c r="G5" s="1243">
        <f t="shared" si="2"/>
        <v>79.155773531830945</v>
      </c>
      <c r="M5" s="108"/>
      <c r="N5" s="108"/>
      <c r="O5" s="108"/>
      <c r="P5" s="108"/>
      <c r="Q5" s="108"/>
      <c r="R5" s="108"/>
    </row>
    <row r="6" spans="2:23">
      <c r="B6" t="s">
        <v>892</v>
      </c>
      <c r="C6" s="1244" t="s">
        <v>893</v>
      </c>
      <c r="D6" s="1244" t="s">
        <v>893</v>
      </c>
      <c r="E6" s="1244" t="s">
        <v>893</v>
      </c>
      <c r="F6" s="1244" t="s">
        <v>893</v>
      </c>
      <c r="G6" s="1244" t="s">
        <v>893</v>
      </c>
    </row>
    <row r="7" spans="2:23">
      <c r="L7" s="233" t="s">
        <v>894</v>
      </c>
      <c r="M7" s="137"/>
      <c r="N7" s="1252">
        <v>2000000</v>
      </c>
      <c r="O7" s="1252"/>
      <c r="P7" s="1252">
        <v>1949176.1003297393</v>
      </c>
      <c r="Q7" s="1252">
        <v>1299590.7118257205</v>
      </c>
      <c r="R7" s="1252">
        <v>1269386.79</v>
      </c>
      <c r="S7" t="s">
        <v>932</v>
      </c>
    </row>
    <row r="8" spans="2:23">
      <c r="B8" t="s">
        <v>895</v>
      </c>
      <c r="C8" s="1246">
        <v>44196</v>
      </c>
      <c r="D8" s="2382">
        <f>+C8+365</f>
        <v>44561</v>
      </c>
      <c r="E8" s="2382">
        <f>+D8+365</f>
        <v>44926</v>
      </c>
      <c r="F8" s="2382">
        <f>+E8+365</f>
        <v>45291</v>
      </c>
      <c r="G8" s="2382">
        <f>+F8+365</f>
        <v>45656</v>
      </c>
      <c r="L8" s="233" t="s">
        <v>896</v>
      </c>
      <c r="M8" s="108">
        <f>+M7*1000/M4</f>
        <v>0</v>
      </c>
      <c r="N8" s="108">
        <f>+N7*1000/N4</f>
        <v>256.86798822843997</v>
      </c>
      <c r="O8" s="108">
        <f t="shared" ref="O8:R8" si="3">+O7*1000/O4</f>
        <v>0</v>
      </c>
      <c r="P8" s="108">
        <f t="shared" si="3"/>
        <v>344.58277508815337</v>
      </c>
      <c r="Q8" s="108">
        <f t="shared" si="3"/>
        <v>276.9304966537685</v>
      </c>
      <c r="R8" s="108">
        <f t="shared" si="3"/>
        <v>306.90895975593696</v>
      </c>
      <c r="S8" t="s">
        <v>933</v>
      </c>
    </row>
    <row r="9" spans="2:23">
      <c r="B9" s="105" t="s">
        <v>897</v>
      </c>
      <c r="C9" s="1247"/>
      <c r="D9" s="1247"/>
      <c r="E9" s="1247"/>
      <c r="F9" s="1247"/>
      <c r="G9" s="1247"/>
      <c r="L9" s="233" t="s">
        <v>898</v>
      </c>
      <c r="M9" s="137"/>
      <c r="N9" s="137"/>
      <c r="O9" s="137"/>
      <c r="P9" s="1252">
        <v>798172.78999999992</v>
      </c>
      <c r="Q9" s="1252">
        <v>1067048.32</v>
      </c>
      <c r="R9" s="1252">
        <v>1178607.3847184442</v>
      </c>
      <c r="S9" s="1245" t="s">
        <v>899</v>
      </c>
      <c r="T9" s="1245"/>
      <c r="W9" s="1245"/>
    </row>
    <row r="10" spans="2:23">
      <c r="B10" t="s">
        <v>902</v>
      </c>
      <c r="C10" s="1248" t="s">
        <v>903</v>
      </c>
      <c r="D10" s="1248"/>
      <c r="E10" s="1248"/>
      <c r="F10" s="2384">
        <v>0.21173346209560601</v>
      </c>
      <c r="G10" s="2384">
        <v>0.1482</v>
      </c>
      <c r="L10" s="233" t="s">
        <v>930</v>
      </c>
      <c r="M10" s="214">
        <f>+M9*$M$13</f>
        <v>0</v>
      </c>
      <c r="N10" s="214">
        <f>+N9*$M$13</f>
        <v>0</v>
      </c>
      <c r="O10" s="214">
        <f t="shared" ref="O10:R10" si="4">+O9*$M$13</f>
        <v>0</v>
      </c>
      <c r="P10" s="214">
        <f t="shared" si="4"/>
        <v>221714841.26062</v>
      </c>
      <c r="Q10" s="214">
        <f t="shared" si="4"/>
        <v>296402548.23296005</v>
      </c>
      <c r="R10" s="214">
        <f t="shared" si="4"/>
        <v>327391202.11232001</v>
      </c>
      <c r="S10" s="1245" t="s">
        <v>934</v>
      </c>
      <c r="T10" s="1245"/>
    </row>
    <row r="11" spans="2:23">
      <c r="B11" t="s">
        <v>904</v>
      </c>
      <c r="C11" s="1248" t="s">
        <v>905</v>
      </c>
      <c r="D11" s="1248" t="s">
        <v>905</v>
      </c>
      <c r="E11" s="1248" t="s">
        <v>905</v>
      </c>
      <c r="F11" s="1248" t="s">
        <v>905</v>
      </c>
      <c r="G11" s="1248" t="s">
        <v>905</v>
      </c>
      <c r="L11" s="233" t="s">
        <v>906</v>
      </c>
      <c r="M11" s="108">
        <f t="shared" ref="M11:R11" si="5">+M10/M4</f>
        <v>0</v>
      </c>
      <c r="N11" s="108">
        <f t="shared" si="5"/>
        <v>0</v>
      </c>
      <c r="O11" s="108">
        <f t="shared" si="5"/>
        <v>0</v>
      </c>
      <c r="P11" s="108">
        <f t="shared" si="5"/>
        <v>39.195594111219364</v>
      </c>
      <c r="Q11" s="108">
        <f t="shared" si="5"/>
        <v>63.160581362021766</v>
      </c>
      <c r="R11" s="108">
        <f t="shared" si="5"/>
        <v>79.155773531830945</v>
      </c>
      <c r="S11" t="s">
        <v>935</v>
      </c>
    </row>
    <row r="12" spans="2:23">
      <c r="B12" t="s">
        <v>907</v>
      </c>
      <c r="C12" s="1249">
        <v>0.49</v>
      </c>
      <c r="D12" s="1249"/>
      <c r="E12" s="1251">
        <v>0.61</v>
      </c>
      <c r="F12" s="1251">
        <v>0.6</v>
      </c>
      <c r="G12" s="1251">
        <v>0.61181719848566796</v>
      </c>
    </row>
    <row r="13" spans="2:23">
      <c r="B13" t="s">
        <v>939</v>
      </c>
      <c r="C13" s="1248"/>
      <c r="D13" s="1248"/>
      <c r="E13" s="1248"/>
      <c r="F13" s="2384"/>
      <c r="G13" s="2387">
        <v>0.01</v>
      </c>
      <c r="L13" s="233" t="s">
        <v>900</v>
      </c>
      <c r="M13" s="214">
        <v>277.77800000000002</v>
      </c>
      <c r="N13" s="214" t="s">
        <v>901</v>
      </c>
      <c r="O13" s="214"/>
      <c r="P13" s="214"/>
      <c r="Q13" s="214"/>
      <c r="R13" s="214"/>
      <c r="S13" s="1245"/>
      <c r="T13" s="1245"/>
    </row>
    <row r="14" spans="2:23">
      <c r="C14" s="2385"/>
      <c r="D14" s="2385"/>
      <c r="E14" s="2385"/>
      <c r="F14" s="2386"/>
      <c r="G14" s="2386"/>
      <c r="L14" s="233"/>
      <c r="M14" s="214"/>
      <c r="N14" s="214"/>
      <c r="O14" s="214"/>
      <c r="P14" s="214"/>
      <c r="Q14" s="214"/>
      <c r="R14" s="214"/>
      <c r="S14" s="1245"/>
      <c r="T14" s="1245"/>
    </row>
    <row r="15" spans="2:23">
      <c r="B15" t="s">
        <v>895</v>
      </c>
      <c r="C15" s="1246">
        <v>44196</v>
      </c>
      <c r="D15" s="2382">
        <f>+C15+365</f>
        <v>44561</v>
      </c>
      <c r="E15" s="2382">
        <f>+D15+365</f>
        <v>44926</v>
      </c>
      <c r="F15" s="2382">
        <f>+E15+365</f>
        <v>45291</v>
      </c>
      <c r="G15" s="2382">
        <f>+F15+365</f>
        <v>45656</v>
      </c>
    </row>
    <row r="16" spans="2:23">
      <c r="B16" s="105" t="s">
        <v>908</v>
      </c>
      <c r="C16" s="1247"/>
      <c r="D16" s="1247"/>
      <c r="E16" s="1247"/>
      <c r="F16" s="1247"/>
      <c r="G16" s="1247"/>
    </row>
    <row r="17" spans="2:17">
      <c r="B17" t="s">
        <v>909</v>
      </c>
      <c r="C17" s="1244">
        <v>13</v>
      </c>
      <c r="D17" s="1244"/>
      <c r="E17" s="1244">
        <v>13</v>
      </c>
      <c r="F17" s="1244">
        <v>9</v>
      </c>
      <c r="G17" s="1244">
        <v>9</v>
      </c>
    </row>
    <row r="18" spans="2:17">
      <c r="B18" t="s">
        <v>910</v>
      </c>
      <c r="C18" s="1250">
        <v>0.44</v>
      </c>
      <c r="D18" s="1250"/>
      <c r="E18" s="1250">
        <v>0.30769230769230771</v>
      </c>
      <c r="F18" s="1250">
        <v>0.33333333333333331</v>
      </c>
      <c r="G18" s="1250">
        <v>0.25</v>
      </c>
    </row>
    <row r="19" spans="2:17">
      <c r="B19" t="s">
        <v>911</v>
      </c>
      <c r="C19" s="1251">
        <f>9/C17</f>
        <v>0.69230769230769229</v>
      </c>
      <c r="D19" s="1251"/>
      <c r="E19" s="1251"/>
      <c r="F19" s="1251"/>
      <c r="G19" s="1251">
        <v>0.5</v>
      </c>
      <c r="Q19">
        <f>40876000/M13</f>
        <v>147153.48227721418</v>
      </c>
    </row>
    <row r="20" spans="2:17">
      <c r="B20" t="s">
        <v>912</v>
      </c>
      <c r="C20" s="1244" t="s">
        <v>913</v>
      </c>
      <c r="D20" s="1244"/>
      <c r="E20" s="1244"/>
      <c r="F20" s="1244"/>
      <c r="G20" s="1244" t="s">
        <v>905</v>
      </c>
    </row>
    <row r="21" spans="2:17">
      <c r="B21" t="s">
        <v>914</v>
      </c>
      <c r="C21" s="1244" t="s">
        <v>913</v>
      </c>
      <c r="D21" s="1244"/>
      <c r="E21" s="1244"/>
      <c r="F21" s="1244"/>
      <c r="G21" s="1244" t="s">
        <v>905</v>
      </c>
    </row>
    <row r="22" spans="2:17">
      <c r="B22" t="s">
        <v>915</v>
      </c>
      <c r="C22" s="1248" t="s">
        <v>905</v>
      </c>
      <c r="D22" s="1248"/>
      <c r="E22" s="1248"/>
      <c r="F22" s="1248"/>
      <c r="G22" s="1248" t="s">
        <v>905</v>
      </c>
    </row>
    <row r="23" spans="2:17">
      <c r="B23" s="1155" t="s">
        <v>916</v>
      </c>
      <c r="C23" s="1244" t="s">
        <v>905</v>
      </c>
      <c r="D23" s="1244"/>
      <c r="E23" s="1244"/>
      <c r="F23" s="1244"/>
      <c r="G23" s="1244" t="s">
        <v>905</v>
      </c>
      <c r="N23" t="s">
        <v>936</v>
      </c>
      <c r="O23" s="2383">
        <v>70488.759999999995</v>
      </c>
      <c r="P23" s="2383">
        <v>60431.1</v>
      </c>
      <c r="Q23" s="2383">
        <v>62939.630000000005</v>
      </c>
    </row>
    <row r="24" spans="2:17">
      <c r="B24" t="s">
        <v>917</v>
      </c>
      <c r="C24" s="1244" t="s">
        <v>913</v>
      </c>
      <c r="D24" s="1244"/>
      <c r="E24" s="1244"/>
      <c r="F24" s="1244"/>
      <c r="G24" s="1244" t="s">
        <v>913</v>
      </c>
      <c r="N24" t="s">
        <v>937</v>
      </c>
      <c r="O24" s="2383">
        <v>128310.09</v>
      </c>
      <c r="P24" s="2383">
        <v>511487.2</v>
      </c>
      <c r="Q24" s="2383">
        <v>534065.74</v>
      </c>
    </row>
    <row r="25" spans="2:17">
      <c r="C25" s="1246"/>
      <c r="D25" s="1246"/>
      <c r="E25" s="1246"/>
      <c r="F25" s="1246"/>
      <c r="G25" s="1246"/>
      <c r="N25" t="s">
        <v>938</v>
      </c>
      <c r="O25" s="2383">
        <v>599373.93999999994</v>
      </c>
      <c r="P25" s="2383">
        <v>495130.02</v>
      </c>
      <c r="Q25" s="2383">
        <v>581602.01471844409</v>
      </c>
    </row>
    <row r="26" spans="2:17">
      <c r="O26" s="2383"/>
      <c r="P26" s="2383"/>
      <c r="Q26" s="2383"/>
    </row>
    <row r="27" spans="2:17">
      <c r="B27" t="s">
        <v>918</v>
      </c>
      <c r="C27" s="226"/>
      <c r="D27" s="226"/>
      <c r="E27" s="226"/>
      <c r="F27" s="226"/>
      <c r="G27" s="226"/>
      <c r="O27" s="2383">
        <f>+O24+O23+O25</f>
        <v>798172.78999999992</v>
      </c>
      <c r="P27" s="2383">
        <f t="shared" ref="P27:Q27" si="6">+P24+P23+P25</f>
        <v>1067048.32</v>
      </c>
      <c r="Q27" s="2383">
        <f t="shared" si="6"/>
        <v>1178607.3847184442</v>
      </c>
    </row>
    <row r="28" spans="2:17">
      <c r="B28" t="s">
        <v>919</v>
      </c>
      <c r="O28">
        <f>+O24/O27</f>
        <v>0.16075477842335367</v>
      </c>
      <c r="P28">
        <f t="shared" ref="P28:Q28" si="7">+P24/P27</f>
        <v>0.47934773937885022</v>
      </c>
      <c r="Q28">
        <f t="shared" si="7"/>
        <v>0.45313286419597837</v>
      </c>
    </row>
    <row r="33" spans="2:2">
      <c r="B33" t="s">
        <v>920</v>
      </c>
    </row>
    <row r="34" spans="2:2">
      <c r="B34" s="261" t="s">
        <v>921</v>
      </c>
    </row>
  </sheetData>
  <mergeCells count="1">
    <mergeCell ref="M2:N2"/>
  </mergeCells>
  <hyperlinks>
    <hyperlink ref="B34" r:id="rId1" xr:uid="{00000000-0004-0000-0F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39997558519241921"/>
  </sheetPr>
  <dimension ref="A2:B11"/>
  <sheetViews>
    <sheetView workbookViewId="0"/>
  </sheetViews>
  <sheetFormatPr defaultColWidth="9.140625" defaultRowHeight="15"/>
  <sheetData>
    <row r="2" spans="1:2" ht="15.75">
      <c r="B2" s="769" t="s">
        <v>922</v>
      </c>
    </row>
    <row r="3" spans="1:2">
      <c r="A3">
        <v>1</v>
      </c>
      <c r="B3" t="s">
        <v>923</v>
      </c>
    </row>
    <row r="4" spans="1:2">
      <c r="B4" t="s">
        <v>924</v>
      </c>
    </row>
    <row r="5" spans="1:2">
      <c r="B5" t="s">
        <v>925</v>
      </c>
    </row>
    <row r="7" spans="1:2">
      <c r="A7">
        <v>2</v>
      </c>
      <c r="B7" t="s">
        <v>926</v>
      </c>
    </row>
    <row r="9" spans="1:2">
      <c r="A9">
        <v>3</v>
      </c>
      <c r="B9" t="s">
        <v>927</v>
      </c>
    </row>
    <row r="10" spans="1:2">
      <c r="B10" t="s">
        <v>928</v>
      </c>
    </row>
    <row r="11" spans="1:2">
      <c r="B11" t="s">
        <v>929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14AAC60D01E84E99F2B81F67E36546" ma:contentTypeVersion="14" ma:contentTypeDescription="Create a new document." ma:contentTypeScope="" ma:versionID="35fbaf4ebdb7c44bcdc0c65d4449b63e">
  <xsd:schema xmlns:xsd="http://www.w3.org/2001/XMLSchema" xmlns:xs="http://www.w3.org/2001/XMLSchema" xmlns:p="http://schemas.microsoft.com/office/2006/metadata/properties" xmlns:ns3="efca2dfc-ed96-4e65-8080-bcad811dc6f3" xmlns:ns4="a31328f4-1add-4fa9-ad71-037c93618862" targetNamespace="http://schemas.microsoft.com/office/2006/metadata/properties" ma:root="true" ma:fieldsID="785ee9b9e86a210ca101700762908d3a" ns3:_="" ns4:_="">
    <xsd:import namespace="efca2dfc-ed96-4e65-8080-bcad811dc6f3"/>
    <xsd:import namespace="a31328f4-1add-4fa9-ad71-037c9361886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ca2dfc-ed96-4e65-8080-bcad811dc6f3"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1328f4-1add-4fa9-ad71-037c93618862"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268D63-B2AA-43E6-A813-F6FC94724A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ca2dfc-ed96-4e65-8080-bcad811dc6f3"/>
    <ds:schemaRef ds:uri="a31328f4-1add-4fa9-ad71-037c936188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694232-0455-491B-A3A5-8FE2C63B7EF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A1560CB-F21C-4CF9-8FFC-0E5BDDEB4C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2011</vt:lpstr>
      <vt:lpstr>2012</vt:lpstr>
      <vt:lpstr>2013</vt:lpstr>
      <vt:lpstr>2014</vt:lpstr>
      <vt:lpstr>VP</vt:lpstr>
      <vt:lpstr>WACC</vt:lpstr>
      <vt:lpstr>Resumo</vt:lpstr>
      <vt:lpstr>FAT</vt:lpstr>
      <vt:lpstr>Sheet2</vt:lpstr>
      <vt:lpstr>PROJ</vt:lpstr>
      <vt:lpstr>JUROS</vt:lpstr>
      <vt:lpstr>Debt</vt:lpstr>
      <vt:lpstr>Avon IS</vt:lpstr>
      <vt:lpstr>Avon Bce</vt:lpstr>
      <vt:lpstr>comps</vt:lpstr>
      <vt:lpstr>MACRO</vt:lpstr>
      <vt:lpstr>ESG</vt:lpstr>
      <vt:lpstr>Notas</vt:lpstr>
    </vt:vector>
  </TitlesOfParts>
  <Manager/>
  <Company>Natura Cosmeticos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LUIZA MENDES SILVEIRA</dc:creator>
  <cp:keywords/>
  <dc:description/>
  <cp:lastModifiedBy>Camila Rivilli</cp:lastModifiedBy>
  <cp:revision/>
  <dcterms:created xsi:type="dcterms:W3CDTF">2017-11-17T15:47:58Z</dcterms:created>
  <dcterms:modified xsi:type="dcterms:W3CDTF">2026-04-06T16:42:34Z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0x010100F214AAC60D01E84E99F2B81F67E36546</vt:lpwstr>
  </property>
</Properties>
</file>