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tabRatio="901" activeTab="7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36" l="1"/>
  <c r="F10" i="136"/>
  <c r="F9" i="136"/>
  <c r="D11" i="136"/>
  <c r="D10" i="136"/>
  <c r="E11" i="136"/>
  <c r="E10" i="136"/>
  <c r="E9" i="136"/>
  <c r="D9" i="136"/>
  <c r="C9" i="136"/>
  <c r="B9" i="136"/>
  <c r="H8" i="136"/>
  <c r="B8" i="136"/>
  <c r="C8" i="136"/>
  <c r="D8" i="136"/>
  <c r="E8" i="136"/>
  <c r="F8" i="136"/>
  <c r="B10" i="136"/>
  <c r="C10" i="136"/>
  <c r="C11" i="136"/>
  <c r="B11" i="136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E13" i="132" l="1"/>
  <c r="E9" i="132"/>
  <c r="E12" i="132"/>
  <c r="E9" i="129"/>
  <c r="E8" i="129"/>
  <c r="C11" i="132"/>
  <c r="B11" i="132"/>
  <c r="E8" i="137"/>
  <c r="C8" i="137"/>
  <c r="B8" i="137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<sst xmlns="http://schemas.openxmlformats.org/spreadsheetml/2006/main" count="689" uniqueCount="320">
  <si>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</si>
  <si>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</si>
  <si>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</si>
  <si>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</si>
  <si>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</si>
  <si>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</si>
  <si>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</si>
  <si>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</si>
  <si>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</si>
  <si>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</si>
  <si>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</si>
  <si>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</si>
  <si>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</si>
  <si>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</si>
  <si>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</si>
  <si>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</si>
  <si>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</si>
  <si>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</si>
  <si>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</si>
  <si>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</si>
  <si>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</si>
  <si>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</si>
  <si>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</si>
  <si>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</si>
  <si>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</si>
  <si>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</si>
  <si>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</si>
  <si>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</si>
  <si>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</si>
  <si>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</si>
  <si>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</si>
  <si>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</si>
  <si>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</si>
  <si>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</si>
  <si>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</si>
  <si>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</si>
  <si>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</si>
  <si>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</si>
  <si>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</si>
  <si>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</si>
  <si>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</si>
  <si>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</si>
  <si>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</si>
  <si>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</si>
  <si>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</si>
  <si>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</si>
  <si>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</si>
  <si>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</si>
  <si>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</si>
  <si>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</si>
  <si>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</si>
  <si>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</si>
  <si>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</si>
  <si>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</si>
  <si>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</si>
  <si>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</si>
  <si>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</si>
  <si>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</si>
  <si>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</si>
  <si>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</si>
  <si>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</si>
  <si>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</si>
  <si>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</si>
  <si>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</si>
  <si>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</si>
  <si>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</si>
  <si>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</si>
  <si>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</si>
  <si>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</si>
  <si>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</si>
  <si>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</si>
  <si>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</si>
  <si>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</si>
  <si>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</si>
  <si>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</si>
  <si>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</si>
  <si>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</si>
  <si>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</si>
  <si>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</si>
  <si>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</si>
  <si>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</si>
  <si>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</si>
  <si>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</si>
  <si>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</si>
  <si>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</si>
  <si>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</si>
  <si>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</si>
  <si>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</si>
  <si>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</si>
  <si>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</si>
  <si>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</si>
  <si>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</si>
  <si>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</si>
  <si>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</si>
  <si>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</si>
  <si>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</si>
  <si>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</si>
  <si>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</si>
  <si>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</si>
  <si>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</si>
  <si>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</si>
  <si>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</si>
  <si>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</si>
  <si>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</si>
  <si>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</si>
  <si>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</si>
  <si>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</si>
  <si>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</si>
  <si>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</si>
  <si>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</si>
  <si>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</si>
  <si>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</si>
  <si>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</si>
  <si>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</si>
  <si>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</si>
  <si>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</si>
  <si>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</si>
  <si>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</si>
  <si>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</si>
  <si>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</si>
  <si>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</si>
  <si>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</si>
  <si>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</si>
  <si>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</si>
  <si>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</si>
  <si>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</si>
  <si>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</si>
  <si>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</si>
  <si>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</si>
  <si>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</si>
  <si>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</si>
  <si>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</si>
  <si>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</si>
  <si>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</si>
  <si>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</si>
  <si>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</si>
  <si>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</si>
  <si>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</si>
  <si>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</si>
  <si>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</si>
  <si>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</si>
  <si>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</si>
  <si>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</si>
  <si>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</si>
  <si>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</si>
  <si>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</si>
  <si>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</si>
  <si>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</si>
  <si>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</si>
  <si>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</si>
  <si>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</si>
  <si>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</si>
  <si>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</si>
  <si>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</si>
  <si>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</si>
  <si>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</si>
  <si>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</si>
  <si>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</si>
  <si>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</si>
  <si>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</si>
  <si>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</si>
  <si>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</si>
  <si>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</si>
  <si>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</si>
  <si>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</si>
  <si>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</si>
  <si>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</si>
  <si>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</si>
  <si>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</si>
  <si>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</si>
  <si>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</si>
  <si>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</si>
  <si>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</si>
  <si>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</si>
  <si>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</si>
  <si>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</si>
  <si>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</si>
  <si>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</si>
  <si>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</si>
  <si>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</si>
  <si>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</si>
  <si>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</si>
  <si>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</si>
  <si>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</si>
  <si>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</si>
  <si>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</si>
  <si>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</si>
  <si>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</si>
  <si>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</si>
  <si>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</si>
  <si>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</si>
  <si>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</si>
  <si>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</si>
  <si>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</si>
  <si>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</si>
  <si>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</si>
  <si>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</si>
  <si>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</si>
  <si>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</si>
  <si>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</si>
  <si>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</si>
  <si>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</si>
  <si>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</si>
  <si>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</si>
  <si>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</si>
  <si>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</si>
  <si>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</si>
  <si>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</si>
  <si>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</si>
  <si>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</si>
  <si>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</si>
  <si>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</si>
  <si>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</si>
  <si>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</si>
  <si>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</si>
  <si>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</si>
  <si>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</si>
  <si>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</si>
  <si>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</si>
  <si>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</si>
  <si>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</si>
  <si>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</si>
  <si>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</si>
  <si>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</si>
  <si>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</si>
  <si>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</si>
  <si>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</si>
  <si>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</si>
  <si>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</si>
  <si>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</si>
  <si>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</si>
  <si>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</si>
  <si>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</si>
  <si>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</si>
  <si>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</si>
  <si>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</si>
  <si>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</si>
  <si>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</si>
  <si>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</si>
  <si>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</si>
  <si>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</si>
  <si>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</si>
  <si>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</si>
  <si>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</si>
  <si>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</si>
  <si>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</si>
  <si>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</si>
  <si>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</si>
  <si>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</si>
  <si>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</si>
  <si>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</si>
  <si>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</si>
  <si>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</si>
  <si>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</si>
  <si>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</si>
  <si>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</si>
  <si>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</si>
  <si>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</si>
  <si>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</si>
  <si>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</si>
  <si>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</si>
  <si>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</si>
  <si>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</si>
  <si>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</si>
  <si>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</si>
  <si>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</si>
  <si>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</si>
  <si>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</si>
  <si>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</si>
  <si>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</si>
  <si>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</si>
  <si>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</si>
  <si>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</si>
  <si>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</si>
  <si>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</si>
  <si>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</si>
  <si>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</si>
  <si>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</si>
  <si>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</si>
  <si>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</si>
  <si>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</si>
  <si>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</si>
  <si>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</si>
  <si>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</si>
  <si>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</si>
  <si>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</si>
  <si>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</si>
  <si>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</si>
  <si>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</si>
  <si>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</si>
  <si>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</si>
  <si>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</si>
  <si>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</si>
  <si>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</si>
  <si>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</si>
  <si>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</si>
  <si>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</si>
  <si>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</si>
  <si>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</si>
  <si>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</si>
  <si>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</si>
  <si>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</si>
  <si>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</si>
  <si>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</si>
  <si>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</si>
  <si>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</si>
  <si>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</si>
  <si>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</si>
  <si>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</si>
  <si>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</si>
  <si>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</si>
  <si>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TRANSF_HV-MV</t>
  </si>
  <si>
    <t>TRANSF_MV-LV</t>
  </si>
  <si>
    <t>Electricity Transformation and Distribution High Voltage to Medium Voltage</t>
  </si>
  <si>
    <t>Electricity Transformation and Distribution Medium Voltage to Low Voltage</t>
  </si>
  <si>
    <t>TRANSF_HV-HV</t>
  </si>
  <si>
    <t>Electricity Transformation and Distribution High Voltage to High Voltage</t>
  </si>
  <si>
    <t>ELEC_HV-HV</t>
  </si>
  <si>
    <t>ELEC_MV-MV</t>
  </si>
  <si>
    <t>ELEC_LV-LV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</si>
</sst>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39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1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20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9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8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7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6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5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0" fillId="13" borderId="24" xfId="0" applyNumberFormat="1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/>
    </xf>
    <xf numFmtId="166" fontId="20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0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0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  <xf numFmtId="0" fontId="3" fillId="5" borderId="0" xfId="0" applyFont="1" applyFill="1" applyBorder="1"/>
    <xf numFmtId="0" fontId="0" fillId="5" borderId="0" xfId="0" applyFill="1" applyBorder="1"/>
    <xf numFmtId="164" fontId="0" fillId="5" borderId="0" xfId="0" applyNumberFormat="1" applyFill="1" applyBorder="1"/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A7" zoomScale="120" zoomScaleNormal="120" workbookViewId="0">
      <selection activeCell="G36" sqref="G36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7" t="s">
        <v>266</v>
      </c>
      <c r="C2" s="187"/>
    </row>
    <row r="4" spans="2:10" x14ac:dyDescent="0.2">
      <c r="B4" s="208" t="s">
        <v>238</v>
      </c>
      <c r="C4" s="208"/>
    </row>
    <row r="5" spans="2:10" ht="13.5" thickBot="1" x14ac:dyDescent="0.25">
      <c r="B5" s="208" t="s">
        <v>239</v>
      </c>
      <c r="C5" s="208"/>
    </row>
    <row r="6" spans="2:10" ht="51" x14ac:dyDescent="0.2">
      <c r="B6" s="294" t="s">
        <v>0</v>
      </c>
      <c r="C6" s="297" t="s">
        <v>223</v>
      </c>
      <c r="D6" s="211" t="s">
        <v>1</v>
      </c>
      <c r="E6" s="211" t="s">
        <v>2</v>
      </c>
      <c r="F6" s="211" t="s">
        <v>3</v>
      </c>
      <c r="G6" s="211" t="s">
        <v>4</v>
      </c>
      <c r="H6" s="211" t="s">
        <v>5</v>
      </c>
      <c r="I6" s="211" t="s">
        <v>4</v>
      </c>
      <c r="J6" s="212" t="s">
        <v>5</v>
      </c>
    </row>
    <row r="7" spans="2:10" ht="51" x14ac:dyDescent="0.2">
      <c r="B7" s="295"/>
      <c r="C7" s="298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75" x14ac:dyDescent="0.2">
      <c r="B8" s="296"/>
      <c r="C8" s="299"/>
      <c r="D8" s="207" t="s">
        <v>6</v>
      </c>
      <c r="E8" s="207" t="s">
        <v>7</v>
      </c>
      <c r="F8" s="207" t="s">
        <v>8</v>
      </c>
      <c r="G8" s="207" t="s">
        <v>63</v>
      </c>
      <c r="H8" s="207" t="s">
        <v>9</v>
      </c>
      <c r="I8" s="207" t="s">
        <v>10</v>
      </c>
      <c r="J8" s="213" t="s">
        <v>11</v>
      </c>
    </row>
    <row r="9" spans="2:10" ht="15.75" x14ac:dyDescent="0.2">
      <c r="B9" s="214" t="s">
        <v>12</v>
      </c>
      <c r="C9" s="282" t="s">
        <v>229</v>
      </c>
      <c r="D9" s="206">
        <v>17023.8</v>
      </c>
      <c r="E9" s="206">
        <v>47860</v>
      </c>
      <c r="F9" s="206"/>
      <c r="G9" s="206">
        <v>20996.9</v>
      </c>
      <c r="H9" s="206">
        <v>21688.2</v>
      </c>
      <c r="I9" s="206"/>
      <c r="J9" s="215"/>
    </row>
    <row r="10" spans="2:10" ht="15.75" x14ac:dyDescent="0.2">
      <c r="B10" s="214" t="s">
        <v>13</v>
      </c>
      <c r="C10" s="282" t="s">
        <v>230</v>
      </c>
      <c r="D10" s="206">
        <v>7391.2</v>
      </c>
      <c r="E10" s="206">
        <v>34351.700000000004</v>
      </c>
      <c r="F10" s="206"/>
      <c r="G10" s="206">
        <v>45266.6</v>
      </c>
      <c r="H10" s="206">
        <v>7935.8</v>
      </c>
      <c r="I10" s="206"/>
      <c r="J10" s="215"/>
    </row>
    <row r="11" spans="2:10" ht="15.75" x14ac:dyDescent="0.2">
      <c r="B11" s="214" t="s">
        <v>14</v>
      </c>
      <c r="C11" s="282" t="s">
        <v>231</v>
      </c>
      <c r="D11" s="206">
        <v>4094.6000000000022</v>
      </c>
      <c r="E11" s="206">
        <v>16259.8</v>
      </c>
      <c r="F11" s="206">
        <v>137017.29999999999</v>
      </c>
      <c r="G11" s="206">
        <v>11204.8</v>
      </c>
      <c r="H11" s="206">
        <v>21089.599999999999</v>
      </c>
      <c r="I11" s="206"/>
      <c r="J11" s="215"/>
    </row>
    <row r="12" spans="2:10" ht="15.75" x14ac:dyDescent="0.2">
      <c r="B12" s="214" t="s">
        <v>15</v>
      </c>
      <c r="C12" s="282" t="s">
        <v>232</v>
      </c>
      <c r="D12" s="206">
        <v>1656.5</v>
      </c>
      <c r="E12" s="206">
        <v>7464.6</v>
      </c>
      <c r="F12" s="206">
        <v>17571.3</v>
      </c>
      <c r="G12" s="206"/>
      <c r="H12" s="206"/>
      <c r="I12" s="206">
        <v>2109.5030000000002</v>
      </c>
      <c r="J12" s="215">
        <v>32467</v>
      </c>
    </row>
    <row r="13" spans="2:10" ht="15.75" x14ac:dyDescent="0.2">
      <c r="B13" s="214" t="s">
        <v>16</v>
      </c>
      <c r="C13" s="282" t="s">
        <v>233</v>
      </c>
      <c r="D13" s="206">
        <v>6227.6934486274804</v>
      </c>
      <c r="E13" s="206">
        <v>15623.048922000018</v>
      </c>
      <c r="F13" s="206"/>
      <c r="G13" s="206"/>
      <c r="H13" s="206"/>
      <c r="I13" s="206"/>
      <c r="J13" s="215"/>
    </row>
    <row r="14" spans="2:10" ht="15.75" x14ac:dyDescent="0.2">
      <c r="B14" s="214" t="s">
        <v>17</v>
      </c>
      <c r="C14" s="282" t="s">
        <v>234</v>
      </c>
      <c r="D14" s="206">
        <v>3954.96</v>
      </c>
      <c r="E14" s="206">
        <v>1957.92</v>
      </c>
      <c r="F14" s="206"/>
      <c r="G14" s="206"/>
      <c r="H14" s="206"/>
      <c r="I14" s="206"/>
      <c r="J14" s="215"/>
    </row>
    <row r="15" spans="2:10" ht="15.75" x14ac:dyDescent="0.2">
      <c r="B15" s="216" t="s">
        <v>18</v>
      </c>
      <c r="C15" s="283" t="s">
        <v>235</v>
      </c>
      <c r="D15" s="228">
        <v>19.806000000000001</v>
      </c>
      <c r="E15" s="206"/>
      <c r="F15" s="206">
        <v>81695</v>
      </c>
      <c r="G15" s="206">
        <v>4227</v>
      </c>
      <c r="H15" s="206">
        <v>22840</v>
      </c>
      <c r="I15" s="206"/>
      <c r="J15" s="215"/>
    </row>
    <row r="16" spans="2:10" ht="13.5" thickBot="1" x14ac:dyDescent="0.25">
      <c r="B16" s="217" t="s">
        <v>19</v>
      </c>
      <c r="C16" s="284" t="s">
        <v>236</v>
      </c>
      <c r="D16" s="218"/>
      <c r="E16" s="219">
        <f>SUM(E9:E15)</f>
        <v>123517.06892200003</v>
      </c>
      <c r="F16" s="219">
        <f>SUM(F9:F15)</f>
        <v>236283.59999999998</v>
      </c>
      <c r="G16" s="218"/>
      <c r="H16" s="218"/>
      <c r="I16" s="218"/>
      <c r="J16" s="220"/>
    </row>
    <row r="17" spans="2:7" ht="15.6" customHeight="1" x14ac:dyDescent="0.2">
      <c r="B17" s="210" t="s">
        <v>237</v>
      </c>
      <c r="C17" s="210"/>
    </row>
    <row r="18" spans="2:7" x14ac:dyDescent="0.2">
      <c r="B18" s="210" t="s">
        <v>20</v>
      </c>
      <c r="C18" s="210"/>
    </row>
    <row r="19" spans="2:7" x14ac:dyDescent="0.2">
      <c r="B19" s="289" t="s">
        <v>268</v>
      </c>
      <c r="C19" s="210"/>
    </row>
    <row r="20" spans="2:7" x14ac:dyDescent="0.2">
      <c r="B20" s="210" t="s">
        <v>269</v>
      </c>
      <c r="C20" s="210"/>
    </row>
    <row r="21" spans="2:7" x14ac:dyDescent="0.2">
      <c r="B21" s="208"/>
      <c r="C21" s="208"/>
      <c r="D21" s="208"/>
      <c r="E21" s="208"/>
      <c r="F21" s="208"/>
    </row>
    <row r="22" spans="2:7" x14ac:dyDescent="0.2">
      <c r="B22" s="208"/>
      <c r="C22" s="208"/>
      <c r="D22" s="208"/>
      <c r="E22" s="208"/>
      <c r="F22" s="208"/>
    </row>
    <row r="23" spans="2:7" ht="15" x14ac:dyDescent="0.2">
      <c r="B23" s="187" t="s">
        <v>310</v>
      </c>
      <c r="C23" s="187"/>
      <c r="D23" s="208"/>
      <c r="E23" s="208"/>
      <c r="F23" s="208"/>
    </row>
    <row r="25" spans="2:7" x14ac:dyDescent="0.2">
      <c r="B25" s="208" t="s">
        <v>247</v>
      </c>
      <c r="C25" s="208"/>
      <c r="D25" s="208"/>
      <c r="E25" s="208"/>
      <c r="F25" s="208"/>
    </row>
    <row r="26" spans="2:7" ht="13.5" thickBot="1" x14ac:dyDescent="0.25">
      <c r="B26" s="208" t="s">
        <v>246</v>
      </c>
      <c r="C26" s="208"/>
      <c r="D26" s="208"/>
      <c r="E26" s="208"/>
      <c r="F26" s="208"/>
    </row>
    <row r="27" spans="2:7" ht="31.7" customHeight="1" x14ac:dyDescent="0.2">
      <c r="B27" s="292" t="s">
        <v>21</v>
      </c>
      <c r="C27" s="290" t="s">
        <v>240</v>
      </c>
      <c r="D27" s="211" t="s">
        <v>22</v>
      </c>
      <c r="E27" s="221" t="s">
        <v>23</v>
      </c>
      <c r="F27" s="208"/>
    </row>
    <row r="28" spans="2:7" ht="31.7" customHeight="1" x14ac:dyDescent="0.2">
      <c r="B28" s="293"/>
      <c r="C28" s="291"/>
      <c r="D28" s="139" t="s">
        <v>245</v>
      </c>
      <c r="E28" s="288" t="s">
        <v>143</v>
      </c>
      <c r="F28" s="208"/>
    </row>
    <row r="29" spans="2:7" x14ac:dyDescent="0.2">
      <c r="B29" s="222" t="s">
        <v>24</v>
      </c>
      <c r="C29" s="285" t="s">
        <v>241</v>
      </c>
      <c r="D29" s="207" t="s">
        <v>278</v>
      </c>
      <c r="E29" s="223">
        <v>0.97706171756374371</v>
      </c>
      <c r="F29" s="208"/>
      <c r="G29" s="2"/>
    </row>
    <row r="30" spans="2:7" x14ac:dyDescent="0.2">
      <c r="B30" s="222" t="s">
        <v>24</v>
      </c>
      <c r="C30" s="285" t="s">
        <v>241</v>
      </c>
      <c r="D30" s="207" t="s">
        <v>309</v>
      </c>
      <c r="E30" s="223">
        <v>0.9764416403645515</v>
      </c>
      <c r="F30" s="208"/>
      <c r="G30" s="2"/>
    </row>
    <row r="31" spans="2:7" x14ac:dyDescent="0.2">
      <c r="B31" s="222" t="s">
        <v>24</v>
      </c>
      <c r="C31" s="285" t="s">
        <v>241</v>
      </c>
      <c r="D31" s="207" t="s">
        <v>243</v>
      </c>
      <c r="E31" s="223">
        <v>0.9515253427786764</v>
      </c>
      <c r="F31" s="208"/>
      <c r="G31" s="142"/>
    </row>
    <row r="32" spans="2:7" ht="13.5" thickBot="1" x14ac:dyDescent="0.25">
      <c r="B32" s="224" t="s">
        <v>25</v>
      </c>
      <c r="C32" s="286" t="s">
        <v>242</v>
      </c>
      <c r="D32" s="225" t="s">
        <v>244</v>
      </c>
      <c r="E32" s="226">
        <v>0.85899999999999999</v>
      </c>
      <c r="F32" s="208"/>
    </row>
    <row r="33" spans="2:16" x14ac:dyDescent="0.2">
      <c r="B33" s="210" t="s">
        <v>237</v>
      </c>
      <c r="C33" s="208"/>
      <c r="D33" s="208"/>
      <c r="E33" s="209"/>
      <c r="F33" s="208"/>
      <c r="O33" s="142"/>
      <c r="P33" s="142"/>
    </row>
    <row r="34" spans="2:16" x14ac:dyDescent="0.2">
      <c r="B34" s="289" t="s">
        <v>20</v>
      </c>
      <c r="C34" s="208"/>
      <c r="D34" s="208"/>
      <c r="E34" s="209"/>
      <c r="F34" s="208"/>
    </row>
    <row r="35" spans="2:16" x14ac:dyDescent="0.2">
      <c r="B35" s="289" t="s">
        <v>268</v>
      </c>
      <c r="C35" s="208"/>
      <c r="D35" s="208"/>
      <c r="E35" s="209"/>
      <c r="F35" s="208"/>
    </row>
    <row r="36" spans="2:16" x14ac:dyDescent="0.2">
      <c r="B36" s="208"/>
      <c r="C36" s="208"/>
      <c r="D36" s="208"/>
      <c r="E36" s="209"/>
      <c r="F36" s="208"/>
    </row>
    <row r="37" spans="2:16" x14ac:dyDescent="0.2">
      <c r="B37" s="208"/>
      <c r="C37" s="208"/>
      <c r="D37" s="208"/>
      <c r="E37" s="209"/>
      <c r="F37" s="208"/>
    </row>
    <row r="38" spans="2:16" ht="15" x14ac:dyDescent="0.2">
      <c r="B38" s="187" t="s">
        <v>267</v>
      </c>
      <c r="C38" s="187"/>
      <c r="D38" s="208"/>
      <c r="E38" s="209"/>
      <c r="F38" s="208"/>
    </row>
    <row r="39" spans="2:16" x14ac:dyDescent="0.2">
      <c r="B39" s="208"/>
      <c r="C39" s="208"/>
      <c r="D39" s="208"/>
      <c r="E39" s="209"/>
      <c r="F39" s="208"/>
    </row>
    <row r="40" spans="2:16" x14ac:dyDescent="0.2">
      <c r="B40" s="208" t="s">
        <v>249</v>
      </c>
      <c r="C40" s="208"/>
      <c r="D40" s="208"/>
      <c r="E40" s="209"/>
      <c r="F40" s="208"/>
    </row>
    <row r="41" spans="2:16" ht="13.5" thickBot="1" x14ac:dyDescent="0.25">
      <c r="B41" s="208" t="s">
        <v>248</v>
      </c>
      <c r="C41" s="208"/>
      <c r="D41" s="208"/>
      <c r="E41" s="209"/>
      <c r="F41" s="208"/>
    </row>
    <row r="42" spans="2:16" ht="24.75" customHeight="1" x14ac:dyDescent="0.2">
      <c r="B42" s="292" t="s">
        <v>21</v>
      </c>
      <c r="C42" s="290" t="s">
        <v>240</v>
      </c>
      <c r="D42" s="227" t="s">
        <v>26</v>
      </c>
      <c r="E42" s="212" t="s">
        <v>27</v>
      </c>
      <c r="F42" s="208"/>
    </row>
    <row r="43" spans="2:16" ht="24.75" customHeight="1" x14ac:dyDescent="0.2">
      <c r="B43" s="293"/>
      <c r="C43" s="291"/>
      <c r="D43" s="140" t="s">
        <v>35</v>
      </c>
      <c r="E43" s="287" t="s">
        <v>250</v>
      </c>
      <c r="F43" s="208"/>
    </row>
    <row r="44" spans="2:16" x14ac:dyDescent="0.2">
      <c r="B44" s="222" t="s">
        <v>24</v>
      </c>
      <c r="C44" s="285" t="s">
        <v>241</v>
      </c>
      <c r="D44" s="207" t="s">
        <v>28</v>
      </c>
      <c r="E44" s="223">
        <f>SUM(E9:E14)*E29/1000</f>
        <v>120.68379950936867</v>
      </c>
      <c r="F44" s="208"/>
    </row>
    <row r="45" spans="2:16" ht="13.5" thickBot="1" x14ac:dyDescent="0.25">
      <c r="B45" s="224" t="s">
        <v>25</v>
      </c>
      <c r="C45" s="286" t="s">
        <v>242</v>
      </c>
      <c r="D45" s="225" t="s">
        <v>29</v>
      </c>
      <c r="E45" s="226">
        <f>SUM(F9:F15)*E32/1000</f>
        <v>202.96761239999998</v>
      </c>
      <c r="F45" s="208"/>
    </row>
    <row r="46" spans="2:16" x14ac:dyDescent="0.2">
      <c r="B46" s="210" t="s">
        <v>237</v>
      </c>
      <c r="C46" s="208"/>
      <c r="D46" s="208"/>
      <c r="E46" s="208"/>
      <c r="F46" s="208"/>
    </row>
    <row r="47" spans="2:16" x14ac:dyDescent="0.2">
      <c r="B47" s="289" t="s">
        <v>20</v>
      </c>
      <c r="C47" s="208"/>
      <c r="D47" s="208"/>
      <c r="E47" s="208"/>
      <c r="F47" s="208"/>
    </row>
    <row r="48" spans="2:16" x14ac:dyDescent="0.2">
      <c r="B48" s="289" t="s">
        <v>268</v>
      </c>
    </row>
    <row r="50" spans="2:3" x14ac:dyDescent="0.2">
      <c r="B50" s="208"/>
      <c r="C50" s="208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279</v>
      </c>
    </row>
    <row r="2" spans="2:35" ht="15.75" x14ac:dyDescent="0.25">
      <c r="B2" s="114" t="s">
        <v>280</v>
      </c>
    </row>
    <row r="3" spans="2:35" x14ac:dyDescent="0.25">
      <c r="B3" s="115" t="s">
        <v>281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.75" thickBot="1" x14ac:dyDescent="0.3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302</v>
      </c>
      <c r="P23" s="307">
        <v>154125.60999999996</v>
      </c>
      <c r="Q23" s="307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07">
        <v>142240.554</v>
      </c>
      <c r="Q24" s="307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305</v>
      </c>
      <c r="P25" s="307">
        <v>1075.1959999999999</v>
      </c>
      <c r="Q25" s="307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07">
        <v>1620.396</v>
      </c>
      <c r="Q26" s="307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308</v>
      </c>
      <c r="P27" s="308">
        <v>5.9623212521267233E-2</v>
      </c>
      <c r="Q27" s="308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.75" thickTop="1" x14ac:dyDescent="0.25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298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119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27"/>
  <sheetViews>
    <sheetView zoomScaleNormal="100" workbookViewId="0">
      <selection activeCell="C14" sqref="C14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6" t="s">
        <v>30</v>
      </c>
      <c r="C2" s="267"/>
      <c r="D2" s="267"/>
      <c r="E2" s="161"/>
      <c r="F2" s="161"/>
      <c r="G2" s="161"/>
      <c r="H2" s="161"/>
      <c r="I2" s="161"/>
    </row>
    <row r="3" spans="2:11" ht="17.45" customHeight="1" x14ac:dyDescent="0.2">
      <c r="B3" s="162"/>
      <c r="C3" s="161"/>
      <c r="D3" s="161"/>
      <c r="E3" s="161"/>
      <c r="F3" s="161"/>
      <c r="G3" s="161"/>
      <c r="H3" s="161"/>
      <c r="I3" s="161"/>
    </row>
    <row r="4" spans="2:11" ht="17.45" customHeight="1" x14ac:dyDescent="0.2">
      <c r="B4" s="162" t="s">
        <v>31</v>
      </c>
      <c r="C4" s="161"/>
      <c r="D4" s="161"/>
      <c r="E4" s="161"/>
      <c r="F4" s="161"/>
      <c r="G4" s="161"/>
      <c r="H4" s="161"/>
      <c r="I4" s="161"/>
    </row>
    <row r="5" spans="2:11" ht="15.75" customHeight="1" x14ac:dyDescent="0.2">
      <c r="B5" s="272" t="s">
        <v>32</v>
      </c>
      <c r="C5" s="272" t="s">
        <v>33</v>
      </c>
      <c r="D5" s="272" t="s">
        <v>34</v>
      </c>
      <c r="E5" s="272" t="s">
        <v>35</v>
      </c>
      <c r="F5" s="272" t="s">
        <v>36</v>
      </c>
      <c r="G5" s="272" t="s">
        <v>37</v>
      </c>
      <c r="H5" s="272" t="s">
        <v>38</v>
      </c>
      <c r="I5" s="272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193</v>
      </c>
      <c r="C7" s="137" t="s">
        <v>194</v>
      </c>
      <c r="D7" s="137" t="s">
        <v>195</v>
      </c>
      <c r="E7" s="137" t="s">
        <v>196</v>
      </c>
      <c r="F7" s="273" t="s">
        <v>257</v>
      </c>
      <c r="G7" s="137" t="s">
        <v>197</v>
      </c>
      <c r="H7" s="273" t="s">
        <v>258</v>
      </c>
      <c r="I7" s="137" t="s">
        <v>198</v>
      </c>
    </row>
    <row r="8" spans="2:11" ht="15.75" customHeight="1" x14ac:dyDescent="0.2">
      <c r="B8" s="236" t="s">
        <v>47</v>
      </c>
      <c r="C8" s="237" t="s">
        <v>251</v>
      </c>
      <c r="D8" s="237" t="s">
        <v>48</v>
      </c>
      <c r="E8" s="236" t="s">
        <v>49</v>
      </c>
      <c r="F8" s="236"/>
      <c r="G8" s="236" t="s">
        <v>50</v>
      </c>
      <c r="H8" s="236" t="s">
        <v>51</v>
      </c>
      <c r="I8" s="236" t="s">
        <v>52</v>
      </c>
    </row>
    <row r="9" spans="2:11" ht="15.75" customHeight="1" x14ac:dyDescent="0.2">
      <c r="B9" s="238" t="s">
        <v>47</v>
      </c>
      <c r="C9" s="239" t="s">
        <v>252</v>
      </c>
      <c r="D9" s="239" t="s">
        <v>53</v>
      </c>
      <c r="E9" s="238" t="s">
        <v>49</v>
      </c>
      <c r="F9" s="238"/>
      <c r="G9" s="238" t="s">
        <v>50</v>
      </c>
      <c r="H9" s="238" t="s">
        <v>51</v>
      </c>
      <c r="I9" s="238" t="s">
        <v>52</v>
      </c>
    </row>
    <row r="10" spans="2:11" ht="15.75" customHeight="1" x14ac:dyDescent="0.2">
      <c r="B10" s="236" t="s">
        <v>47</v>
      </c>
      <c r="C10" s="237" t="s">
        <v>253</v>
      </c>
      <c r="D10" s="237" t="s">
        <v>54</v>
      </c>
      <c r="E10" s="236" t="s">
        <v>49</v>
      </c>
      <c r="F10" s="236"/>
      <c r="G10" s="236" t="s">
        <v>50</v>
      </c>
      <c r="H10" s="236" t="s">
        <v>51</v>
      </c>
      <c r="I10" s="236" t="s">
        <v>52</v>
      </c>
    </row>
    <row r="11" spans="2:11" ht="15.75" customHeight="1" x14ac:dyDescent="0.2">
      <c r="B11" s="236"/>
      <c r="C11" s="237" t="s">
        <v>317</v>
      </c>
      <c r="D11" s="237"/>
      <c r="E11" s="236"/>
      <c r="F11" s="236"/>
      <c r="G11" s="236"/>
      <c r="H11" s="236"/>
      <c r="I11" s="236"/>
    </row>
    <row r="12" spans="2:11" ht="15.75" customHeight="1" x14ac:dyDescent="0.2">
      <c r="B12" s="236"/>
      <c r="C12" s="237" t="s">
        <v>318</v>
      </c>
      <c r="D12" s="237"/>
      <c r="E12" s="236"/>
      <c r="F12" s="236"/>
      <c r="G12" s="236"/>
      <c r="H12" s="236"/>
      <c r="I12" s="236"/>
    </row>
    <row r="13" spans="2:11" ht="15.75" customHeight="1" x14ac:dyDescent="0.2">
      <c r="B13" s="236"/>
      <c r="C13" s="237" t="s">
        <v>319</v>
      </c>
      <c r="D13" s="237"/>
      <c r="E13" s="236"/>
      <c r="F13" s="236"/>
      <c r="G13" s="236"/>
      <c r="H13" s="236"/>
      <c r="I13" s="236"/>
    </row>
    <row r="14" spans="2:11" ht="15.75" customHeight="1" x14ac:dyDescent="0.2">
      <c r="B14" s="238" t="s">
        <v>47</v>
      </c>
      <c r="C14" s="239" t="s">
        <v>55</v>
      </c>
      <c r="D14" s="239" t="s">
        <v>56</v>
      </c>
      <c r="E14" s="238" t="s">
        <v>49</v>
      </c>
      <c r="F14" s="238"/>
      <c r="G14" s="238" t="s">
        <v>50</v>
      </c>
      <c r="H14" s="238" t="s">
        <v>51</v>
      </c>
      <c r="I14" s="238"/>
      <c r="K14" s="163"/>
    </row>
    <row r="15" spans="2:11" ht="15.75" customHeight="1" x14ac:dyDescent="0.2">
      <c r="B15" s="236" t="s">
        <v>47</v>
      </c>
      <c r="C15" s="237" t="s">
        <v>57</v>
      </c>
      <c r="D15" s="237" t="s">
        <v>58</v>
      </c>
      <c r="E15" s="236" t="s">
        <v>49</v>
      </c>
      <c r="F15" s="236"/>
      <c r="G15" s="236" t="s">
        <v>50</v>
      </c>
      <c r="H15" s="236" t="s">
        <v>51</v>
      </c>
      <c r="I15" s="236"/>
    </row>
    <row r="16" spans="2:11" x14ac:dyDescent="0.2">
      <c r="B16" s="238" t="s">
        <v>59</v>
      </c>
      <c r="C16" s="239" t="s">
        <v>254</v>
      </c>
      <c r="D16" s="239" t="s">
        <v>256</v>
      </c>
      <c r="E16" s="239" t="s">
        <v>49</v>
      </c>
      <c r="F16" s="238"/>
      <c r="G16" s="238"/>
      <c r="H16" s="238"/>
      <c r="I16" s="239" t="s">
        <v>52</v>
      </c>
    </row>
    <row r="17" spans="2:9" x14ac:dyDescent="0.2">
      <c r="B17" s="236" t="s">
        <v>59</v>
      </c>
      <c r="C17" s="237" t="s">
        <v>265</v>
      </c>
      <c r="D17" s="237" t="s">
        <v>255</v>
      </c>
      <c r="E17" s="237" t="s">
        <v>49</v>
      </c>
      <c r="F17" s="236"/>
      <c r="G17" s="236"/>
      <c r="H17" s="236"/>
      <c r="I17" s="237"/>
    </row>
    <row r="18" spans="2:9" ht="13.5" thickBot="1" x14ac:dyDescent="0.25">
      <c r="B18" s="240" t="s">
        <v>60</v>
      </c>
      <c r="C18" s="240" t="s">
        <v>61</v>
      </c>
      <c r="D18" s="262" t="s">
        <v>62</v>
      </c>
      <c r="E18" s="240" t="s">
        <v>63</v>
      </c>
      <c r="F18" s="240"/>
      <c r="G18" s="240"/>
      <c r="H18" s="240"/>
      <c r="I18" s="240"/>
    </row>
    <row r="22" spans="2:9" ht="13.5" thickBot="1" x14ac:dyDescent="0.25">
      <c r="B22" s="300" t="s">
        <v>64</v>
      </c>
      <c r="C22" s="300"/>
    </row>
    <row r="23" spans="2:9" x14ac:dyDescent="0.2">
      <c r="B23" s="265" t="s">
        <v>47</v>
      </c>
      <c r="C23" s="265" t="s">
        <v>65</v>
      </c>
    </row>
    <row r="24" spans="2:9" x14ac:dyDescent="0.2">
      <c r="B24" s="124" t="s">
        <v>60</v>
      </c>
      <c r="C24" s="124" t="s">
        <v>66</v>
      </c>
    </row>
    <row r="25" spans="2:9" x14ac:dyDescent="0.2">
      <c r="B25" s="122" t="s">
        <v>59</v>
      </c>
      <c r="C25" s="122" t="s">
        <v>67</v>
      </c>
    </row>
    <row r="26" spans="2:9" x14ac:dyDescent="0.2">
      <c r="B26" s="124" t="s">
        <v>68</v>
      </c>
      <c r="C26" s="124" t="s">
        <v>69</v>
      </c>
    </row>
    <row r="27" spans="2:9" ht="13.5" thickBot="1" x14ac:dyDescent="0.25">
      <c r="B27" s="118" t="s">
        <v>70</v>
      </c>
      <c r="C27" s="118" t="s">
        <v>71</v>
      </c>
    </row>
  </sheetData>
  <mergeCells count="1">
    <mergeCell ref="B22:C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30"/>
  <sheetViews>
    <sheetView zoomScaleNormal="100" workbookViewId="0">
      <selection activeCell="E18" sqref="E18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69"/>
      <c r="C1" s="175"/>
      <c r="D1" s="175"/>
    </row>
    <row r="2" spans="1:10" ht="18.75" customHeight="1" x14ac:dyDescent="0.25">
      <c r="A2" s="152"/>
      <c r="B2" s="270" t="s">
        <v>72</v>
      </c>
      <c r="C2" s="270"/>
      <c r="D2" s="270"/>
      <c r="E2" s="163"/>
      <c r="F2" s="163"/>
      <c r="G2" s="163"/>
      <c r="H2" s="163"/>
      <c r="I2" s="163"/>
      <c r="J2" s="163"/>
    </row>
    <row r="3" spans="1:10" ht="12.75" customHeight="1" x14ac:dyDescent="0.2"/>
    <row r="4" spans="1:10" ht="18" customHeight="1" x14ac:dyDescent="0.2">
      <c r="B4" s="162" t="s">
        <v>73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 x14ac:dyDescent="0.2">
      <c r="B5" s="272" t="s">
        <v>74</v>
      </c>
      <c r="C5" s="272" t="s">
        <v>75</v>
      </c>
      <c r="D5" s="272" t="s">
        <v>76</v>
      </c>
      <c r="E5" s="272" t="s">
        <v>77</v>
      </c>
      <c r="F5" s="272" t="s">
        <v>78</v>
      </c>
      <c r="G5" s="272" t="s">
        <v>79</v>
      </c>
      <c r="H5" s="272" t="s">
        <v>80</v>
      </c>
      <c r="I5" s="272" t="s">
        <v>81</v>
      </c>
      <c r="J5" s="272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4" t="s">
        <v>263</v>
      </c>
      <c r="J7" s="274" t="s">
        <v>264</v>
      </c>
    </row>
    <row r="8" spans="1:10" ht="15.75" customHeight="1" x14ac:dyDescent="0.2">
      <c r="B8" s="241" t="s">
        <v>91</v>
      </c>
      <c r="C8" s="170" t="s">
        <v>92</v>
      </c>
      <c r="D8" s="171" t="s">
        <v>259</v>
      </c>
      <c r="E8" s="171" t="s">
        <v>93</v>
      </c>
      <c r="F8" s="170" t="s">
        <v>49</v>
      </c>
      <c r="G8" s="170" t="s">
        <v>94</v>
      </c>
      <c r="H8" s="170" t="s">
        <v>50</v>
      </c>
      <c r="I8" s="170"/>
      <c r="J8" s="170"/>
    </row>
    <row r="9" spans="1:10" ht="15.75" customHeight="1" x14ac:dyDescent="0.2">
      <c r="B9" s="242" t="s">
        <v>91</v>
      </c>
      <c r="C9" s="198" t="s">
        <v>92</v>
      </c>
      <c r="D9" s="199" t="s">
        <v>260</v>
      </c>
      <c r="E9" s="199" t="s">
        <v>95</v>
      </c>
      <c r="F9" s="198" t="s">
        <v>49</v>
      </c>
      <c r="G9" s="198" t="s">
        <v>94</v>
      </c>
      <c r="H9" s="198" t="s">
        <v>50</v>
      </c>
      <c r="I9" s="198"/>
      <c r="J9" s="198"/>
    </row>
    <row r="10" spans="1:10" ht="15.75" customHeight="1" x14ac:dyDescent="0.2">
      <c r="B10" s="241" t="s">
        <v>91</v>
      </c>
      <c r="C10" s="170" t="s">
        <v>92</v>
      </c>
      <c r="D10" s="171" t="s">
        <v>261</v>
      </c>
      <c r="E10" s="171" t="s">
        <v>96</v>
      </c>
      <c r="F10" s="170" t="s">
        <v>49</v>
      </c>
      <c r="G10" s="170" t="s">
        <v>94</v>
      </c>
      <c r="H10" s="170" t="s">
        <v>50</v>
      </c>
      <c r="I10" s="170"/>
      <c r="J10" s="170"/>
    </row>
    <row r="11" spans="1:10" ht="15.75" customHeight="1" x14ac:dyDescent="0.2">
      <c r="B11" s="242" t="s">
        <v>91</v>
      </c>
      <c r="C11" s="198" t="s">
        <v>92</v>
      </c>
      <c r="D11" s="199" t="s">
        <v>262</v>
      </c>
      <c r="E11" s="199" t="s">
        <v>97</v>
      </c>
      <c r="F11" s="198" t="s">
        <v>49</v>
      </c>
      <c r="G11" s="198" t="s">
        <v>94</v>
      </c>
      <c r="H11" s="198" t="s">
        <v>50</v>
      </c>
      <c r="I11" s="198"/>
      <c r="J11" s="198"/>
    </row>
    <row r="12" spans="1:10" ht="15.75" customHeight="1" x14ac:dyDescent="0.2">
      <c r="B12" s="241" t="s">
        <v>98</v>
      </c>
      <c r="C12" s="170" t="s">
        <v>92</v>
      </c>
      <c r="D12" s="171" t="s">
        <v>99</v>
      </c>
      <c r="E12" s="171" t="s">
        <v>100</v>
      </c>
      <c r="F12" s="170" t="s">
        <v>49</v>
      </c>
      <c r="G12" s="170" t="s">
        <v>94</v>
      </c>
      <c r="H12" s="170" t="s">
        <v>50</v>
      </c>
      <c r="I12" s="170"/>
      <c r="J12" s="170"/>
    </row>
    <row r="13" spans="1:10" ht="15.75" customHeight="1" x14ac:dyDescent="0.2">
      <c r="B13" s="242" t="s">
        <v>98</v>
      </c>
      <c r="C13" s="198" t="s">
        <v>92</v>
      </c>
      <c r="D13" s="199" t="s">
        <v>101</v>
      </c>
      <c r="E13" s="199" t="s">
        <v>102</v>
      </c>
      <c r="F13" s="198" t="s">
        <v>49</v>
      </c>
      <c r="G13" s="198" t="s">
        <v>94</v>
      </c>
      <c r="H13" s="198" t="s">
        <v>50</v>
      </c>
      <c r="I13" s="198"/>
      <c r="J13" s="198"/>
    </row>
    <row r="14" spans="1:10" ht="15.75" customHeight="1" x14ac:dyDescent="0.2">
      <c r="B14" s="241" t="s">
        <v>103</v>
      </c>
      <c r="C14" s="170" t="s">
        <v>92</v>
      </c>
      <c r="D14" s="171" t="s">
        <v>104</v>
      </c>
      <c r="E14" s="171" t="s">
        <v>105</v>
      </c>
      <c r="F14" s="170" t="s">
        <v>49</v>
      </c>
      <c r="G14" s="170" t="s">
        <v>94</v>
      </c>
      <c r="H14" s="170" t="s">
        <v>50</v>
      </c>
      <c r="I14" s="170"/>
      <c r="J14" s="170"/>
    </row>
    <row r="15" spans="1:10" ht="15.75" customHeight="1" x14ac:dyDescent="0.2">
      <c r="B15" s="275" t="s">
        <v>106</v>
      </c>
      <c r="C15" s="276" t="s">
        <v>92</v>
      </c>
      <c r="D15" s="277" t="s">
        <v>107</v>
      </c>
      <c r="E15" s="277" t="s">
        <v>108</v>
      </c>
      <c r="F15" s="276" t="s">
        <v>49</v>
      </c>
      <c r="G15" s="276" t="s">
        <v>222</v>
      </c>
      <c r="H15" s="276" t="s">
        <v>50</v>
      </c>
      <c r="I15" s="276"/>
      <c r="J15" s="276"/>
    </row>
    <row r="16" spans="1:10" ht="15.75" customHeight="1" thickBot="1" x14ac:dyDescent="0.25">
      <c r="B16" s="278" t="s">
        <v>106</v>
      </c>
      <c r="C16" s="278" t="s">
        <v>92</v>
      </c>
      <c r="D16" s="279" t="s">
        <v>109</v>
      </c>
      <c r="E16" s="279" t="s">
        <v>110</v>
      </c>
      <c r="F16" s="278" t="s">
        <v>49</v>
      </c>
      <c r="G16" s="278" t="s">
        <v>222</v>
      </c>
      <c r="H16" s="278" t="s">
        <v>50</v>
      </c>
      <c r="I16" s="278"/>
      <c r="J16" s="278"/>
    </row>
    <row r="17" spans="2:10" x14ac:dyDescent="0.2">
      <c r="B17" s="275" t="s">
        <v>106</v>
      </c>
      <c r="C17" s="276" t="s">
        <v>92</v>
      </c>
      <c r="D17" s="277" t="s">
        <v>315</v>
      </c>
      <c r="E17" s="277" t="s">
        <v>316</v>
      </c>
      <c r="F17" s="276" t="s">
        <v>49</v>
      </c>
      <c r="G17" s="276" t="s">
        <v>222</v>
      </c>
      <c r="H17" s="276" t="s">
        <v>50</v>
      </c>
      <c r="I17" s="276"/>
      <c r="J17" s="276"/>
    </row>
    <row r="18" spans="2:10" x14ac:dyDescent="0.2">
      <c r="B18" s="275" t="s">
        <v>106</v>
      </c>
      <c r="C18" s="276" t="s">
        <v>92</v>
      </c>
      <c r="D18" s="277" t="s">
        <v>311</v>
      </c>
      <c r="E18" s="277" t="s">
        <v>313</v>
      </c>
      <c r="F18" s="276" t="s">
        <v>49</v>
      </c>
      <c r="G18" s="276" t="s">
        <v>222</v>
      </c>
      <c r="H18" s="276" t="s">
        <v>50</v>
      </c>
      <c r="I18" s="276"/>
      <c r="J18" s="276"/>
    </row>
    <row r="19" spans="2:10" x14ac:dyDescent="0.2">
      <c r="B19" s="275" t="s">
        <v>106</v>
      </c>
      <c r="C19" s="276" t="s">
        <v>92</v>
      </c>
      <c r="D19" s="277" t="s">
        <v>312</v>
      </c>
      <c r="E19" s="277" t="s">
        <v>314</v>
      </c>
      <c r="F19" s="276" t="s">
        <v>49</v>
      </c>
      <c r="G19" s="276" t="s">
        <v>222</v>
      </c>
      <c r="H19" s="276" t="s">
        <v>50</v>
      </c>
      <c r="I19" s="276"/>
      <c r="J19" s="276"/>
    </row>
    <row r="21" spans="2:10" x14ac:dyDescent="0.2">
      <c r="B21" s="301" t="s">
        <v>111</v>
      </c>
      <c r="C21" s="301"/>
      <c r="D21" s="301"/>
    </row>
    <row r="22" spans="2:10" x14ac:dyDescent="0.2">
      <c r="B22" s="122" t="s">
        <v>91</v>
      </c>
      <c r="C22" s="122" t="s">
        <v>112</v>
      </c>
      <c r="D22" s="122"/>
    </row>
    <row r="23" spans="2:10" x14ac:dyDescent="0.2">
      <c r="B23" s="124" t="s">
        <v>98</v>
      </c>
      <c r="C23" s="124" t="s">
        <v>113</v>
      </c>
      <c r="D23" s="124"/>
    </row>
    <row r="24" spans="2:10" x14ac:dyDescent="0.2">
      <c r="B24" s="122" t="s">
        <v>114</v>
      </c>
      <c r="C24" s="122" t="s">
        <v>115</v>
      </c>
      <c r="D24" s="122"/>
    </row>
    <row r="25" spans="2:10" x14ac:dyDescent="0.2">
      <c r="B25" s="124" t="s">
        <v>106</v>
      </c>
      <c r="C25" s="124" t="s">
        <v>116</v>
      </c>
      <c r="D25" s="124"/>
    </row>
    <row r="26" spans="2:10" x14ac:dyDescent="0.2">
      <c r="B26" s="122" t="s">
        <v>117</v>
      </c>
      <c r="C26" s="122" t="s">
        <v>118</v>
      </c>
      <c r="D26" s="122" t="s">
        <v>270</v>
      </c>
    </row>
    <row r="27" spans="2:10" x14ac:dyDescent="0.2">
      <c r="B27" s="124" t="s">
        <v>119</v>
      </c>
      <c r="C27" s="124" t="s">
        <v>120</v>
      </c>
      <c r="D27" s="124" t="s">
        <v>121</v>
      </c>
    </row>
    <row r="28" spans="2:10" x14ac:dyDescent="0.2">
      <c r="B28" s="122" t="s">
        <v>122</v>
      </c>
      <c r="C28" s="122" t="s">
        <v>123</v>
      </c>
      <c r="D28" s="122" t="s">
        <v>124</v>
      </c>
    </row>
    <row r="29" spans="2:10" x14ac:dyDescent="0.2">
      <c r="B29" s="124" t="s">
        <v>125</v>
      </c>
      <c r="C29" s="124" t="s">
        <v>126</v>
      </c>
      <c r="D29" s="124" t="s">
        <v>121</v>
      </c>
    </row>
    <row r="30" spans="2:10" ht="13.5" thickBot="1" x14ac:dyDescent="0.25">
      <c r="B30" s="118" t="s">
        <v>103</v>
      </c>
      <c r="C30" s="118" t="s">
        <v>127</v>
      </c>
      <c r="D30" s="118"/>
    </row>
  </sheetData>
  <mergeCells count="1">
    <mergeCell ref="B21:D2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topLeftCell="D3" zoomScale="115" zoomScaleNormal="115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68" t="s">
        <v>128</v>
      </c>
      <c r="C2" s="187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 x14ac:dyDescent="0.2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9" customHeight="1" x14ac:dyDescent="0.2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2" t="s">
        <v>145</v>
      </c>
      <c r="I6" s="302"/>
      <c r="J6" s="302"/>
      <c r="K6" s="302"/>
      <c r="L6" s="302"/>
      <c r="M6" s="302"/>
      <c r="N6" s="302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0"/>
      <c r="Z6" s="142"/>
    </row>
    <row r="7" spans="2:30" ht="53.45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3" t="s">
        <v>205</v>
      </c>
      <c r="I7" s="303"/>
      <c r="J7" s="303"/>
      <c r="K7" s="303"/>
      <c r="L7" s="303"/>
      <c r="M7" s="303"/>
      <c r="N7" s="303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0"/>
      <c r="Z7" s="142"/>
    </row>
    <row r="8" spans="2:30" ht="15.75" customHeight="1" x14ac:dyDescent="0.2">
      <c r="B8" s="166" t="str">
        <f>SEC_Processes!D10</f>
        <v>ELE_EX_HC</v>
      </c>
      <c r="C8" s="166" t="str">
        <f>SEC_Processes!E10</f>
        <v>Existing Hard Coal Power Plants</v>
      </c>
      <c r="D8" s="249" t="s">
        <v>150</v>
      </c>
      <c r="E8" s="249" t="str">
        <f>SEC_Comm!C8</f>
        <v>ELEC_HV</v>
      </c>
      <c r="F8" s="243">
        <f>(BALANCE!E9*3.6/10^3)/(BALANCE!G9*BALANCE!H9/10^6)</f>
        <v>0.37835241091502259</v>
      </c>
      <c r="G8" s="244">
        <v>31.536000000000001</v>
      </c>
      <c r="H8" s="243">
        <f>BALANCE!D9/1000</f>
        <v>17.023799999999998</v>
      </c>
      <c r="I8" s="243">
        <v>13.973599999999999</v>
      </c>
      <c r="J8" s="243">
        <v>9.5486000000000004</v>
      </c>
      <c r="K8" s="243">
        <v>7.5076000000000001</v>
      </c>
      <c r="L8" s="243">
        <v>5.294999999999999</v>
      </c>
      <c r="M8" s="243">
        <v>3.5409999999999995</v>
      </c>
      <c r="N8" s="243">
        <v>0</v>
      </c>
      <c r="O8" s="245">
        <v>1</v>
      </c>
      <c r="P8" s="245">
        <f>ROUNDUP((BALANCE!E9/BALANCE!D9*1000/8760),2)</f>
        <v>0.33</v>
      </c>
      <c r="Q8" s="244">
        <f>P8*1.25</f>
        <v>0.41250000000000003</v>
      </c>
      <c r="R8" s="245">
        <f>44*4.5</f>
        <v>198</v>
      </c>
      <c r="S8" s="244">
        <f>3.4/3.6*4.5</f>
        <v>4.25</v>
      </c>
    </row>
    <row r="9" spans="2:30" ht="15.75" customHeight="1" thickBot="1" x14ac:dyDescent="0.25">
      <c r="B9" s="195" t="str">
        <f>SEC_Processes!D11</f>
        <v>ELE_EX_BC</v>
      </c>
      <c r="C9" s="195" t="str">
        <f>SEC_Processes!E11</f>
        <v>Existing Brown Coal Power Plants</v>
      </c>
      <c r="D9" s="263" t="s">
        <v>151</v>
      </c>
      <c r="E9" s="250" t="str">
        <f>SEC_Comm!C8</f>
        <v>ELEC_HV</v>
      </c>
      <c r="F9" s="246">
        <f>(BALANCE!E10*3.6/10^3)/(BALANCE!G10*BALANCE!H10/10^6)</f>
        <v>0.34425649711369494</v>
      </c>
      <c r="G9" s="247">
        <v>31.536000000000001</v>
      </c>
      <c r="H9" s="246">
        <f>BALANCE!D10/1000</f>
        <v>7.3911999999999995</v>
      </c>
      <c r="I9" s="246">
        <v>7.5307599999999999</v>
      </c>
      <c r="J9" s="246">
        <v>7.1887599999999994</v>
      </c>
      <c r="K9" s="246">
        <v>3.145</v>
      </c>
      <c r="L9" s="246">
        <v>1.4890000000000001</v>
      </c>
      <c r="M9" s="246">
        <v>0.89</v>
      </c>
      <c r="N9" s="246">
        <v>0</v>
      </c>
      <c r="O9" s="248">
        <v>1</v>
      </c>
      <c r="P9" s="248">
        <f>ROUNDUP((BALANCE!E10/BALANCE!D10*1000/8760),2)</f>
        <v>0.54</v>
      </c>
      <c r="Q9" s="247">
        <f>P9*1.25</f>
        <v>0.67500000000000004</v>
      </c>
      <c r="R9" s="248">
        <f>49*4.5</f>
        <v>220.5</v>
      </c>
      <c r="S9" s="248">
        <f>3.2/3.6*4.5</f>
        <v>4</v>
      </c>
    </row>
    <row r="13" spans="2:30" ht="15.75" x14ac:dyDescent="0.25">
      <c r="B13" s="268" t="s">
        <v>273</v>
      </c>
      <c r="C13" s="187"/>
      <c r="U13" s="178"/>
      <c r="V13" s="179"/>
      <c r="Y13" s="179"/>
      <c r="Z13" s="179"/>
      <c r="AA13" s="179"/>
      <c r="AB13" s="179"/>
      <c r="AC13" s="179"/>
      <c r="AD13" s="179"/>
    </row>
    <row r="14" spans="2:30" x14ac:dyDescent="0.2">
      <c r="I14" s="173"/>
      <c r="J14" s="173"/>
      <c r="K14" s="173"/>
      <c r="L14" s="173"/>
      <c r="M14" s="173"/>
      <c r="N14" s="173"/>
      <c r="V14" s="180"/>
      <c r="Y14" s="180"/>
      <c r="Z14" s="180"/>
      <c r="AA14" s="180"/>
      <c r="AB14" s="180"/>
      <c r="AC14" s="180"/>
      <c r="AD14" s="180"/>
    </row>
    <row r="15" spans="2:30" x14ac:dyDescent="0.2">
      <c r="T15" s="142"/>
      <c r="U15" s="142"/>
      <c r="V15" s="230"/>
      <c r="Y15" s="181"/>
      <c r="Z15" s="181"/>
      <c r="AA15" s="182"/>
      <c r="AB15" s="142"/>
      <c r="AC15" s="142"/>
      <c r="AD15" s="183"/>
    </row>
    <row r="16" spans="2:30" ht="35.450000000000003" customHeight="1" x14ac:dyDescent="0.2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1"/>
      <c r="Y16" s="181"/>
      <c r="Z16" s="181"/>
      <c r="AA16" s="182"/>
      <c r="AB16" s="142"/>
      <c r="AC16" s="142"/>
      <c r="AD16" s="183"/>
    </row>
    <row r="17" spans="2:30" ht="61.9" customHeight="1" x14ac:dyDescent="0.2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1"/>
      <c r="Z17" s="181"/>
      <c r="AD17" s="184"/>
    </row>
    <row r="18" spans="2:30" ht="79.150000000000006" customHeight="1" thickBot="1" x14ac:dyDescent="0.25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1"/>
      <c r="Z18" s="181"/>
      <c r="AD18" s="184"/>
    </row>
    <row r="19" spans="2:30" ht="18.75" customHeight="1" x14ac:dyDescent="0.2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68" t="s">
        <v>152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 x14ac:dyDescent="0.2">
      <c r="B3" s="210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134</v>
      </c>
      <c r="H5" s="280" t="s">
        <v>221</v>
      </c>
      <c r="I5" s="280" t="s">
        <v>187</v>
      </c>
      <c r="J5" s="280" t="s">
        <v>188</v>
      </c>
      <c r="K5" s="280" t="s">
        <v>189</v>
      </c>
      <c r="L5" s="280" t="s">
        <v>190</v>
      </c>
      <c r="M5" s="280" t="s">
        <v>191</v>
      </c>
      <c r="N5" s="280" t="s">
        <v>135</v>
      </c>
      <c r="O5" s="272" t="s">
        <v>136</v>
      </c>
      <c r="P5" s="272" t="s">
        <v>137</v>
      </c>
      <c r="Q5" s="272" t="s">
        <v>138</v>
      </c>
      <c r="R5" s="272" t="s">
        <v>139</v>
      </c>
      <c r="S5"/>
    </row>
    <row r="6" spans="2:19" ht="38.25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2" t="s">
        <v>145</v>
      </c>
      <c r="I6" s="302"/>
      <c r="J6" s="302"/>
      <c r="K6" s="302"/>
      <c r="L6" s="302"/>
      <c r="M6" s="302"/>
      <c r="N6" s="302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39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3" t="s">
        <v>205</v>
      </c>
      <c r="I7" s="303"/>
      <c r="J7" s="303"/>
      <c r="K7" s="303"/>
      <c r="L7" s="303"/>
      <c r="M7" s="303"/>
      <c r="N7" s="303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">
      <c r="B8" s="165" t="str">
        <f>SEC_Processes!D8</f>
        <v>ELE_EX_WIND-ON</v>
      </c>
      <c r="C8" s="166" t="str">
        <f>SEC_Processes!E8</f>
        <v>Existing Onshore Wind Turbines</v>
      </c>
      <c r="D8" s="166" t="s">
        <v>154</v>
      </c>
      <c r="E8" s="166" t="str">
        <f>SEC_Comm!C8</f>
        <v>ELEC_HV</v>
      </c>
      <c r="F8" s="168">
        <v>1</v>
      </c>
      <c r="G8" s="166">
        <v>31.536000000000001</v>
      </c>
      <c r="H8" s="168">
        <f>BALANCE!D13/1000</f>
        <v>6.2276934486274804</v>
      </c>
      <c r="I8" s="168">
        <v>6.2982500000000003</v>
      </c>
      <c r="J8" s="168">
        <v>5.8289999999999997</v>
      </c>
      <c r="K8" s="168">
        <v>4.3650000000000002</v>
      </c>
      <c r="L8" s="168">
        <v>7.3999999999999996E-2</v>
      </c>
      <c r="M8" s="168">
        <v>0</v>
      </c>
      <c r="N8" s="168">
        <v>0</v>
      </c>
      <c r="O8" s="251">
        <v>0.05</v>
      </c>
      <c r="P8" s="251">
        <f>BALANCE!E13/BALANCE!D13*1000/8760+0.01</f>
        <v>0.29637457639806086</v>
      </c>
      <c r="Q8" s="251">
        <f>50*4.5</f>
        <v>225</v>
      </c>
      <c r="R8" s="251">
        <v>1E-3</v>
      </c>
    </row>
    <row r="9" spans="2:19" ht="20.25" customHeight="1" thickBot="1" x14ac:dyDescent="0.25">
      <c r="B9" s="197" t="str">
        <f>SEC_Processes!D9</f>
        <v>ELE_EX_PV</v>
      </c>
      <c r="C9" s="197" t="str">
        <f>SEC_Processes!E9</f>
        <v>Existing Photovoltaics (all Types)</v>
      </c>
      <c r="D9" s="197" t="s">
        <v>155</v>
      </c>
      <c r="E9" s="197" t="str">
        <f>SEC_Comm!C8</f>
        <v>ELEC_HV</v>
      </c>
      <c r="F9" s="229">
        <v>1</v>
      </c>
      <c r="G9" s="197">
        <v>31.536000000000001</v>
      </c>
      <c r="H9" s="229">
        <f>BALANCE!D14/1000</f>
        <v>3.9549600000000003</v>
      </c>
      <c r="I9" s="229">
        <v>3.9549600000000003</v>
      </c>
      <c r="J9" s="229">
        <v>3.9549600000000003</v>
      </c>
      <c r="K9" s="229">
        <v>3.4839600000000002</v>
      </c>
      <c r="L9" s="229">
        <v>2.197092</v>
      </c>
      <c r="M9" s="229">
        <v>0.91022400000000003</v>
      </c>
      <c r="N9" s="229">
        <v>0</v>
      </c>
      <c r="O9" s="252">
        <v>0.05</v>
      </c>
      <c r="P9" s="252">
        <v>1</v>
      </c>
      <c r="Q9" s="252">
        <f>16*4.5</f>
        <v>72</v>
      </c>
      <c r="R9" s="252">
        <v>1E-3</v>
      </c>
    </row>
    <row r="12" spans="2:19" x14ac:dyDescent="0.2">
      <c r="B12" s="142"/>
    </row>
    <row r="16" spans="2:19" x14ac:dyDescent="0.2">
      <c r="I16" s="271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68" t="s">
        <v>156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" x14ac:dyDescent="0.2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7" t="s">
        <v>157</v>
      </c>
      <c r="X3" s="187"/>
    </row>
    <row r="4" spans="2:34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158</v>
      </c>
      <c r="H5" s="272" t="s">
        <v>159</v>
      </c>
      <c r="I5" s="272" t="s">
        <v>160</v>
      </c>
      <c r="J5" s="272" t="s">
        <v>161</v>
      </c>
      <c r="K5" s="272" t="s">
        <v>134</v>
      </c>
      <c r="L5" s="280" t="s">
        <v>186</v>
      </c>
      <c r="M5" s="280" t="s">
        <v>135</v>
      </c>
      <c r="N5" s="272" t="s">
        <v>136</v>
      </c>
      <c r="O5" s="272" t="s">
        <v>137</v>
      </c>
      <c r="P5" s="272" t="s">
        <v>138</v>
      </c>
      <c r="Q5" s="272" t="s">
        <v>139</v>
      </c>
      <c r="R5" s="272"/>
      <c r="S5"/>
      <c r="W5" s="202" t="s">
        <v>162</v>
      </c>
      <c r="X5" s="203"/>
      <c r="Y5" s="203"/>
      <c r="Z5" s="203"/>
      <c r="AA5" s="203"/>
      <c r="AB5" s="202"/>
      <c r="AC5" s="203"/>
      <c r="AD5" s="203"/>
      <c r="AE5" s="203"/>
      <c r="AF5" s="204"/>
      <c r="AG5" s="204"/>
      <c r="AH5" s="203"/>
    </row>
    <row r="6" spans="2:34" ht="42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5" t="s">
        <v>167</v>
      </c>
      <c r="X6" s="205" t="s">
        <v>168</v>
      </c>
      <c r="Y6" s="205" t="s">
        <v>169</v>
      </c>
      <c r="Z6" s="205" t="s">
        <v>170</v>
      </c>
      <c r="AA6" s="205" t="s">
        <v>28</v>
      </c>
      <c r="AB6" s="205" t="s">
        <v>171</v>
      </c>
      <c r="AC6" s="205" t="s">
        <v>172</v>
      </c>
      <c r="AD6" s="205" t="s">
        <v>173</v>
      </c>
      <c r="AE6" s="205" t="s">
        <v>174</v>
      </c>
      <c r="AF6" s="205" t="s">
        <v>175</v>
      </c>
      <c r="AG6" s="205" t="s">
        <v>176</v>
      </c>
      <c r="AH6" s="205" t="s">
        <v>177</v>
      </c>
    </row>
    <row r="7" spans="2:34" ht="90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</row>
    <row r="8" spans="2:34" ht="15" customHeight="1" x14ac:dyDescent="0.2">
      <c r="B8" s="166" t="str">
        <f>SEC_Processes!D12</f>
        <v>CHP_EX_HC</v>
      </c>
      <c r="C8" s="166" t="str">
        <f>SEC_Processes!E12</f>
        <v>Existing Hard Coal CHPs</v>
      </c>
      <c r="D8" s="166" t="s">
        <v>150</v>
      </c>
      <c r="E8" s="166"/>
      <c r="F8" s="231">
        <f>(L8*K8*O8)/(BALANCE!G11*BALANCE!H11/10^6)</f>
        <v>0.24771097483306254</v>
      </c>
      <c r="G8" s="232">
        <f>BALANCE!F11/(3.6*BALANCE!E11)</f>
        <v>2.3407644073796177</v>
      </c>
      <c r="H8" s="233"/>
      <c r="I8" s="233"/>
      <c r="J8" s="233"/>
      <c r="K8" s="233">
        <v>31.536000000000001</v>
      </c>
      <c r="L8" s="231">
        <f>BALANCE!D11/1000</f>
        <v>4.0946000000000025</v>
      </c>
      <c r="M8" s="231">
        <v>0</v>
      </c>
      <c r="N8" s="232">
        <v>1</v>
      </c>
      <c r="O8" s="232">
        <f>BALANCE!E11/BALANCE!D11*1000/8760</f>
        <v>0.45331450019816694</v>
      </c>
      <c r="P8" s="232">
        <f>48*4.5</f>
        <v>216</v>
      </c>
      <c r="Q8" s="232">
        <f>3.2/3.6*4.5</f>
        <v>4</v>
      </c>
      <c r="R8" s="233"/>
      <c r="U8" s="304" t="str">
        <f>SEC_Processes!D12</f>
        <v>CHP_EX_HC</v>
      </c>
      <c r="V8" s="306" t="str">
        <f>SEC_Processes!E12</f>
        <v>Existing Hard Coal CHPs</v>
      </c>
      <c r="W8" s="304">
        <f>L8*K8*O8</f>
        <v>58.53528</v>
      </c>
      <c r="X8" s="304"/>
      <c r="Y8" s="305">
        <f>L8*K8*O8/3.6</f>
        <v>16.259799999999998</v>
      </c>
      <c r="Z8" s="304">
        <f>Y8*3.6</f>
        <v>58.535279999999993</v>
      </c>
      <c r="AA8" s="304"/>
      <c r="AB8" s="304"/>
      <c r="AC8" s="305">
        <f>Z8*G8</f>
        <v>137.01729999999998</v>
      </c>
      <c r="AD8" s="304">
        <f>Z8+AC8</f>
        <v>195.55257999999998</v>
      </c>
      <c r="AE8" s="304">
        <f>Z8/AC8</f>
        <v>0.42721087045212541</v>
      </c>
      <c r="AF8" s="304">
        <f>W8/F8</f>
        <v>236.30475007999996</v>
      </c>
      <c r="AG8" s="304">
        <f>AF8*10^6/(BALANCE!H11/1000)/1000</f>
        <v>11204.8</v>
      </c>
      <c r="AH8" s="304">
        <f>AD8/AF8</f>
        <v>0.82754400803960348</v>
      </c>
    </row>
    <row r="9" spans="2:34" ht="15" customHeight="1" x14ac:dyDescent="0.2">
      <c r="B9" s="165"/>
      <c r="C9" s="165"/>
      <c r="D9" s="165"/>
      <c r="E9" s="166" t="str">
        <f>SEC_Comm!C8</f>
        <v>ELEC_HV</v>
      </c>
      <c r="F9" s="177"/>
      <c r="G9" s="177"/>
      <c r="H9" s="177"/>
      <c r="I9" s="177"/>
      <c r="J9" s="177"/>
      <c r="K9" s="165"/>
      <c r="L9" s="185"/>
      <c r="M9" s="185"/>
      <c r="N9" s="254"/>
      <c r="O9" s="254"/>
      <c r="P9" s="254"/>
      <c r="Q9" s="254"/>
      <c r="R9" s="165"/>
      <c r="U9" s="304"/>
      <c r="V9" s="306"/>
      <c r="W9" s="304"/>
      <c r="X9" s="304"/>
      <c r="Y9" s="305"/>
      <c r="Z9" s="304"/>
      <c r="AA9" s="304"/>
      <c r="AB9" s="304"/>
      <c r="AC9" s="305"/>
      <c r="AD9" s="304"/>
      <c r="AE9" s="304"/>
      <c r="AF9" s="304"/>
      <c r="AG9" s="304"/>
      <c r="AH9" s="304"/>
    </row>
    <row r="10" spans="2:34" ht="15" customHeight="1" x14ac:dyDescent="0.2">
      <c r="B10" s="165"/>
      <c r="C10" s="165"/>
      <c r="D10" s="165"/>
      <c r="E10" s="166" t="str">
        <f>SEC_Comm!C14</f>
        <v>HEAT_HT</v>
      </c>
      <c r="F10" s="177"/>
      <c r="G10" s="177"/>
      <c r="H10" s="177"/>
      <c r="I10" s="177"/>
      <c r="J10" s="177"/>
      <c r="K10" s="165"/>
      <c r="L10" s="185"/>
      <c r="M10" s="185"/>
      <c r="N10" s="254"/>
      <c r="O10" s="254"/>
      <c r="P10" s="254"/>
      <c r="Q10" s="254"/>
      <c r="R10" s="165"/>
      <c r="U10" s="304"/>
      <c r="V10" s="306"/>
      <c r="W10" s="304"/>
      <c r="X10" s="304"/>
      <c r="Y10" s="305"/>
      <c r="Z10" s="304"/>
      <c r="AA10" s="304"/>
      <c r="AB10" s="304"/>
      <c r="AC10" s="305"/>
      <c r="AD10" s="304"/>
      <c r="AE10" s="304"/>
      <c r="AF10" s="304"/>
      <c r="AG10" s="304"/>
      <c r="AH10" s="304"/>
    </row>
    <row r="11" spans="2:34" ht="15" customHeight="1" x14ac:dyDescent="0.2">
      <c r="B11" s="189" t="str">
        <f>SEC_Processes!D13</f>
        <v>CHP_EX_NAT-GAS</v>
      </c>
      <c r="C11" s="189" t="str">
        <f>SEC_Processes!E13</f>
        <v>Existing Natural Gas CHPs</v>
      </c>
      <c r="D11" s="189" t="s">
        <v>178</v>
      </c>
      <c r="E11" s="189"/>
      <c r="F11" s="235">
        <v>0.55000000000000004</v>
      </c>
      <c r="G11" s="234"/>
      <c r="H11" s="253">
        <v>0.2</v>
      </c>
      <c r="I11" s="253">
        <v>0.7</v>
      </c>
      <c r="J11" s="234">
        <v>0.25</v>
      </c>
      <c r="K11" s="234">
        <v>31.536000000000001</v>
      </c>
      <c r="L11" s="235">
        <f>BALANCE!D12/1000</f>
        <v>1.6565000000000001</v>
      </c>
      <c r="M11" s="235">
        <f>L11</f>
        <v>1.6565000000000001</v>
      </c>
      <c r="N11" s="253">
        <v>1</v>
      </c>
      <c r="O11" s="253">
        <v>0.59850000000000003</v>
      </c>
      <c r="P11" s="253">
        <v>97.199999999999989</v>
      </c>
      <c r="Q11" s="253">
        <v>2.6999999999999997</v>
      </c>
      <c r="R11" s="234"/>
      <c r="U11" s="304" t="str">
        <f>SEC_Processes!D13</f>
        <v>CHP_EX_NAT-GAS</v>
      </c>
      <c r="V11" s="306" t="str">
        <f>SEC_Processes!E13</f>
        <v>Existing Natural Gas CHPs</v>
      </c>
      <c r="W11" s="304">
        <f>L11*K11*O11</f>
        <v>31.265271324000008</v>
      </c>
      <c r="X11" s="304">
        <f>L11*K11*O11/3.6</f>
        <v>8.6847975900000023</v>
      </c>
      <c r="Y11" s="305">
        <f>BALANCE!E12/1000</f>
        <v>7.4646000000000008</v>
      </c>
      <c r="Z11" s="304">
        <f>Y11*3.6</f>
        <v>26.872560000000004</v>
      </c>
      <c r="AA11" s="304">
        <f>X11-Y11</f>
        <v>1.2201975900000015</v>
      </c>
      <c r="AB11" s="304">
        <f>AA11*3.6</f>
        <v>4.3927113240000057</v>
      </c>
      <c r="AC11" s="305">
        <f>AB11/J11</f>
        <v>17.570845296000023</v>
      </c>
      <c r="AD11" s="304">
        <f>Z11+AC11</f>
        <v>44.443405296000023</v>
      </c>
      <c r="AE11" s="304">
        <f>Z11/AC11</f>
        <v>1.5293834501017149</v>
      </c>
      <c r="AF11" s="304">
        <f>W11/F11</f>
        <v>56.845947861818189</v>
      </c>
      <c r="AG11" s="304">
        <f>AF11*10^6/(BALANCE!J12/1000)/1000</f>
        <v>1750.8839086401019</v>
      </c>
      <c r="AH11" s="304">
        <f>AD11/AF11</f>
        <v>0.78182187064649855</v>
      </c>
    </row>
    <row r="12" spans="2:34" ht="15" customHeight="1" x14ac:dyDescent="0.2">
      <c r="B12" s="191"/>
      <c r="C12" s="191"/>
      <c r="D12" s="191"/>
      <c r="E12" s="189" t="str">
        <f>SEC_Comm!C8</f>
        <v>ELEC_HV</v>
      </c>
      <c r="F12" s="192"/>
      <c r="G12" s="192"/>
      <c r="H12" s="192"/>
      <c r="I12" s="192"/>
      <c r="J12" s="192"/>
      <c r="K12" s="191"/>
      <c r="L12" s="193"/>
      <c r="M12" s="193"/>
      <c r="N12" s="191"/>
      <c r="O12" s="191"/>
      <c r="P12" s="191"/>
      <c r="Q12" s="191"/>
      <c r="R12" s="191"/>
      <c r="U12" s="304"/>
      <c r="V12" s="306"/>
      <c r="W12" s="304"/>
      <c r="X12" s="304"/>
      <c r="Y12" s="305"/>
      <c r="Z12" s="304"/>
      <c r="AA12" s="304"/>
      <c r="AB12" s="304"/>
      <c r="AC12" s="305"/>
      <c r="AD12" s="304"/>
      <c r="AE12" s="304"/>
      <c r="AF12" s="304"/>
      <c r="AG12" s="304"/>
      <c r="AH12" s="304"/>
    </row>
    <row r="13" spans="2:34" ht="15" customHeight="1" thickBot="1" x14ac:dyDescent="0.25">
      <c r="B13" s="194"/>
      <c r="C13" s="194"/>
      <c r="D13" s="194"/>
      <c r="E13" s="195" t="str">
        <f>SEC_Comm!C14</f>
        <v>HEAT_HT</v>
      </c>
      <c r="F13" s="196"/>
      <c r="G13" s="196"/>
      <c r="H13" s="196"/>
      <c r="I13" s="196"/>
      <c r="J13" s="196"/>
      <c r="K13" s="194"/>
      <c r="L13" s="194"/>
      <c r="M13" s="194"/>
      <c r="N13" s="194"/>
      <c r="O13" s="194"/>
      <c r="P13" s="194"/>
      <c r="Q13" s="194"/>
      <c r="R13" s="194"/>
      <c r="U13" s="304"/>
      <c r="V13" s="306"/>
      <c r="W13" s="304"/>
      <c r="X13" s="304"/>
      <c r="Y13" s="305"/>
      <c r="Z13" s="304"/>
      <c r="AA13" s="304"/>
      <c r="AB13" s="304"/>
      <c r="AC13" s="305"/>
      <c r="AD13" s="304"/>
      <c r="AE13" s="304"/>
      <c r="AF13" s="304"/>
      <c r="AG13" s="304"/>
      <c r="AH13" s="304"/>
    </row>
    <row r="18" spans="29:34" x14ac:dyDescent="0.2">
      <c r="AC18" s="142"/>
      <c r="AD18" s="142"/>
      <c r="AE18" s="142"/>
      <c r="AF18" s="181"/>
      <c r="AG18" s="181"/>
      <c r="AH18" s="181"/>
    </row>
    <row r="19" spans="29:34" x14ac:dyDescent="0.2">
      <c r="AC19" s="142"/>
      <c r="AD19" s="142"/>
      <c r="AE19" s="142"/>
      <c r="AF19" s="181"/>
      <c r="AG19" s="181"/>
      <c r="AH19" s="181"/>
    </row>
    <row r="20" spans="29:34" x14ac:dyDescent="0.2">
      <c r="AC20" s="142"/>
      <c r="AD20" s="142"/>
      <c r="AE20" s="142"/>
      <c r="AH20" s="181"/>
    </row>
    <row r="21" spans="29:34" x14ac:dyDescent="0.2">
      <c r="AD21" s="142"/>
      <c r="AE21" s="142"/>
      <c r="AG21" s="181"/>
      <c r="AH21" s="181"/>
    </row>
    <row r="24" spans="29:34" x14ac:dyDescent="0.2">
      <c r="AH24" s="186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68" t="s">
        <v>179</v>
      </c>
      <c r="C2" s="160"/>
      <c r="E2" s="145"/>
      <c r="H2" s="148"/>
      <c r="I2" s="148"/>
      <c r="J2" s="149"/>
      <c r="K2" s="151"/>
      <c r="L2" s="146"/>
      <c r="M2" s="147"/>
    </row>
    <row r="3" spans="2:13" x14ac:dyDescent="0.2">
      <c r="B3" s="150"/>
      <c r="C3" s="144"/>
      <c r="E3" s="145"/>
      <c r="H3" s="148"/>
      <c r="I3" s="148"/>
      <c r="J3" s="149"/>
      <c r="K3" s="151"/>
      <c r="L3" s="146"/>
      <c r="M3" s="147"/>
    </row>
    <row r="4" spans="2:13" ht="15.75" customHeight="1" x14ac:dyDescent="0.2">
      <c r="E4" s="155" t="s">
        <v>129</v>
      </c>
      <c r="F4" s="153"/>
      <c r="G4" s="153"/>
      <c r="H4" s="153"/>
      <c r="I4" s="153"/>
      <c r="J4" s="156"/>
      <c r="K4" s="154"/>
      <c r="L4" s="154"/>
      <c r="M4" s="154"/>
    </row>
    <row r="5" spans="2:13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134</v>
      </c>
      <c r="H5" s="280" t="s">
        <v>186</v>
      </c>
      <c r="I5" s="272" t="s">
        <v>135</v>
      </c>
      <c r="J5" s="272" t="s">
        <v>136</v>
      </c>
      <c r="K5" s="272" t="s">
        <v>137</v>
      </c>
      <c r="L5" s="272" t="s">
        <v>138</v>
      </c>
      <c r="M5" s="272" t="s">
        <v>139</v>
      </c>
    </row>
    <row r="6" spans="2:13" ht="45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4.5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1" t="s">
        <v>205</v>
      </c>
      <c r="I7" s="281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25">
      <c r="B8" s="172" t="str">
        <f>SEC_Processes!D14</f>
        <v>HPL_EX_HC</v>
      </c>
      <c r="C8" s="172" t="str">
        <f>SEC_Processes!E14</f>
        <v>Existing Hard Coal Heat Only Plants</v>
      </c>
      <c r="D8" s="172" t="s">
        <v>150</v>
      </c>
      <c r="E8" s="172" t="str">
        <f>SEC_Comm!C14</f>
        <v>HEAT_HT</v>
      </c>
      <c r="F8" s="255">
        <f>(H8*G8*K8)/(BALANCE!G15*BALANCE!H15/10^6)</f>
        <v>0.90573900332985746</v>
      </c>
      <c r="G8" s="201">
        <v>31.536000000000001</v>
      </c>
      <c r="H8" s="172">
        <f>BALANCE!D15</f>
        <v>19.806000000000001</v>
      </c>
      <c r="I8" s="172">
        <f>H8</f>
        <v>19.806000000000001</v>
      </c>
      <c r="J8" s="200">
        <v>1</v>
      </c>
      <c r="K8" s="200">
        <f>ROUNDUP((BALANCE!F15/1000)/(H8*G8),2)</f>
        <v>0.14000000000000001</v>
      </c>
      <c r="L8" s="261">
        <v>14.323</v>
      </c>
      <c r="M8" s="261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6"/>
  <sheetViews>
    <sheetView tabSelected="1" zoomScale="140" zoomScaleNormal="140" workbookViewId="0">
      <selection activeCell="G17" sqref="G17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 x14ac:dyDescent="0.25">
      <c r="B2" s="268" t="s">
        <v>180</v>
      </c>
      <c r="C2" s="160"/>
      <c r="E2" s="145"/>
    </row>
    <row r="3" spans="2:9" x14ac:dyDescent="0.2">
      <c r="B3" s="150"/>
      <c r="C3" s="144"/>
      <c r="E3" s="145"/>
    </row>
    <row r="4" spans="2:9" ht="15.75" customHeight="1" x14ac:dyDescent="0.2">
      <c r="E4" s="155" t="s">
        <v>129</v>
      </c>
      <c r="F4" s="153"/>
    </row>
    <row r="5" spans="2:9" ht="15.75" customHeight="1" x14ac:dyDescent="0.2">
      <c r="B5" s="272" t="s">
        <v>76</v>
      </c>
      <c r="C5" s="272" t="s">
        <v>130</v>
      </c>
      <c r="D5" s="272" t="s">
        <v>131</v>
      </c>
      <c r="E5" s="272" t="s">
        <v>132</v>
      </c>
      <c r="F5" s="272" t="s">
        <v>133</v>
      </c>
      <c r="I5" s="164"/>
    </row>
    <row r="6" spans="2:9" ht="31.7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7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thickBot="1" x14ac:dyDescent="0.25">
      <c r="B8" s="172" t="str">
        <f>SEC_Processes!D16</f>
        <v>TRANSF_HT-LT</v>
      </c>
      <c r="C8" s="172" t="str">
        <f>SEC_Processes!E16</f>
        <v>Heat Transformation and Distribution</v>
      </c>
      <c r="D8" s="176" t="str">
        <f>SEC_Comm!C14</f>
        <v>HEAT_HT</v>
      </c>
      <c r="E8" s="176" t="str">
        <f>SEC_Comm!C15</f>
        <v>HEAT_LT</v>
      </c>
      <c r="F8" s="256">
        <f>BALANCE!E32</f>
        <v>0.85899999999999999</v>
      </c>
      <c r="H8" s="1" t="e">
        <f>1-#REF!</f>
        <v>#REF!</v>
      </c>
    </row>
    <row r="9" spans="2:9" ht="15.75" customHeight="1" x14ac:dyDescent="0.2">
      <c r="B9" s="309" t="str">
        <f>SEC_Processes!D17</f>
        <v>TRANSF_HV-HV</v>
      </c>
      <c r="C9" s="309" t="str">
        <f>SEC_Processes!E17</f>
        <v>Electricity Transformation and Distribution High Voltage to High Voltage</v>
      </c>
      <c r="D9" s="310" t="str">
        <f>SEC_Comm!C8</f>
        <v>ELEC_HV</v>
      </c>
      <c r="E9" s="310" t="str">
        <f>SEC_Comm!C11</f>
        <v>ELEC_HV-HV</v>
      </c>
      <c r="F9" s="311">
        <f>BALANCE!E29*BALANCE!E29</f>
        <v>0.95464959992861287</v>
      </c>
    </row>
    <row r="10" spans="2:9" x14ac:dyDescent="0.2">
      <c r="B10" t="str">
        <f>SEC_Processes!D18</f>
        <v>TRANSF_HV-MV</v>
      </c>
      <c r="C10" t="str">
        <f>SEC_Processes!E18</f>
        <v>Electricity Transformation and Distribution High Voltage to Medium Voltage</v>
      </c>
      <c r="D10" t="str">
        <f>SEC_Comm!C9</f>
        <v>ELEC_MV</v>
      </c>
      <c r="E10" t="str">
        <f>SEC_Comm!C12</f>
        <v>ELEC_MV-MV</v>
      </c>
      <c r="F10">
        <f>BALANCE!E30*BALANCE!E30</f>
        <v>0.95343827703781614</v>
      </c>
    </row>
    <row r="11" spans="2:9" x14ac:dyDescent="0.2">
      <c r="B11" t="str">
        <f>SEC_Processes!D19</f>
        <v>TRANSF_MV-LV</v>
      </c>
      <c r="C11" t="str">
        <f>SEC_Processes!E19</f>
        <v>Electricity Transformation and Distribution Medium Voltage to Low Voltage</v>
      </c>
      <c r="D11" t="str">
        <f>SEC_Comm!C10</f>
        <v>ELEC_LV</v>
      </c>
      <c r="E11" t="str">
        <f>SEC_Comm!C13</f>
        <v>ELEC_LV-LV</v>
      </c>
      <c r="F11">
        <f>BALANCE!E31*BALANCE!E31</f>
        <v>0.90540047795007761</v>
      </c>
    </row>
    <row r="15" spans="2:9" x14ac:dyDescent="0.2">
      <c r="E15" s="142"/>
      <c r="F15" s="142"/>
    </row>
    <row r="16" spans="2:9" x14ac:dyDescent="0.2">
      <c r="E16" s="14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7" t="s">
        <v>181</v>
      </c>
      <c r="C2" s="158"/>
      <c r="D2" s="158"/>
      <c r="E2" s="158"/>
      <c r="F2" s="158"/>
      <c r="G2" s="158"/>
      <c r="H2" s="158"/>
    </row>
    <row r="3" spans="2:8" x14ac:dyDescent="0.2">
      <c r="B3" s="188"/>
      <c r="C3" s="188"/>
      <c r="D3" s="188"/>
      <c r="E3" s="188"/>
      <c r="F3" s="159"/>
      <c r="G3" s="159"/>
      <c r="H3" s="159"/>
    </row>
    <row r="4" spans="2:8" ht="15.75" customHeight="1" x14ac:dyDescent="0.2">
      <c r="B4" s="157"/>
      <c r="C4" s="155" t="s">
        <v>182</v>
      </c>
      <c r="D4" s="159"/>
      <c r="E4" s="159"/>
    </row>
    <row r="5" spans="2:8" ht="15.75" customHeight="1" x14ac:dyDescent="0.2">
      <c r="B5" s="272" t="s">
        <v>76</v>
      </c>
      <c r="C5" s="272" t="s">
        <v>33</v>
      </c>
      <c r="D5" s="272" t="s">
        <v>150</v>
      </c>
      <c r="E5" s="272" t="s">
        <v>151</v>
      </c>
      <c r="F5" s="272" t="s">
        <v>178</v>
      </c>
      <c r="H5" s="264" t="s">
        <v>183</v>
      </c>
    </row>
    <row r="6" spans="2:8" ht="38.25" x14ac:dyDescent="0.2">
      <c r="B6" s="138" t="s">
        <v>140</v>
      </c>
      <c r="C6" s="138" t="s">
        <v>184</v>
      </c>
      <c r="D6" s="302" t="s">
        <v>185</v>
      </c>
      <c r="E6" s="302"/>
      <c r="F6" s="302"/>
    </row>
    <row r="7" spans="2:8" ht="26.25" thickBot="1" x14ac:dyDescent="0.25">
      <c r="B7" s="137" t="s">
        <v>213</v>
      </c>
      <c r="C7" s="137" t="s">
        <v>218</v>
      </c>
      <c r="D7" s="303" t="s">
        <v>219</v>
      </c>
      <c r="E7" s="303"/>
      <c r="F7" s="303"/>
    </row>
    <row r="8" spans="2:8" ht="15.75" customHeight="1" x14ac:dyDescent="0.2">
      <c r="B8" s="166" t="str">
        <f>SEC_Processes!D10</f>
        <v>ELE_EX_HC</v>
      </c>
      <c r="C8" s="169" t="s">
        <v>61</v>
      </c>
      <c r="D8" s="257">
        <v>94.19</v>
      </c>
      <c r="E8" s="257"/>
      <c r="F8" s="257"/>
    </row>
    <row r="9" spans="2:8" ht="15.75" customHeight="1" x14ac:dyDescent="0.2">
      <c r="B9" s="189" t="str">
        <f>SEC_Processes!D11</f>
        <v>ELE_EX_BC</v>
      </c>
      <c r="C9" s="190" t="s">
        <v>61</v>
      </c>
      <c r="D9" s="258"/>
      <c r="E9" s="258">
        <v>109.08</v>
      </c>
      <c r="F9" s="258"/>
    </row>
    <row r="10" spans="2:8" ht="15.75" customHeight="1" x14ac:dyDescent="0.2">
      <c r="B10" s="166" t="str">
        <f>SEC_Processes!D12</f>
        <v>CHP_EX_HC</v>
      </c>
      <c r="C10" s="169" t="s">
        <v>61</v>
      </c>
      <c r="D10" s="257">
        <v>94.19</v>
      </c>
      <c r="E10" s="257"/>
      <c r="F10" s="257"/>
    </row>
    <row r="11" spans="2:8" ht="15.75" customHeight="1" x14ac:dyDescent="0.2">
      <c r="B11" s="189" t="str">
        <f>SEC_Processes!D13</f>
        <v>CHP_EX_NAT-GAS</v>
      </c>
      <c r="C11" s="190" t="s">
        <v>61</v>
      </c>
      <c r="D11" s="258"/>
      <c r="E11" s="258"/>
      <c r="F11" s="258">
        <v>55.82</v>
      </c>
    </row>
    <row r="12" spans="2:8" ht="15.75" customHeight="1" thickBot="1" x14ac:dyDescent="0.25">
      <c r="B12" s="172" t="str">
        <f>SEC_Processes!D14</f>
        <v>HPL_EX_HC</v>
      </c>
      <c r="C12" s="174" t="s">
        <v>61</v>
      </c>
      <c r="D12" s="259">
        <v>94.19</v>
      </c>
      <c r="E12" s="260"/>
      <c r="F12" s="260"/>
      <c r="H12" s="142"/>
    </row>
    <row r="15" spans="2:8" x14ac:dyDescent="0.2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2024-05-21T12:34:51Z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